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8195" windowHeight="10545" tabRatio="765"/>
  </bookViews>
  <sheets>
    <sheet name="RAP-NATURAL GAS PRICES" sheetId="1" r:id="rId1"/>
    <sheet name="RAP TEMPLATE-GAS AVAILABILITY" sheetId="2" r:id="rId2"/>
    <sheet name="RAP-HEAVY &amp; LIGHT OIL &amp; WTI" sheetId="3" r:id="rId3"/>
    <sheet name="RAP-SOLID FUEL PRICES" sheetId="4" r:id="rId4"/>
    <sheet name="CONTR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[1]HISTORY!#REF!</definedName>
    <definedName name="__123Graph_A" localSheetId="1" hidden="1">'[2]FPL MOST LIKELY GAS BACKUP 1'!#REF!</definedName>
    <definedName name="__123Graph_A" hidden="1">'[2]FPL MOST LIKELY GAS BACKUP 1'!#REF!</definedName>
    <definedName name="__123Graph_B" localSheetId="1" hidden="1">'[2]FPL MOST LIKELY GAS BACKUP 1'!#REF!</definedName>
    <definedName name="__123Graph_B" hidden="1">'[2]FPL MOST LIKELY GAS BACKUP 1'!#REF!</definedName>
    <definedName name="__123Graph_X" localSheetId="1" hidden="1">'[2]FPL MOST LIKELY GAS BACKUP 1'!#REF!</definedName>
    <definedName name="__123Graph_X" hidden="1">'[2]FPL MOST LIKELY GAS BACKUP 1'!#REF!</definedName>
    <definedName name="_1" localSheetId="1">#REF!</definedName>
    <definedName name="_1">#REF!</definedName>
    <definedName name="_1A" localSheetId="1">#REF!</definedName>
    <definedName name="_1A">#REF!</definedName>
    <definedName name="_2" localSheetId="1">#REF!</definedName>
    <definedName name="_2">#REF!</definedName>
    <definedName name="_3" localSheetId="1">#REF!</definedName>
    <definedName name="_3">#REF!</definedName>
    <definedName name="_4" localSheetId="1">#REF!</definedName>
    <definedName name="_4">#REF!</definedName>
    <definedName name="_5" localSheetId="1">#REF!</definedName>
    <definedName name="_5">#REF!</definedName>
    <definedName name="_6" localSheetId="1">#REF!</definedName>
    <definedName name="_6">#REF!</definedName>
    <definedName name="_7" localSheetId="1">#REF!</definedName>
    <definedName name="_7">#REF!</definedName>
    <definedName name="_8" localSheetId="1">#REF!</definedName>
    <definedName name="_8">#REF!</definedName>
    <definedName name="_9394GAS" localSheetId="1">#REF!</definedName>
    <definedName name="_9394GAS">#REF!</definedName>
    <definedName name="_9394OIL" localSheetId="1">#REF!</definedName>
    <definedName name="_9394OIL">#REF!</definedName>
    <definedName name="_C1" localSheetId="1">#REF!</definedName>
    <definedName name="_C1">#REF!</definedName>
    <definedName name="_GIP1" localSheetId="1">#REF!</definedName>
    <definedName name="_GIP1">#REF!</definedName>
    <definedName name="_SYP1" localSheetId="1">#REF!</definedName>
    <definedName name="_SYP1">#REF!</definedName>
    <definedName name="C_" localSheetId="1">#REF!</definedName>
    <definedName name="C_">#REF!</definedName>
    <definedName name="CC1_" localSheetId="1">#REF!</definedName>
    <definedName name="CC1_">#REF!</definedName>
    <definedName name="COMPET" localSheetId="1">#REF!</definedName>
    <definedName name="COMPET">#REF!</definedName>
    <definedName name="CopyXC" localSheetId="1">#REF!</definedName>
    <definedName name="CopyXC">#REF!</definedName>
    <definedName name="DatabaseNameCopy" localSheetId="1">#REF!</definedName>
    <definedName name="DatabaseNameCopy">#REF!</definedName>
    <definedName name="DatabaseNameDG" localSheetId="1">#REF!</definedName>
    <definedName name="DatabaseNameDG">#REF!</definedName>
    <definedName name="DateColumn" localSheetId="1">[3]_Setup_!#REF!</definedName>
    <definedName name="DateColumn">[3]_Setup_!#REF!</definedName>
    <definedName name="DestColRowXC" localSheetId="1">#REF!</definedName>
    <definedName name="DestColRowXC">#REF!</definedName>
    <definedName name="DestDBname" localSheetId="1">#REF!</definedName>
    <definedName name="DestDBname">#REF!</definedName>
    <definedName name="DestHdrRowColXC" localSheetId="1">#REF!</definedName>
    <definedName name="DestHdrRowColXC">#REF!</definedName>
    <definedName name="DestLayoutXC" localSheetId="1">#REF!</definedName>
    <definedName name="DestLayoutXC">#REF!</definedName>
    <definedName name="DestRowColXC" localSheetId="1">#REF!</definedName>
    <definedName name="DestRowColXC">#REF!</definedName>
    <definedName name="DestStudyName" localSheetId="1">#REF!</definedName>
    <definedName name="DestStudyName">#REF!</definedName>
    <definedName name="DestStudyNameCopy" localSheetId="1">#REF!</definedName>
    <definedName name="DestStudyNameCopy">#REF!</definedName>
    <definedName name="DestUserName" localSheetId="1">#REF!</definedName>
    <definedName name="DestUserName">#REF!</definedName>
    <definedName name="DestWorksheetXC" localSheetId="1">#REF!</definedName>
    <definedName name="DestWorksheetXC">#REF!</definedName>
    <definedName name="EffectiveDate" localSheetId="1">[3]_Setup_!#REF!</definedName>
    <definedName name="EffectiveDate">[3]_Setup_!#REF!</definedName>
    <definedName name="FIRM" localSheetId="1">#REF!</definedName>
    <definedName name="FIRM">#REF!</definedName>
    <definedName name="FIRM1" localSheetId="1">#REF!</definedName>
    <definedName name="FIRM1">#REF!</definedName>
    <definedName name="GAS" localSheetId="1">#REF!</definedName>
    <definedName name="GAS">#REF!</definedName>
    <definedName name="GASAVAIL" localSheetId="1">#REF!</definedName>
    <definedName name="GASAVAIL">#REF!</definedName>
    <definedName name="GIP" localSheetId="1">#REF!</definedName>
    <definedName name="GIP">#REF!</definedName>
    <definedName name="HeaderXC" localSheetId="1">#REF!</definedName>
    <definedName name="HeaderXC">#REF!</definedName>
    <definedName name="I5_" localSheetId="1">#REF!</definedName>
    <definedName name="I5_">#REF!</definedName>
    <definedName name="I6_" localSheetId="1">#REF!</definedName>
    <definedName name="I6_">#REF!</definedName>
    <definedName name="I7_" localSheetId="1">#REF!</definedName>
    <definedName name="I7_">#REF!</definedName>
    <definedName name="ImportListDG" localSheetId="1">#REF!</definedName>
    <definedName name="ImportListDG">#REF!</definedName>
    <definedName name="INDEXDATA">'[4]Index-Data'!$A$2:$CG$68</definedName>
    <definedName name="INFLAT" localSheetId="1">#REF!</definedName>
    <definedName name="INFLAT">#REF!</definedName>
    <definedName name="LayoutXC" localSheetId="1">#REF!</definedName>
    <definedName name="LayoutXC">#REF!</definedName>
    <definedName name="Messages" localSheetId="1">[5]_UnregulatedCurves_!#REF!</definedName>
    <definedName name="Messages">[5]_UnregulatedCurves_!#REF!</definedName>
    <definedName name="MessagesDG" localSheetId="1">#REF!</definedName>
    <definedName name="MessagesDG">#REF!</definedName>
    <definedName name="MessagesDW" localSheetId="1">[5]_UnregulatedCurves_!#REF!</definedName>
    <definedName name="MessagesDW">[5]_UnregulatedCurves_!#REF!</definedName>
    <definedName name="MONTH" localSheetId="1">#REF!</definedName>
    <definedName name="MONTH">#REF!</definedName>
    <definedName name="MONTH1" localSheetId="1">#REF!</definedName>
    <definedName name="MONTH1">#REF!</definedName>
    <definedName name="MONTHID">'[4]Misc-Data'!$A$2:$F$85</definedName>
    <definedName name="MONTHS2" localSheetId="1">#REF!</definedName>
    <definedName name="MONTHS2">#REF!</definedName>
    <definedName name="MONTHS3" localSheetId="1">#REF!</definedName>
    <definedName name="MONTHS3">#REF!</definedName>
    <definedName name="MONTHS4" localSheetId="1">#REF!</definedName>
    <definedName name="MONTHS4">#REF!</definedName>
    <definedName name="MONTHS5" localSheetId="1">#REF!</definedName>
    <definedName name="MONTHS5">#REF!</definedName>
    <definedName name="MONTHS6" localSheetId="1">#REF!</definedName>
    <definedName name="MONTHS6">#REF!</definedName>
    <definedName name="MONTHS7" localSheetId="1">#REF!</definedName>
    <definedName name="MONTHS7">#REF!</definedName>
    <definedName name="OIPBBL" localSheetId="1">#REF!</definedName>
    <definedName name="OIPBBL">#REF!</definedName>
    <definedName name="OIPBBL1" localSheetId="1">#REF!</definedName>
    <definedName name="OIPBBL1">#REF!</definedName>
    <definedName name="PasswordCopy" localSheetId="1">#REF!</definedName>
    <definedName name="PasswordCopy">#REF!</definedName>
    <definedName name="PasswordDG" localSheetId="1">#REF!</definedName>
    <definedName name="PasswordDG">#REF!</definedName>
    <definedName name="PHASEII" localSheetId="1">#REF!</definedName>
    <definedName name="PHASEII">#REF!</definedName>
    <definedName name="PHASEII1" localSheetId="1">#REF!</definedName>
    <definedName name="PHASEII1">#REF!</definedName>
    <definedName name="PHASEIII" localSheetId="1">#REF!</definedName>
    <definedName name="PHASEIII">#REF!</definedName>
    <definedName name="PHASEIII1" localSheetId="1">#REF!</definedName>
    <definedName name="PHASEIII1">#REF!</definedName>
    <definedName name="pipedes">'[4]Misc-Data'!$D$2:$F$69</definedName>
    <definedName name="PRINT">#N/A</definedName>
    <definedName name="_xlnm.Print_Area" localSheetId="1">'RAP TEMPLATE-GAS AVAILABILITY'!$A$17:$J$1136</definedName>
    <definedName name="_xlnm.Print_Area" localSheetId="2">'RAP-HEAVY &amp; LIGHT OIL &amp; WTI'!$A$17:$I$1136</definedName>
    <definedName name="_xlnm.Print_Area" localSheetId="0">'RAP-NATURAL GAS PRICES'!$A$17:$S$1136</definedName>
    <definedName name="_xlnm.Print_Area" localSheetId="3">'RAP-SOLID FUEL PRICES'!$A$17:$K$1131</definedName>
    <definedName name="_xlnm.Print_Titles" localSheetId="1">'RAP TEMPLATE-GAS AVAILABILITY'!$1:$16</definedName>
    <definedName name="_xlnm.Print_Titles" localSheetId="2">'RAP-HEAVY &amp; LIGHT OIL &amp; WTI'!$1:$16</definedName>
    <definedName name="_xlnm.Print_Titles" localSheetId="0">'RAP-NATURAL GAS PRICES'!$1:$16</definedName>
    <definedName name="_xlnm.Print_Titles" localSheetId="3">'RAP-SOLID FUEL PRICES'!$1:$16</definedName>
    <definedName name="RESULTS" localSheetId="1">#REF!</definedName>
    <definedName name="RESULTS">#REF!</definedName>
    <definedName name="RESULTS1" localSheetId="1">#REF!</definedName>
    <definedName name="RESULTS1">#REF!</definedName>
    <definedName name="RESULTS2" localSheetId="1">#REF!</definedName>
    <definedName name="RESULTS2">#REF!</definedName>
    <definedName name="RESULTS3" localSheetId="1">#REF!</definedName>
    <definedName name="RESULTS3">#REF!</definedName>
    <definedName name="RESULTS4" localSheetId="1">#REF!</definedName>
    <definedName name="RESULTS4">#REF!</definedName>
    <definedName name="RESULTSA" localSheetId="1">#REF!</definedName>
    <definedName name="RESULTSA">#REF!</definedName>
    <definedName name="RowStart" localSheetId="1">[3]_Setup_!#REF!</definedName>
    <definedName name="RowStart">[3]_Setup_!#REF!</definedName>
    <definedName name="SelectListCopy" localSheetId="1">#REF!</definedName>
    <definedName name="SelectListCopy">#REF!</definedName>
    <definedName name="SFOR" localSheetId="1">#REF!</definedName>
    <definedName name="SFOR">#REF!</definedName>
    <definedName name="SFOR1" localSheetId="1">#REF!</definedName>
    <definedName name="SFOR1">#REF!</definedName>
    <definedName name="SourceDBname" localSheetId="1">#REF!</definedName>
    <definedName name="SourceDBname">#REF!</definedName>
    <definedName name="SourceStudyName" localSheetId="1">#REF!</definedName>
    <definedName name="SourceStudyName">#REF!</definedName>
    <definedName name="SourceStudyNameCopy" localSheetId="1">#REF!</definedName>
    <definedName name="SourceStudyNameCopy">#REF!</definedName>
    <definedName name="SourceUserName" localSheetId="1">#REF!</definedName>
    <definedName name="SourceUserName">#REF!</definedName>
    <definedName name="SrcColRowXC" localSheetId="1">#REF!</definedName>
    <definedName name="SrcColRowXC">#REF!</definedName>
    <definedName name="SrcFileXC" localSheetId="1">#REF!</definedName>
    <definedName name="SrcFileXC">#REF!</definedName>
    <definedName name="SrcStartRowColXC" localSheetId="1">#REF!</definedName>
    <definedName name="SrcStartRowColXC">#REF!</definedName>
    <definedName name="SrcWorksheetXC" localSheetId="1">#REF!</definedName>
    <definedName name="SrcWorksheetXC">#REF!</definedName>
    <definedName name="StatusCopy" localSheetId="1">#REF!</definedName>
    <definedName name="StatusCopy">#REF!</definedName>
    <definedName name="StatusDG" localSheetId="1">#REF!</definedName>
    <definedName name="StatusDG">#REF!</definedName>
    <definedName name="StatusXC" localSheetId="1">#REF!</definedName>
    <definedName name="StatusXC">#REF!</definedName>
    <definedName name="StudyNameDG" localSheetId="1">#REF!</definedName>
    <definedName name="StudyNameDG">#REF!</definedName>
    <definedName name="SYP" localSheetId="1">#REF!</definedName>
    <definedName name="SYP">#REF!</definedName>
    <definedName name="SYSGAS" localSheetId="1">#REF!</definedName>
    <definedName name="SYSGAS">#REF!</definedName>
    <definedName name="test" hidden="1">'[2]FPL MOST LIKELY GAS BACKUP 1'!#REF!</definedName>
    <definedName name="TITLES" localSheetId="1">#REF!</definedName>
    <definedName name="TITLES">#REF!</definedName>
    <definedName name="TOBBL" localSheetId="1">#REF!</definedName>
    <definedName name="TOBBL">#REF!</definedName>
    <definedName name="TotalRowColXC" localSheetId="1">#REF!</definedName>
    <definedName name="TotalRowColXC">#REF!</definedName>
    <definedName name="TransferListDG" localSheetId="1">#REF!</definedName>
    <definedName name="TransferListDG">#REF!</definedName>
    <definedName name="TTG" localSheetId="1">#REF!</definedName>
    <definedName name="TTG">#REF!</definedName>
    <definedName name="UserNameCopy" localSheetId="1">#REF!</definedName>
    <definedName name="UserNameCopy">#REF!</definedName>
    <definedName name="UserNameDG" localSheetId="1">#REF!</definedName>
    <definedName name="UserNameDG">#REF!</definedName>
    <definedName name="VOLUMES" localSheetId="1">#REF!</definedName>
    <definedName name="VOLUMES">#REF!</definedName>
    <definedName name="VOLUMES1" localSheetId="1">#REF!</definedName>
    <definedName name="VOLUMES1">#REF!</definedName>
    <definedName name="YEAR" localSheetId="1">#REF!</definedName>
    <definedName name="YEAR">#REF!</definedName>
    <definedName name="YEARS" localSheetId="1">#REF!</definedName>
    <definedName name="YEARS">#REF!</definedName>
  </definedNames>
  <calcPr calcId="145621" calcMode="manual"/>
</workbook>
</file>

<file path=xl/calcChain.xml><?xml version="1.0" encoding="utf-8"?>
<calcChain xmlns="http://schemas.openxmlformats.org/spreadsheetml/2006/main">
  <c r="C13" i="4" l="1"/>
  <c r="E13" i="4"/>
  <c r="B17" i="4"/>
  <c r="C17" i="4"/>
  <c r="D17" i="4"/>
  <c r="E17" i="4"/>
  <c r="F17" i="4"/>
  <c r="G17" i="4"/>
  <c r="H17" i="4"/>
  <c r="I17" i="4"/>
  <c r="J17" i="4"/>
  <c r="K17" i="4"/>
  <c r="B18" i="4"/>
  <c r="C18" i="4"/>
  <c r="D18" i="4"/>
  <c r="E18" i="4"/>
  <c r="F18" i="4"/>
  <c r="G18" i="4"/>
  <c r="H18" i="4"/>
  <c r="I18" i="4"/>
  <c r="J18" i="4"/>
  <c r="K18" i="4"/>
  <c r="B19" i="4"/>
  <c r="C19" i="4"/>
  <c r="D19" i="4"/>
  <c r="E19" i="4"/>
  <c r="F19" i="4"/>
  <c r="G19" i="4"/>
  <c r="H19" i="4"/>
  <c r="I19" i="4"/>
  <c r="J19" i="4"/>
  <c r="K19" i="4"/>
  <c r="B20" i="4"/>
  <c r="C20" i="4"/>
  <c r="D20" i="4"/>
  <c r="E20" i="4"/>
  <c r="F20" i="4"/>
  <c r="G20" i="4"/>
  <c r="H20" i="4"/>
  <c r="I20" i="4"/>
  <c r="J20" i="4"/>
  <c r="K20" i="4"/>
  <c r="B21" i="4"/>
  <c r="C21" i="4"/>
  <c r="D21" i="4"/>
  <c r="E21" i="4"/>
  <c r="F21" i="4"/>
  <c r="G21" i="4"/>
  <c r="H21" i="4"/>
  <c r="I21" i="4"/>
  <c r="J21" i="4"/>
  <c r="K21" i="4"/>
  <c r="B22" i="4"/>
  <c r="C22" i="4"/>
  <c r="D22" i="4"/>
  <c r="E22" i="4"/>
  <c r="F22" i="4"/>
  <c r="G22" i="4"/>
  <c r="H22" i="4"/>
  <c r="I22" i="4"/>
  <c r="J22" i="4"/>
  <c r="K22" i="4"/>
  <c r="B23" i="4"/>
  <c r="C23" i="4"/>
  <c r="D23" i="4"/>
  <c r="E23" i="4"/>
  <c r="F23" i="4"/>
  <c r="G23" i="4"/>
  <c r="H23" i="4"/>
  <c r="I23" i="4"/>
  <c r="J23" i="4"/>
  <c r="K23" i="4"/>
  <c r="B24" i="4"/>
  <c r="C24" i="4"/>
  <c r="D24" i="4"/>
  <c r="E24" i="4"/>
  <c r="F24" i="4"/>
  <c r="G24" i="4"/>
  <c r="H24" i="4"/>
  <c r="I24" i="4"/>
  <c r="J24" i="4"/>
  <c r="K24" i="4"/>
  <c r="B25" i="4"/>
  <c r="C25" i="4"/>
  <c r="D25" i="4"/>
  <c r="E25" i="4"/>
  <c r="F25" i="4"/>
  <c r="G25" i="4"/>
  <c r="H25" i="4"/>
  <c r="I25" i="4"/>
  <c r="J25" i="4"/>
  <c r="K25" i="4"/>
  <c r="B26" i="4"/>
  <c r="C26" i="4"/>
  <c r="D26" i="4"/>
  <c r="E26" i="4"/>
  <c r="F26" i="4"/>
  <c r="G26" i="4"/>
  <c r="H26" i="4"/>
  <c r="I26" i="4"/>
  <c r="J26" i="4"/>
  <c r="K26" i="4"/>
  <c r="B27" i="4"/>
  <c r="C27" i="4"/>
  <c r="D27" i="4"/>
  <c r="E27" i="4"/>
  <c r="F27" i="4"/>
  <c r="G27" i="4"/>
  <c r="H27" i="4"/>
  <c r="I27" i="4"/>
  <c r="J27" i="4"/>
  <c r="K27" i="4"/>
  <c r="B28" i="4"/>
  <c r="C28" i="4"/>
  <c r="D28" i="4"/>
  <c r="E28" i="4"/>
  <c r="F28" i="4"/>
  <c r="G28" i="4"/>
  <c r="H28" i="4"/>
  <c r="I28" i="4"/>
  <c r="J28" i="4"/>
  <c r="K28" i="4"/>
  <c r="B29" i="4"/>
  <c r="C29" i="4"/>
  <c r="D29" i="4"/>
  <c r="E29" i="4"/>
  <c r="F29" i="4"/>
  <c r="G29" i="4"/>
  <c r="H29" i="4"/>
  <c r="I29" i="4"/>
  <c r="J29" i="4"/>
  <c r="K29" i="4"/>
  <c r="B30" i="4"/>
  <c r="C30" i="4"/>
  <c r="D30" i="4"/>
  <c r="E30" i="4"/>
  <c r="F30" i="4"/>
  <c r="G30" i="4"/>
  <c r="H30" i="4"/>
  <c r="I30" i="4"/>
  <c r="J30" i="4"/>
  <c r="K30" i="4"/>
  <c r="B31" i="4"/>
  <c r="C31" i="4"/>
  <c r="D31" i="4"/>
  <c r="E31" i="4"/>
  <c r="F31" i="4"/>
  <c r="G31" i="4"/>
  <c r="H31" i="4"/>
  <c r="I31" i="4"/>
  <c r="J31" i="4"/>
  <c r="K31" i="4"/>
  <c r="B32" i="4"/>
  <c r="C32" i="4"/>
  <c r="D32" i="4"/>
  <c r="E32" i="4"/>
  <c r="F32" i="4"/>
  <c r="G32" i="4"/>
  <c r="H32" i="4"/>
  <c r="I32" i="4"/>
  <c r="J32" i="4"/>
  <c r="K32" i="4"/>
  <c r="B33" i="4"/>
  <c r="C33" i="4"/>
  <c r="D33" i="4"/>
  <c r="E33" i="4"/>
  <c r="F33" i="4"/>
  <c r="G33" i="4"/>
  <c r="H33" i="4"/>
  <c r="I33" i="4"/>
  <c r="J33" i="4"/>
  <c r="K33" i="4"/>
  <c r="B34" i="4"/>
  <c r="C34" i="4"/>
  <c r="D34" i="4"/>
  <c r="E34" i="4"/>
  <c r="F34" i="4"/>
  <c r="G34" i="4"/>
  <c r="H34" i="4"/>
  <c r="I34" i="4"/>
  <c r="J34" i="4"/>
  <c r="K34" i="4"/>
  <c r="B35" i="4"/>
  <c r="C35" i="4"/>
  <c r="D35" i="4"/>
  <c r="E35" i="4"/>
  <c r="F35" i="4"/>
  <c r="G35" i="4"/>
  <c r="H35" i="4"/>
  <c r="I35" i="4"/>
  <c r="J35" i="4"/>
  <c r="K35" i="4"/>
  <c r="B36" i="4"/>
  <c r="C36" i="4"/>
  <c r="D36" i="4"/>
  <c r="E36" i="4"/>
  <c r="F36" i="4"/>
  <c r="G36" i="4"/>
  <c r="H36" i="4"/>
  <c r="I36" i="4"/>
  <c r="J36" i="4"/>
  <c r="K36" i="4"/>
  <c r="B37" i="4"/>
  <c r="C37" i="4"/>
  <c r="D37" i="4"/>
  <c r="E37" i="4"/>
  <c r="F37" i="4"/>
  <c r="G37" i="4"/>
  <c r="H37" i="4"/>
  <c r="I37" i="4"/>
  <c r="J37" i="4"/>
  <c r="K37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B40" i="4"/>
  <c r="C40" i="4"/>
  <c r="D40" i="4"/>
  <c r="E40" i="4"/>
  <c r="F40" i="4"/>
  <c r="G40" i="4"/>
  <c r="H40" i="4"/>
  <c r="I40" i="4"/>
  <c r="J40" i="4"/>
  <c r="K40" i="4"/>
  <c r="B41" i="4"/>
  <c r="C41" i="4"/>
  <c r="D41" i="4"/>
  <c r="E41" i="4"/>
  <c r="F41" i="4"/>
  <c r="G41" i="4"/>
  <c r="H41" i="4"/>
  <c r="I41" i="4"/>
  <c r="J41" i="4"/>
  <c r="K41" i="4"/>
  <c r="B42" i="4"/>
  <c r="C42" i="4"/>
  <c r="D42" i="4"/>
  <c r="E42" i="4"/>
  <c r="F42" i="4"/>
  <c r="G42" i="4"/>
  <c r="H42" i="4"/>
  <c r="I42" i="4"/>
  <c r="J42" i="4"/>
  <c r="K42" i="4"/>
  <c r="B43" i="4"/>
  <c r="C43" i="4"/>
  <c r="D43" i="4"/>
  <c r="E43" i="4"/>
  <c r="F43" i="4"/>
  <c r="G43" i="4"/>
  <c r="H43" i="4"/>
  <c r="I43" i="4"/>
  <c r="J43" i="4"/>
  <c r="K43" i="4"/>
  <c r="B44" i="4"/>
  <c r="C44" i="4"/>
  <c r="D44" i="4"/>
  <c r="E44" i="4"/>
  <c r="F44" i="4"/>
  <c r="G44" i="4"/>
  <c r="H44" i="4"/>
  <c r="I44" i="4"/>
  <c r="J44" i="4"/>
  <c r="K44" i="4"/>
  <c r="B45" i="4"/>
  <c r="C45" i="4"/>
  <c r="D45" i="4"/>
  <c r="E45" i="4"/>
  <c r="F45" i="4"/>
  <c r="G45" i="4"/>
  <c r="H45" i="4"/>
  <c r="I45" i="4"/>
  <c r="J45" i="4"/>
  <c r="K45" i="4"/>
  <c r="B46" i="4"/>
  <c r="C46" i="4"/>
  <c r="D46" i="4"/>
  <c r="E46" i="4"/>
  <c r="F46" i="4"/>
  <c r="G46" i="4"/>
  <c r="H46" i="4"/>
  <c r="I46" i="4"/>
  <c r="J46" i="4"/>
  <c r="K46" i="4"/>
  <c r="B47" i="4"/>
  <c r="C47" i="4"/>
  <c r="D47" i="4"/>
  <c r="E47" i="4"/>
  <c r="F47" i="4"/>
  <c r="G47" i="4"/>
  <c r="H47" i="4"/>
  <c r="I47" i="4"/>
  <c r="J47" i="4"/>
  <c r="K47" i="4"/>
  <c r="B48" i="4"/>
  <c r="C48" i="4"/>
  <c r="D48" i="4"/>
  <c r="E48" i="4"/>
  <c r="F48" i="4"/>
  <c r="G48" i="4"/>
  <c r="H48" i="4"/>
  <c r="I48" i="4"/>
  <c r="J48" i="4"/>
  <c r="K48" i="4"/>
  <c r="B49" i="4"/>
  <c r="C49" i="4"/>
  <c r="D49" i="4"/>
  <c r="E49" i="4"/>
  <c r="F49" i="4"/>
  <c r="G49" i="4"/>
  <c r="H49" i="4"/>
  <c r="I49" i="4"/>
  <c r="J49" i="4"/>
  <c r="K49" i="4"/>
  <c r="B50" i="4"/>
  <c r="C50" i="4"/>
  <c r="D50" i="4"/>
  <c r="E50" i="4"/>
  <c r="F50" i="4"/>
  <c r="G50" i="4"/>
  <c r="H50" i="4"/>
  <c r="I50" i="4"/>
  <c r="J50" i="4"/>
  <c r="K50" i="4"/>
  <c r="B51" i="4"/>
  <c r="C51" i="4"/>
  <c r="D51" i="4"/>
  <c r="E51" i="4"/>
  <c r="F51" i="4"/>
  <c r="G51" i="4"/>
  <c r="H51" i="4"/>
  <c r="I51" i="4"/>
  <c r="J51" i="4"/>
  <c r="K51" i="4"/>
  <c r="B52" i="4"/>
  <c r="C52" i="4"/>
  <c r="D52" i="4"/>
  <c r="E52" i="4"/>
  <c r="F52" i="4"/>
  <c r="G52" i="4"/>
  <c r="H52" i="4"/>
  <c r="I52" i="4"/>
  <c r="J52" i="4"/>
  <c r="K52" i="4"/>
  <c r="B53" i="4"/>
  <c r="C53" i="4"/>
  <c r="D53" i="4"/>
  <c r="E53" i="4"/>
  <c r="F53" i="4"/>
  <c r="G53" i="4"/>
  <c r="H53" i="4"/>
  <c r="I53" i="4"/>
  <c r="J53" i="4"/>
  <c r="K53" i="4"/>
  <c r="B54" i="4"/>
  <c r="C54" i="4"/>
  <c r="D54" i="4"/>
  <c r="E54" i="4"/>
  <c r="F54" i="4"/>
  <c r="G54" i="4"/>
  <c r="H54" i="4"/>
  <c r="I54" i="4"/>
  <c r="J54" i="4"/>
  <c r="K54" i="4"/>
  <c r="B55" i="4"/>
  <c r="C55" i="4"/>
  <c r="D55" i="4"/>
  <c r="E55" i="4"/>
  <c r="F55" i="4"/>
  <c r="G55" i="4"/>
  <c r="H55" i="4"/>
  <c r="I55" i="4"/>
  <c r="J55" i="4"/>
  <c r="K55" i="4"/>
  <c r="B56" i="4"/>
  <c r="C56" i="4"/>
  <c r="D56" i="4"/>
  <c r="E56" i="4"/>
  <c r="F56" i="4"/>
  <c r="G56" i="4"/>
  <c r="H56" i="4"/>
  <c r="I56" i="4"/>
  <c r="J56" i="4"/>
  <c r="K56" i="4"/>
  <c r="B57" i="4"/>
  <c r="C57" i="4"/>
  <c r="D57" i="4"/>
  <c r="E57" i="4"/>
  <c r="F57" i="4"/>
  <c r="G57" i="4"/>
  <c r="H57" i="4"/>
  <c r="I57" i="4"/>
  <c r="J57" i="4"/>
  <c r="K57" i="4"/>
  <c r="B58" i="4"/>
  <c r="C58" i="4"/>
  <c r="D58" i="4"/>
  <c r="E58" i="4"/>
  <c r="F58" i="4"/>
  <c r="G58" i="4"/>
  <c r="H58" i="4"/>
  <c r="I58" i="4"/>
  <c r="J58" i="4"/>
  <c r="K58" i="4"/>
  <c r="B59" i="4"/>
  <c r="C59" i="4"/>
  <c r="D59" i="4"/>
  <c r="E59" i="4"/>
  <c r="F59" i="4"/>
  <c r="G59" i="4"/>
  <c r="H59" i="4"/>
  <c r="I59" i="4"/>
  <c r="J59" i="4"/>
  <c r="K59" i="4"/>
  <c r="B60" i="4"/>
  <c r="C60" i="4"/>
  <c r="D60" i="4"/>
  <c r="E60" i="4"/>
  <c r="F60" i="4"/>
  <c r="G60" i="4"/>
  <c r="H60" i="4"/>
  <c r="I60" i="4"/>
  <c r="J60" i="4"/>
  <c r="K60" i="4"/>
  <c r="B61" i="4"/>
  <c r="C61" i="4"/>
  <c r="D61" i="4"/>
  <c r="E61" i="4"/>
  <c r="F61" i="4"/>
  <c r="G61" i="4"/>
  <c r="H61" i="4"/>
  <c r="I61" i="4"/>
  <c r="J61" i="4"/>
  <c r="K61" i="4"/>
  <c r="B62" i="4"/>
  <c r="C62" i="4"/>
  <c r="D62" i="4"/>
  <c r="E62" i="4"/>
  <c r="F62" i="4"/>
  <c r="G62" i="4"/>
  <c r="H62" i="4"/>
  <c r="I62" i="4"/>
  <c r="J62" i="4"/>
  <c r="K62" i="4"/>
  <c r="B63" i="4"/>
  <c r="C63" i="4"/>
  <c r="D63" i="4"/>
  <c r="E63" i="4"/>
  <c r="F63" i="4"/>
  <c r="G63" i="4"/>
  <c r="H63" i="4"/>
  <c r="I63" i="4"/>
  <c r="J63" i="4"/>
  <c r="K63" i="4"/>
  <c r="B64" i="4"/>
  <c r="C64" i="4"/>
  <c r="D64" i="4"/>
  <c r="E64" i="4"/>
  <c r="F64" i="4"/>
  <c r="G64" i="4"/>
  <c r="H64" i="4"/>
  <c r="I64" i="4"/>
  <c r="J64" i="4"/>
  <c r="K64" i="4"/>
  <c r="B65" i="4"/>
  <c r="C65" i="4"/>
  <c r="D65" i="4"/>
  <c r="E65" i="4"/>
  <c r="F65" i="4"/>
  <c r="G65" i="4"/>
  <c r="H65" i="4"/>
  <c r="I65" i="4"/>
  <c r="J65" i="4"/>
  <c r="K65" i="4"/>
  <c r="B66" i="4"/>
  <c r="C66" i="4"/>
  <c r="D66" i="4"/>
  <c r="E66" i="4"/>
  <c r="F66" i="4"/>
  <c r="G66" i="4"/>
  <c r="H66" i="4"/>
  <c r="I66" i="4"/>
  <c r="J66" i="4"/>
  <c r="K66" i="4"/>
  <c r="B67" i="4"/>
  <c r="C67" i="4"/>
  <c r="D67" i="4"/>
  <c r="E67" i="4"/>
  <c r="F67" i="4"/>
  <c r="G67" i="4"/>
  <c r="H67" i="4"/>
  <c r="I67" i="4"/>
  <c r="J67" i="4"/>
  <c r="K67" i="4"/>
  <c r="B68" i="4"/>
  <c r="C68" i="4"/>
  <c r="D68" i="4"/>
  <c r="E68" i="4"/>
  <c r="F68" i="4"/>
  <c r="G68" i="4"/>
  <c r="H68" i="4"/>
  <c r="I68" i="4"/>
  <c r="J68" i="4"/>
  <c r="K68" i="4"/>
  <c r="B69" i="4"/>
  <c r="C69" i="4"/>
  <c r="D69" i="4"/>
  <c r="E69" i="4"/>
  <c r="F69" i="4"/>
  <c r="G69" i="4"/>
  <c r="H69" i="4"/>
  <c r="I69" i="4"/>
  <c r="J69" i="4"/>
  <c r="K69" i="4"/>
  <c r="B70" i="4"/>
  <c r="C70" i="4"/>
  <c r="D70" i="4"/>
  <c r="E70" i="4"/>
  <c r="F70" i="4"/>
  <c r="G70" i="4"/>
  <c r="H70" i="4"/>
  <c r="I70" i="4"/>
  <c r="J70" i="4"/>
  <c r="K70" i="4"/>
  <c r="B71" i="4"/>
  <c r="C71" i="4"/>
  <c r="D71" i="4"/>
  <c r="E71" i="4"/>
  <c r="F71" i="4"/>
  <c r="G71" i="4"/>
  <c r="H71" i="4"/>
  <c r="I71" i="4"/>
  <c r="J71" i="4"/>
  <c r="K71" i="4"/>
  <c r="B72" i="4"/>
  <c r="C72" i="4"/>
  <c r="D72" i="4"/>
  <c r="E72" i="4"/>
  <c r="F72" i="4"/>
  <c r="G72" i="4"/>
  <c r="H72" i="4"/>
  <c r="I72" i="4"/>
  <c r="J72" i="4"/>
  <c r="K72" i="4"/>
  <c r="B73" i="4"/>
  <c r="C73" i="4"/>
  <c r="D73" i="4"/>
  <c r="E73" i="4"/>
  <c r="F73" i="4"/>
  <c r="G73" i="4"/>
  <c r="H73" i="4"/>
  <c r="I73" i="4"/>
  <c r="J73" i="4"/>
  <c r="K73" i="4"/>
  <c r="B74" i="4"/>
  <c r="C74" i="4"/>
  <c r="D74" i="4"/>
  <c r="E74" i="4"/>
  <c r="F74" i="4"/>
  <c r="G74" i="4"/>
  <c r="H74" i="4"/>
  <c r="I74" i="4"/>
  <c r="J74" i="4"/>
  <c r="K74" i="4"/>
  <c r="B75" i="4"/>
  <c r="C75" i="4"/>
  <c r="D75" i="4"/>
  <c r="E75" i="4"/>
  <c r="F75" i="4"/>
  <c r="G75" i="4"/>
  <c r="H75" i="4"/>
  <c r="I75" i="4"/>
  <c r="J75" i="4"/>
  <c r="K75" i="4"/>
  <c r="B76" i="4"/>
  <c r="C76" i="4"/>
  <c r="D76" i="4"/>
  <c r="E76" i="4"/>
  <c r="F76" i="4"/>
  <c r="G76" i="4"/>
  <c r="H76" i="4"/>
  <c r="I76" i="4"/>
  <c r="J76" i="4"/>
  <c r="K76" i="4"/>
  <c r="B77" i="4"/>
  <c r="C77" i="4"/>
  <c r="D77" i="4"/>
  <c r="E77" i="4"/>
  <c r="F77" i="4"/>
  <c r="G77" i="4"/>
  <c r="H77" i="4"/>
  <c r="I77" i="4"/>
  <c r="J77" i="4"/>
  <c r="K77" i="4"/>
  <c r="B78" i="4"/>
  <c r="C78" i="4"/>
  <c r="D78" i="4"/>
  <c r="E78" i="4"/>
  <c r="F78" i="4"/>
  <c r="G78" i="4"/>
  <c r="H78" i="4"/>
  <c r="I78" i="4"/>
  <c r="J78" i="4"/>
  <c r="K78" i="4"/>
  <c r="B79" i="4"/>
  <c r="C79" i="4"/>
  <c r="D79" i="4"/>
  <c r="E79" i="4"/>
  <c r="F79" i="4"/>
  <c r="G79" i="4"/>
  <c r="H79" i="4"/>
  <c r="I79" i="4"/>
  <c r="J79" i="4"/>
  <c r="K79" i="4"/>
  <c r="B80" i="4"/>
  <c r="C80" i="4"/>
  <c r="D80" i="4"/>
  <c r="E80" i="4"/>
  <c r="F80" i="4"/>
  <c r="G80" i="4"/>
  <c r="H80" i="4"/>
  <c r="I80" i="4"/>
  <c r="J80" i="4"/>
  <c r="K80" i="4"/>
  <c r="B81" i="4"/>
  <c r="C81" i="4"/>
  <c r="D81" i="4"/>
  <c r="E81" i="4"/>
  <c r="F81" i="4"/>
  <c r="G81" i="4"/>
  <c r="H81" i="4"/>
  <c r="I81" i="4"/>
  <c r="J81" i="4"/>
  <c r="K81" i="4"/>
  <c r="B82" i="4"/>
  <c r="C82" i="4"/>
  <c r="D82" i="4"/>
  <c r="E82" i="4"/>
  <c r="F82" i="4"/>
  <c r="G82" i="4"/>
  <c r="H82" i="4"/>
  <c r="I82" i="4"/>
  <c r="J82" i="4"/>
  <c r="K82" i="4"/>
  <c r="B83" i="4"/>
  <c r="C83" i="4"/>
  <c r="D83" i="4"/>
  <c r="E83" i="4"/>
  <c r="F83" i="4"/>
  <c r="G83" i="4"/>
  <c r="H83" i="4"/>
  <c r="I83" i="4"/>
  <c r="J83" i="4"/>
  <c r="K83" i="4"/>
  <c r="B84" i="4"/>
  <c r="C84" i="4"/>
  <c r="D84" i="4"/>
  <c r="E84" i="4"/>
  <c r="F84" i="4"/>
  <c r="G84" i="4"/>
  <c r="H84" i="4"/>
  <c r="I84" i="4"/>
  <c r="J84" i="4"/>
  <c r="K84" i="4"/>
  <c r="B85" i="4"/>
  <c r="C85" i="4"/>
  <c r="D85" i="4"/>
  <c r="E85" i="4"/>
  <c r="F85" i="4"/>
  <c r="G85" i="4"/>
  <c r="H85" i="4"/>
  <c r="I85" i="4"/>
  <c r="J85" i="4"/>
  <c r="K85" i="4"/>
  <c r="B86" i="4"/>
  <c r="C86" i="4"/>
  <c r="D86" i="4"/>
  <c r="E86" i="4"/>
  <c r="F86" i="4"/>
  <c r="G86" i="4"/>
  <c r="H86" i="4"/>
  <c r="I86" i="4"/>
  <c r="J86" i="4"/>
  <c r="K86" i="4"/>
  <c r="B87" i="4"/>
  <c r="C87" i="4"/>
  <c r="D87" i="4"/>
  <c r="E87" i="4"/>
  <c r="F87" i="4"/>
  <c r="G87" i="4"/>
  <c r="H87" i="4"/>
  <c r="I87" i="4"/>
  <c r="J87" i="4"/>
  <c r="K87" i="4"/>
  <c r="B88" i="4"/>
  <c r="C88" i="4"/>
  <c r="D88" i="4"/>
  <c r="E88" i="4"/>
  <c r="F88" i="4"/>
  <c r="G88" i="4"/>
  <c r="H88" i="4"/>
  <c r="I88" i="4"/>
  <c r="J88" i="4"/>
  <c r="K88" i="4"/>
  <c r="B89" i="4"/>
  <c r="C89" i="4"/>
  <c r="D89" i="4"/>
  <c r="E89" i="4"/>
  <c r="F89" i="4"/>
  <c r="G89" i="4"/>
  <c r="H89" i="4"/>
  <c r="I89" i="4"/>
  <c r="J89" i="4"/>
  <c r="K89" i="4"/>
  <c r="B90" i="4"/>
  <c r="C90" i="4"/>
  <c r="D90" i="4"/>
  <c r="E90" i="4"/>
  <c r="F90" i="4"/>
  <c r="G90" i="4"/>
  <c r="H90" i="4"/>
  <c r="I90" i="4"/>
  <c r="J90" i="4"/>
  <c r="K90" i="4"/>
  <c r="B91" i="4"/>
  <c r="C91" i="4"/>
  <c r="D91" i="4"/>
  <c r="E91" i="4"/>
  <c r="F91" i="4"/>
  <c r="G91" i="4"/>
  <c r="H91" i="4"/>
  <c r="I91" i="4"/>
  <c r="J91" i="4"/>
  <c r="K91" i="4"/>
  <c r="B92" i="4"/>
  <c r="C92" i="4"/>
  <c r="D92" i="4"/>
  <c r="E92" i="4"/>
  <c r="F92" i="4"/>
  <c r="G92" i="4"/>
  <c r="H92" i="4"/>
  <c r="I92" i="4"/>
  <c r="J92" i="4"/>
  <c r="K92" i="4"/>
  <c r="B93" i="4"/>
  <c r="C93" i="4"/>
  <c r="D93" i="4"/>
  <c r="E93" i="4"/>
  <c r="F93" i="4"/>
  <c r="G93" i="4"/>
  <c r="H93" i="4"/>
  <c r="I93" i="4"/>
  <c r="J93" i="4"/>
  <c r="K93" i="4"/>
  <c r="B94" i="4"/>
  <c r="C94" i="4"/>
  <c r="D94" i="4"/>
  <c r="E94" i="4"/>
  <c r="F94" i="4"/>
  <c r="G94" i="4"/>
  <c r="H94" i="4"/>
  <c r="I94" i="4"/>
  <c r="J94" i="4"/>
  <c r="K94" i="4"/>
  <c r="B95" i="4"/>
  <c r="C95" i="4"/>
  <c r="D95" i="4"/>
  <c r="E95" i="4"/>
  <c r="F95" i="4"/>
  <c r="G95" i="4"/>
  <c r="H95" i="4"/>
  <c r="I95" i="4"/>
  <c r="J95" i="4"/>
  <c r="K95" i="4"/>
  <c r="B96" i="4"/>
  <c r="C96" i="4"/>
  <c r="D96" i="4"/>
  <c r="E96" i="4"/>
  <c r="F96" i="4"/>
  <c r="G96" i="4"/>
  <c r="H96" i="4"/>
  <c r="I96" i="4"/>
  <c r="J96" i="4"/>
  <c r="K96" i="4"/>
  <c r="B97" i="4"/>
  <c r="C97" i="4"/>
  <c r="D97" i="4"/>
  <c r="E97" i="4"/>
  <c r="F97" i="4"/>
  <c r="G97" i="4"/>
  <c r="H97" i="4"/>
  <c r="I97" i="4"/>
  <c r="J97" i="4"/>
  <c r="K97" i="4"/>
  <c r="B98" i="4"/>
  <c r="C98" i="4"/>
  <c r="D98" i="4"/>
  <c r="E98" i="4"/>
  <c r="F98" i="4"/>
  <c r="G98" i="4"/>
  <c r="H98" i="4"/>
  <c r="I98" i="4"/>
  <c r="J98" i="4"/>
  <c r="K98" i="4"/>
  <c r="B99" i="4"/>
  <c r="C99" i="4"/>
  <c r="D99" i="4"/>
  <c r="E99" i="4"/>
  <c r="F99" i="4"/>
  <c r="G99" i="4"/>
  <c r="H99" i="4"/>
  <c r="I99" i="4"/>
  <c r="J99" i="4"/>
  <c r="K99" i="4"/>
  <c r="B100" i="4"/>
  <c r="C100" i="4"/>
  <c r="D100" i="4"/>
  <c r="E100" i="4"/>
  <c r="F100" i="4"/>
  <c r="G100" i="4"/>
  <c r="H100" i="4"/>
  <c r="I100" i="4"/>
  <c r="J100" i="4"/>
  <c r="K100" i="4"/>
  <c r="B101" i="4"/>
  <c r="C101" i="4"/>
  <c r="D101" i="4"/>
  <c r="E101" i="4"/>
  <c r="F101" i="4"/>
  <c r="G101" i="4"/>
  <c r="H101" i="4"/>
  <c r="I101" i="4"/>
  <c r="J101" i="4"/>
  <c r="K101" i="4"/>
  <c r="B102" i="4"/>
  <c r="C102" i="4"/>
  <c r="D102" i="4"/>
  <c r="E102" i="4"/>
  <c r="F102" i="4"/>
  <c r="G102" i="4"/>
  <c r="H102" i="4"/>
  <c r="I102" i="4"/>
  <c r="J102" i="4"/>
  <c r="K102" i="4"/>
  <c r="B103" i="4"/>
  <c r="C103" i="4"/>
  <c r="D103" i="4"/>
  <c r="E103" i="4"/>
  <c r="F103" i="4"/>
  <c r="G103" i="4"/>
  <c r="H103" i="4"/>
  <c r="I103" i="4"/>
  <c r="J103" i="4"/>
  <c r="K103" i="4"/>
  <c r="B104" i="4"/>
  <c r="C104" i="4"/>
  <c r="D104" i="4"/>
  <c r="E104" i="4"/>
  <c r="F104" i="4"/>
  <c r="G104" i="4"/>
  <c r="H104" i="4"/>
  <c r="I104" i="4"/>
  <c r="J104" i="4"/>
  <c r="K104" i="4"/>
  <c r="B105" i="4"/>
  <c r="C105" i="4"/>
  <c r="D105" i="4"/>
  <c r="E105" i="4"/>
  <c r="F105" i="4"/>
  <c r="G105" i="4"/>
  <c r="H105" i="4"/>
  <c r="I105" i="4"/>
  <c r="J105" i="4"/>
  <c r="K105" i="4"/>
  <c r="B106" i="4"/>
  <c r="C106" i="4"/>
  <c r="D106" i="4"/>
  <c r="E106" i="4"/>
  <c r="F106" i="4"/>
  <c r="G106" i="4"/>
  <c r="H106" i="4"/>
  <c r="I106" i="4"/>
  <c r="J106" i="4"/>
  <c r="K106" i="4"/>
  <c r="B107" i="4"/>
  <c r="C107" i="4"/>
  <c r="D107" i="4"/>
  <c r="E107" i="4"/>
  <c r="F107" i="4"/>
  <c r="G107" i="4"/>
  <c r="H107" i="4"/>
  <c r="I107" i="4"/>
  <c r="J107" i="4"/>
  <c r="K107" i="4"/>
  <c r="B108" i="4"/>
  <c r="C108" i="4"/>
  <c r="D108" i="4"/>
  <c r="E108" i="4"/>
  <c r="F108" i="4"/>
  <c r="G108" i="4"/>
  <c r="H108" i="4"/>
  <c r="I108" i="4"/>
  <c r="J108" i="4"/>
  <c r="K108" i="4"/>
  <c r="B109" i="4"/>
  <c r="C109" i="4"/>
  <c r="D109" i="4"/>
  <c r="E109" i="4"/>
  <c r="F109" i="4"/>
  <c r="G109" i="4"/>
  <c r="H109" i="4"/>
  <c r="I109" i="4"/>
  <c r="J109" i="4"/>
  <c r="K109" i="4"/>
  <c r="B110" i="4"/>
  <c r="C110" i="4"/>
  <c r="D110" i="4"/>
  <c r="E110" i="4"/>
  <c r="F110" i="4"/>
  <c r="G110" i="4"/>
  <c r="H110" i="4"/>
  <c r="I110" i="4"/>
  <c r="J110" i="4"/>
  <c r="K110" i="4"/>
  <c r="B111" i="4"/>
  <c r="C111" i="4"/>
  <c r="D111" i="4"/>
  <c r="E111" i="4"/>
  <c r="F111" i="4"/>
  <c r="G111" i="4"/>
  <c r="H111" i="4"/>
  <c r="I111" i="4"/>
  <c r="J111" i="4"/>
  <c r="K111" i="4"/>
  <c r="B112" i="4"/>
  <c r="C112" i="4"/>
  <c r="D112" i="4"/>
  <c r="E112" i="4"/>
  <c r="F112" i="4"/>
  <c r="G112" i="4"/>
  <c r="H112" i="4"/>
  <c r="I112" i="4"/>
  <c r="J112" i="4"/>
  <c r="K112" i="4"/>
  <c r="B113" i="4"/>
  <c r="C113" i="4"/>
  <c r="D113" i="4"/>
  <c r="E113" i="4"/>
  <c r="F113" i="4"/>
  <c r="G113" i="4"/>
  <c r="H113" i="4"/>
  <c r="I113" i="4"/>
  <c r="J113" i="4"/>
  <c r="K113" i="4"/>
  <c r="B114" i="4"/>
  <c r="C114" i="4"/>
  <c r="D114" i="4"/>
  <c r="E114" i="4"/>
  <c r="F114" i="4"/>
  <c r="G114" i="4"/>
  <c r="H114" i="4"/>
  <c r="I114" i="4"/>
  <c r="J114" i="4"/>
  <c r="K114" i="4"/>
  <c r="B115" i="4"/>
  <c r="C115" i="4"/>
  <c r="D115" i="4"/>
  <c r="E115" i="4"/>
  <c r="F115" i="4"/>
  <c r="G115" i="4"/>
  <c r="H115" i="4"/>
  <c r="I115" i="4"/>
  <c r="J115" i="4"/>
  <c r="K115" i="4"/>
  <c r="B116" i="4"/>
  <c r="C116" i="4"/>
  <c r="D116" i="4"/>
  <c r="E116" i="4"/>
  <c r="F116" i="4"/>
  <c r="G116" i="4"/>
  <c r="H116" i="4"/>
  <c r="I116" i="4"/>
  <c r="J116" i="4"/>
  <c r="K116" i="4"/>
  <c r="B117" i="4"/>
  <c r="C117" i="4"/>
  <c r="D117" i="4"/>
  <c r="E117" i="4"/>
  <c r="F117" i="4"/>
  <c r="G117" i="4"/>
  <c r="H117" i="4"/>
  <c r="I117" i="4"/>
  <c r="J117" i="4"/>
  <c r="K117" i="4"/>
  <c r="B118" i="4"/>
  <c r="C118" i="4"/>
  <c r="D118" i="4"/>
  <c r="E118" i="4"/>
  <c r="F118" i="4"/>
  <c r="G118" i="4"/>
  <c r="H118" i="4"/>
  <c r="I118" i="4"/>
  <c r="J118" i="4"/>
  <c r="K118" i="4"/>
  <c r="B119" i="4"/>
  <c r="C119" i="4"/>
  <c r="D119" i="4"/>
  <c r="E119" i="4"/>
  <c r="F119" i="4"/>
  <c r="G119" i="4"/>
  <c r="H119" i="4"/>
  <c r="I119" i="4"/>
  <c r="J119" i="4"/>
  <c r="K119" i="4"/>
  <c r="B120" i="4"/>
  <c r="C120" i="4"/>
  <c r="D120" i="4"/>
  <c r="E120" i="4"/>
  <c r="F120" i="4"/>
  <c r="G120" i="4"/>
  <c r="H120" i="4"/>
  <c r="I120" i="4"/>
  <c r="J120" i="4"/>
  <c r="K120" i="4"/>
  <c r="B121" i="4"/>
  <c r="C121" i="4"/>
  <c r="D121" i="4"/>
  <c r="E121" i="4"/>
  <c r="F121" i="4"/>
  <c r="G121" i="4"/>
  <c r="H121" i="4"/>
  <c r="I121" i="4"/>
  <c r="J121" i="4"/>
  <c r="K121" i="4"/>
  <c r="B122" i="4"/>
  <c r="C122" i="4"/>
  <c r="D122" i="4"/>
  <c r="E122" i="4"/>
  <c r="F122" i="4"/>
  <c r="G122" i="4"/>
  <c r="H122" i="4"/>
  <c r="I122" i="4"/>
  <c r="J122" i="4"/>
  <c r="K122" i="4"/>
  <c r="B123" i="4"/>
  <c r="C123" i="4"/>
  <c r="D123" i="4"/>
  <c r="E123" i="4"/>
  <c r="F123" i="4"/>
  <c r="G123" i="4"/>
  <c r="H123" i="4"/>
  <c r="I123" i="4"/>
  <c r="J123" i="4"/>
  <c r="K123" i="4"/>
  <c r="B124" i="4"/>
  <c r="C124" i="4"/>
  <c r="D124" i="4"/>
  <c r="E124" i="4"/>
  <c r="F124" i="4"/>
  <c r="G124" i="4"/>
  <c r="H124" i="4"/>
  <c r="I124" i="4"/>
  <c r="J124" i="4"/>
  <c r="K124" i="4"/>
  <c r="B125" i="4"/>
  <c r="C125" i="4"/>
  <c r="D125" i="4"/>
  <c r="E125" i="4"/>
  <c r="F125" i="4"/>
  <c r="G125" i="4"/>
  <c r="H125" i="4"/>
  <c r="I125" i="4"/>
  <c r="J125" i="4"/>
  <c r="K125" i="4"/>
  <c r="B126" i="4"/>
  <c r="C126" i="4"/>
  <c r="D126" i="4"/>
  <c r="E126" i="4"/>
  <c r="F126" i="4"/>
  <c r="G126" i="4"/>
  <c r="H126" i="4"/>
  <c r="I126" i="4"/>
  <c r="J126" i="4"/>
  <c r="K126" i="4"/>
  <c r="B127" i="4"/>
  <c r="C127" i="4"/>
  <c r="D127" i="4"/>
  <c r="E127" i="4"/>
  <c r="F127" i="4"/>
  <c r="G127" i="4"/>
  <c r="H127" i="4"/>
  <c r="I127" i="4"/>
  <c r="J127" i="4"/>
  <c r="K127" i="4"/>
  <c r="B128" i="4"/>
  <c r="C128" i="4"/>
  <c r="D128" i="4"/>
  <c r="E128" i="4"/>
  <c r="F128" i="4"/>
  <c r="G128" i="4"/>
  <c r="H128" i="4"/>
  <c r="I128" i="4"/>
  <c r="J128" i="4"/>
  <c r="K128" i="4"/>
  <c r="B129" i="4"/>
  <c r="C129" i="4"/>
  <c r="D129" i="4"/>
  <c r="E129" i="4"/>
  <c r="F129" i="4"/>
  <c r="G129" i="4"/>
  <c r="H129" i="4"/>
  <c r="I129" i="4"/>
  <c r="J129" i="4"/>
  <c r="K129" i="4"/>
  <c r="B130" i="4"/>
  <c r="C130" i="4"/>
  <c r="D130" i="4"/>
  <c r="E130" i="4"/>
  <c r="F130" i="4"/>
  <c r="G130" i="4"/>
  <c r="H130" i="4"/>
  <c r="I130" i="4"/>
  <c r="J130" i="4"/>
  <c r="K130" i="4"/>
  <c r="B131" i="4"/>
  <c r="C131" i="4"/>
  <c r="D131" i="4"/>
  <c r="E131" i="4"/>
  <c r="F131" i="4"/>
  <c r="G131" i="4"/>
  <c r="H131" i="4"/>
  <c r="I131" i="4"/>
  <c r="J131" i="4"/>
  <c r="K131" i="4"/>
  <c r="B132" i="4"/>
  <c r="C132" i="4"/>
  <c r="D132" i="4"/>
  <c r="E132" i="4"/>
  <c r="F132" i="4"/>
  <c r="G132" i="4"/>
  <c r="H132" i="4"/>
  <c r="I132" i="4"/>
  <c r="J132" i="4"/>
  <c r="K132" i="4"/>
  <c r="B133" i="4"/>
  <c r="C133" i="4"/>
  <c r="D133" i="4"/>
  <c r="E133" i="4"/>
  <c r="F133" i="4"/>
  <c r="G133" i="4"/>
  <c r="H133" i="4"/>
  <c r="I133" i="4"/>
  <c r="J133" i="4"/>
  <c r="K133" i="4"/>
  <c r="B134" i="4"/>
  <c r="C134" i="4"/>
  <c r="D134" i="4"/>
  <c r="E134" i="4"/>
  <c r="F134" i="4"/>
  <c r="G134" i="4"/>
  <c r="H134" i="4"/>
  <c r="I134" i="4"/>
  <c r="J134" i="4"/>
  <c r="K134" i="4"/>
  <c r="B135" i="4"/>
  <c r="C135" i="4"/>
  <c r="D135" i="4"/>
  <c r="E135" i="4"/>
  <c r="F135" i="4"/>
  <c r="G135" i="4"/>
  <c r="H135" i="4"/>
  <c r="I135" i="4"/>
  <c r="J135" i="4"/>
  <c r="K135" i="4"/>
  <c r="B136" i="4"/>
  <c r="C136" i="4"/>
  <c r="D136" i="4"/>
  <c r="E136" i="4"/>
  <c r="F136" i="4"/>
  <c r="G136" i="4"/>
  <c r="H136" i="4"/>
  <c r="I136" i="4"/>
  <c r="J136" i="4"/>
  <c r="K136" i="4"/>
  <c r="B137" i="4"/>
  <c r="C137" i="4"/>
  <c r="D137" i="4"/>
  <c r="E137" i="4"/>
  <c r="F137" i="4"/>
  <c r="G137" i="4"/>
  <c r="H137" i="4"/>
  <c r="I137" i="4"/>
  <c r="J137" i="4"/>
  <c r="K137" i="4"/>
  <c r="B138" i="4"/>
  <c r="C138" i="4"/>
  <c r="D138" i="4"/>
  <c r="E138" i="4"/>
  <c r="F138" i="4"/>
  <c r="G138" i="4"/>
  <c r="H138" i="4"/>
  <c r="I138" i="4"/>
  <c r="J138" i="4"/>
  <c r="K138" i="4"/>
  <c r="B139" i="4"/>
  <c r="C139" i="4"/>
  <c r="D139" i="4"/>
  <c r="E139" i="4"/>
  <c r="F139" i="4"/>
  <c r="G139" i="4"/>
  <c r="H139" i="4"/>
  <c r="I139" i="4"/>
  <c r="J139" i="4"/>
  <c r="K139" i="4"/>
  <c r="B140" i="4"/>
  <c r="C140" i="4"/>
  <c r="D140" i="4"/>
  <c r="E140" i="4"/>
  <c r="F140" i="4"/>
  <c r="G140" i="4"/>
  <c r="H140" i="4"/>
  <c r="I140" i="4"/>
  <c r="J140" i="4"/>
  <c r="K140" i="4"/>
  <c r="B141" i="4"/>
  <c r="C141" i="4"/>
  <c r="D141" i="4"/>
  <c r="E141" i="4"/>
  <c r="F141" i="4"/>
  <c r="G141" i="4"/>
  <c r="H141" i="4"/>
  <c r="I141" i="4"/>
  <c r="J141" i="4"/>
  <c r="K141" i="4"/>
  <c r="B142" i="4"/>
  <c r="C142" i="4"/>
  <c r="D142" i="4"/>
  <c r="E142" i="4"/>
  <c r="F142" i="4"/>
  <c r="G142" i="4"/>
  <c r="H142" i="4"/>
  <c r="I142" i="4"/>
  <c r="J142" i="4"/>
  <c r="K142" i="4"/>
  <c r="B143" i="4"/>
  <c r="C143" i="4"/>
  <c r="D143" i="4"/>
  <c r="E143" i="4"/>
  <c r="F143" i="4"/>
  <c r="G143" i="4"/>
  <c r="H143" i="4"/>
  <c r="I143" i="4"/>
  <c r="J143" i="4"/>
  <c r="K143" i="4"/>
  <c r="B144" i="4"/>
  <c r="C144" i="4"/>
  <c r="D144" i="4"/>
  <c r="E144" i="4"/>
  <c r="F144" i="4"/>
  <c r="G144" i="4"/>
  <c r="H144" i="4"/>
  <c r="I144" i="4"/>
  <c r="J144" i="4"/>
  <c r="K144" i="4"/>
  <c r="B145" i="4"/>
  <c r="C145" i="4"/>
  <c r="D145" i="4"/>
  <c r="E145" i="4"/>
  <c r="F145" i="4"/>
  <c r="G145" i="4"/>
  <c r="H145" i="4"/>
  <c r="I145" i="4"/>
  <c r="J145" i="4"/>
  <c r="K145" i="4"/>
  <c r="B146" i="4"/>
  <c r="C146" i="4"/>
  <c r="D146" i="4"/>
  <c r="E146" i="4"/>
  <c r="F146" i="4"/>
  <c r="G146" i="4"/>
  <c r="H146" i="4"/>
  <c r="I146" i="4"/>
  <c r="J146" i="4"/>
  <c r="K146" i="4"/>
  <c r="B147" i="4"/>
  <c r="C147" i="4"/>
  <c r="D147" i="4"/>
  <c r="E147" i="4"/>
  <c r="F147" i="4"/>
  <c r="G147" i="4"/>
  <c r="H147" i="4"/>
  <c r="I147" i="4"/>
  <c r="J147" i="4"/>
  <c r="K147" i="4"/>
  <c r="B148" i="4"/>
  <c r="C148" i="4"/>
  <c r="D148" i="4"/>
  <c r="E148" i="4"/>
  <c r="F148" i="4"/>
  <c r="G148" i="4"/>
  <c r="H148" i="4"/>
  <c r="I148" i="4"/>
  <c r="J148" i="4"/>
  <c r="K148" i="4"/>
  <c r="B149" i="4"/>
  <c r="C149" i="4"/>
  <c r="D149" i="4"/>
  <c r="E149" i="4"/>
  <c r="F149" i="4"/>
  <c r="G149" i="4"/>
  <c r="H149" i="4"/>
  <c r="I149" i="4"/>
  <c r="J149" i="4"/>
  <c r="K149" i="4"/>
  <c r="B150" i="4"/>
  <c r="C150" i="4"/>
  <c r="D150" i="4"/>
  <c r="E150" i="4"/>
  <c r="F150" i="4"/>
  <c r="G150" i="4"/>
  <c r="H150" i="4"/>
  <c r="I150" i="4"/>
  <c r="J150" i="4"/>
  <c r="K150" i="4"/>
  <c r="B151" i="4"/>
  <c r="C151" i="4"/>
  <c r="D151" i="4"/>
  <c r="E151" i="4"/>
  <c r="F151" i="4"/>
  <c r="G151" i="4"/>
  <c r="H151" i="4"/>
  <c r="I151" i="4"/>
  <c r="J151" i="4"/>
  <c r="K151" i="4"/>
  <c r="B152" i="4"/>
  <c r="C152" i="4"/>
  <c r="D152" i="4"/>
  <c r="E152" i="4"/>
  <c r="F152" i="4"/>
  <c r="G152" i="4"/>
  <c r="H152" i="4"/>
  <c r="I152" i="4"/>
  <c r="J152" i="4"/>
  <c r="K152" i="4"/>
  <c r="B153" i="4"/>
  <c r="C153" i="4"/>
  <c r="D153" i="4"/>
  <c r="E153" i="4"/>
  <c r="F153" i="4"/>
  <c r="G153" i="4"/>
  <c r="H153" i="4"/>
  <c r="I153" i="4"/>
  <c r="J153" i="4"/>
  <c r="K153" i="4"/>
  <c r="B154" i="4"/>
  <c r="C154" i="4"/>
  <c r="D154" i="4"/>
  <c r="E154" i="4"/>
  <c r="F154" i="4"/>
  <c r="G154" i="4"/>
  <c r="H154" i="4"/>
  <c r="I154" i="4"/>
  <c r="J154" i="4"/>
  <c r="K154" i="4"/>
  <c r="B155" i="4"/>
  <c r="C155" i="4"/>
  <c r="D155" i="4"/>
  <c r="E155" i="4"/>
  <c r="F155" i="4"/>
  <c r="G155" i="4"/>
  <c r="H155" i="4"/>
  <c r="I155" i="4"/>
  <c r="J155" i="4"/>
  <c r="K155" i="4"/>
  <c r="B156" i="4"/>
  <c r="C156" i="4"/>
  <c r="D156" i="4"/>
  <c r="E156" i="4"/>
  <c r="F156" i="4"/>
  <c r="G156" i="4"/>
  <c r="H156" i="4"/>
  <c r="I156" i="4"/>
  <c r="J156" i="4"/>
  <c r="K156" i="4"/>
  <c r="B157" i="4"/>
  <c r="C157" i="4"/>
  <c r="D157" i="4"/>
  <c r="E157" i="4"/>
  <c r="F157" i="4"/>
  <c r="G157" i="4"/>
  <c r="H157" i="4"/>
  <c r="I157" i="4"/>
  <c r="J157" i="4"/>
  <c r="K157" i="4"/>
  <c r="B158" i="4"/>
  <c r="C158" i="4"/>
  <c r="D158" i="4"/>
  <c r="E158" i="4"/>
  <c r="F158" i="4"/>
  <c r="G158" i="4"/>
  <c r="H158" i="4"/>
  <c r="I158" i="4"/>
  <c r="J158" i="4"/>
  <c r="K158" i="4"/>
  <c r="B159" i="4"/>
  <c r="C159" i="4"/>
  <c r="D159" i="4"/>
  <c r="E159" i="4"/>
  <c r="F159" i="4"/>
  <c r="G159" i="4"/>
  <c r="H159" i="4"/>
  <c r="I159" i="4"/>
  <c r="J159" i="4"/>
  <c r="K159" i="4"/>
  <c r="B160" i="4"/>
  <c r="C160" i="4"/>
  <c r="D160" i="4"/>
  <c r="E160" i="4"/>
  <c r="F160" i="4"/>
  <c r="G160" i="4"/>
  <c r="H160" i="4"/>
  <c r="I160" i="4"/>
  <c r="J160" i="4"/>
  <c r="K160" i="4"/>
  <c r="B161" i="4"/>
  <c r="C161" i="4"/>
  <c r="D161" i="4"/>
  <c r="E161" i="4"/>
  <c r="F161" i="4"/>
  <c r="G161" i="4"/>
  <c r="H161" i="4"/>
  <c r="I161" i="4"/>
  <c r="J161" i="4"/>
  <c r="K161" i="4"/>
  <c r="B162" i="4"/>
  <c r="C162" i="4"/>
  <c r="D162" i="4"/>
  <c r="E162" i="4"/>
  <c r="F162" i="4"/>
  <c r="G162" i="4"/>
  <c r="H162" i="4"/>
  <c r="I162" i="4"/>
  <c r="J162" i="4"/>
  <c r="K162" i="4"/>
  <c r="B163" i="4"/>
  <c r="C163" i="4"/>
  <c r="D163" i="4"/>
  <c r="E163" i="4"/>
  <c r="F163" i="4"/>
  <c r="G163" i="4"/>
  <c r="H163" i="4"/>
  <c r="I163" i="4"/>
  <c r="J163" i="4"/>
  <c r="K163" i="4"/>
  <c r="B164" i="4"/>
  <c r="C164" i="4"/>
  <c r="D164" i="4"/>
  <c r="E164" i="4"/>
  <c r="F164" i="4"/>
  <c r="G164" i="4"/>
  <c r="H164" i="4"/>
  <c r="I164" i="4"/>
  <c r="J164" i="4"/>
  <c r="K164" i="4"/>
  <c r="B165" i="4"/>
  <c r="C165" i="4"/>
  <c r="D165" i="4"/>
  <c r="E165" i="4"/>
  <c r="F165" i="4"/>
  <c r="G165" i="4"/>
  <c r="H165" i="4"/>
  <c r="I165" i="4"/>
  <c r="J165" i="4"/>
  <c r="K165" i="4"/>
  <c r="B166" i="4"/>
  <c r="C166" i="4"/>
  <c r="D166" i="4"/>
  <c r="E166" i="4"/>
  <c r="F166" i="4"/>
  <c r="G166" i="4"/>
  <c r="H166" i="4"/>
  <c r="I166" i="4"/>
  <c r="J166" i="4"/>
  <c r="K166" i="4"/>
  <c r="B167" i="4"/>
  <c r="C167" i="4"/>
  <c r="D167" i="4"/>
  <c r="E167" i="4"/>
  <c r="F167" i="4"/>
  <c r="G167" i="4"/>
  <c r="H167" i="4"/>
  <c r="I167" i="4"/>
  <c r="J167" i="4"/>
  <c r="K167" i="4"/>
  <c r="B168" i="4"/>
  <c r="C168" i="4"/>
  <c r="D168" i="4"/>
  <c r="E168" i="4"/>
  <c r="F168" i="4"/>
  <c r="G168" i="4"/>
  <c r="H168" i="4"/>
  <c r="I168" i="4"/>
  <c r="J168" i="4"/>
  <c r="K168" i="4"/>
  <c r="B169" i="4"/>
  <c r="C169" i="4"/>
  <c r="D169" i="4"/>
  <c r="E169" i="4"/>
  <c r="F169" i="4"/>
  <c r="G169" i="4"/>
  <c r="H169" i="4"/>
  <c r="I169" i="4"/>
  <c r="J169" i="4"/>
  <c r="K169" i="4"/>
  <c r="B170" i="4"/>
  <c r="C170" i="4"/>
  <c r="D170" i="4"/>
  <c r="E170" i="4"/>
  <c r="F170" i="4"/>
  <c r="G170" i="4"/>
  <c r="H170" i="4"/>
  <c r="I170" i="4"/>
  <c r="J170" i="4"/>
  <c r="K170" i="4"/>
  <c r="B171" i="4"/>
  <c r="C171" i="4"/>
  <c r="D171" i="4"/>
  <c r="E171" i="4"/>
  <c r="F171" i="4"/>
  <c r="G171" i="4"/>
  <c r="H171" i="4"/>
  <c r="I171" i="4"/>
  <c r="J171" i="4"/>
  <c r="K171" i="4"/>
  <c r="B172" i="4"/>
  <c r="C172" i="4"/>
  <c r="D172" i="4"/>
  <c r="E172" i="4"/>
  <c r="F172" i="4"/>
  <c r="G172" i="4"/>
  <c r="H172" i="4"/>
  <c r="I172" i="4"/>
  <c r="J172" i="4"/>
  <c r="K172" i="4"/>
  <c r="B173" i="4"/>
  <c r="C173" i="4"/>
  <c r="D173" i="4"/>
  <c r="E173" i="4"/>
  <c r="F173" i="4"/>
  <c r="G173" i="4"/>
  <c r="H173" i="4"/>
  <c r="I173" i="4"/>
  <c r="J173" i="4"/>
  <c r="K173" i="4"/>
  <c r="B174" i="4"/>
  <c r="C174" i="4"/>
  <c r="D174" i="4"/>
  <c r="E174" i="4"/>
  <c r="F174" i="4"/>
  <c r="G174" i="4"/>
  <c r="H174" i="4"/>
  <c r="I174" i="4"/>
  <c r="J174" i="4"/>
  <c r="K174" i="4"/>
  <c r="B175" i="4"/>
  <c r="C175" i="4"/>
  <c r="D175" i="4"/>
  <c r="E175" i="4"/>
  <c r="F175" i="4"/>
  <c r="G175" i="4"/>
  <c r="H175" i="4"/>
  <c r="I175" i="4"/>
  <c r="J175" i="4"/>
  <c r="K175" i="4"/>
  <c r="B176" i="4"/>
  <c r="C176" i="4"/>
  <c r="D176" i="4"/>
  <c r="E176" i="4"/>
  <c r="F176" i="4"/>
  <c r="G176" i="4"/>
  <c r="H176" i="4"/>
  <c r="I176" i="4"/>
  <c r="J176" i="4"/>
  <c r="K176" i="4"/>
  <c r="B177" i="4"/>
  <c r="C177" i="4"/>
  <c r="D177" i="4"/>
  <c r="E177" i="4"/>
  <c r="F177" i="4"/>
  <c r="G177" i="4"/>
  <c r="H177" i="4"/>
  <c r="I177" i="4"/>
  <c r="J177" i="4"/>
  <c r="K177" i="4"/>
  <c r="B178" i="4"/>
  <c r="C178" i="4"/>
  <c r="D178" i="4"/>
  <c r="E178" i="4"/>
  <c r="F178" i="4"/>
  <c r="G178" i="4"/>
  <c r="H178" i="4"/>
  <c r="I178" i="4"/>
  <c r="J178" i="4"/>
  <c r="K178" i="4"/>
  <c r="B179" i="4"/>
  <c r="C179" i="4"/>
  <c r="D179" i="4"/>
  <c r="E179" i="4"/>
  <c r="F179" i="4"/>
  <c r="G179" i="4"/>
  <c r="H179" i="4"/>
  <c r="I179" i="4"/>
  <c r="J179" i="4"/>
  <c r="K179" i="4"/>
  <c r="B180" i="4"/>
  <c r="C180" i="4"/>
  <c r="D180" i="4"/>
  <c r="E180" i="4"/>
  <c r="F180" i="4"/>
  <c r="G180" i="4"/>
  <c r="H180" i="4"/>
  <c r="I180" i="4"/>
  <c r="J180" i="4"/>
  <c r="K180" i="4"/>
  <c r="B181" i="4"/>
  <c r="C181" i="4"/>
  <c r="D181" i="4"/>
  <c r="E181" i="4"/>
  <c r="F181" i="4"/>
  <c r="G181" i="4"/>
  <c r="H181" i="4"/>
  <c r="I181" i="4"/>
  <c r="J181" i="4"/>
  <c r="K181" i="4"/>
  <c r="B182" i="4"/>
  <c r="C182" i="4"/>
  <c r="D182" i="4"/>
  <c r="E182" i="4"/>
  <c r="F182" i="4"/>
  <c r="G182" i="4"/>
  <c r="H182" i="4"/>
  <c r="I182" i="4"/>
  <c r="J182" i="4"/>
  <c r="K182" i="4"/>
  <c r="B183" i="4"/>
  <c r="C183" i="4"/>
  <c r="D183" i="4"/>
  <c r="E183" i="4"/>
  <c r="F183" i="4"/>
  <c r="G183" i="4"/>
  <c r="H183" i="4"/>
  <c r="I183" i="4"/>
  <c r="J183" i="4"/>
  <c r="K183" i="4"/>
  <c r="B184" i="4"/>
  <c r="C184" i="4"/>
  <c r="D184" i="4"/>
  <c r="E184" i="4"/>
  <c r="F184" i="4"/>
  <c r="G184" i="4"/>
  <c r="H184" i="4"/>
  <c r="I184" i="4"/>
  <c r="J184" i="4"/>
  <c r="K184" i="4"/>
  <c r="B185" i="4"/>
  <c r="C185" i="4"/>
  <c r="D185" i="4"/>
  <c r="E185" i="4"/>
  <c r="F185" i="4"/>
  <c r="G185" i="4"/>
  <c r="H185" i="4"/>
  <c r="I185" i="4"/>
  <c r="J185" i="4"/>
  <c r="K185" i="4"/>
  <c r="B186" i="4"/>
  <c r="C186" i="4"/>
  <c r="D186" i="4"/>
  <c r="E186" i="4"/>
  <c r="F186" i="4"/>
  <c r="G186" i="4"/>
  <c r="H186" i="4"/>
  <c r="I186" i="4"/>
  <c r="J186" i="4"/>
  <c r="K186" i="4"/>
  <c r="B187" i="4"/>
  <c r="C187" i="4"/>
  <c r="D187" i="4"/>
  <c r="E187" i="4"/>
  <c r="F187" i="4"/>
  <c r="G187" i="4"/>
  <c r="H187" i="4"/>
  <c r="I187" i="4"/>
  <c r="J187" i="4"/>
  <c r="K187" i="4"/>
  <c r="B188" i="4"/>
  <c r="C188" i="4"/>
  <c r="D188" i="4"/>
  <c r="E188" i="4"/>
  <c r="F188" i="4"/>
  <c r="G188" i="4"/>
  <c r="H188" i="4"/>
  <c r="I188" i="4"/>
  <c r="J188" i="4"/>
  <c r="K188" i="4"/>
  <c r="B189" i="4"/>
  <c r="C189" i="4"/>
  <c r="D189" i="4"/>
  <c r="E189" i="4"/>
  <c r="F189" i="4"/>
  <c r="G189" i="4"/>
  <c r="H189" i="4"/>
  <c r="I189" i="4"/>
  <c r="J189" i="4"/>
  <c r="K189" i="4"/>
  <c r="B190" i="4"/>
  <c r="C190" i="4"/>
  <c r="D190" i="4"/>
  <c r="E190" i="4"/>
  <c r="F190" i="4"/>
  <c r="G190" i="4"/>
  <c r="H190" i="4"/>
  <c r="I190" i="4"/>
  <c r="J190" i="4"/>
  <c r="K190" i="4"/>
  <c r="B191" i="4"/>
  <c r="C191" i="4"/>
  <c r="D191" i="4"/>
  <c r="E191" i="4"/>
  <c r="F191" i="4"/>
  <c r="G191" i="4"/>
  <c r="H191" i="4"/>
  <c r="I191" i="4"/>
  <c r="J191" i="4"/>
  <c r="K191" i="4"/>
  <c r="B192" i="4"/>
  <c r="C192" i="4"/>
  <c r="D192" i="4"/>
  <c r="E192" i="4"/>
  <c r="F192" i="4"/>
  <c r="G192" i="4"/>
  <c r="H192" i="4"/>
  <c r="I192" i="4"/>
  <c r="J192" i="4"/>
  <c r="K192" i="4"/>
  <c r="B193" i="4"/>
  <c r="C193" i="4"/>
  <c r="D193" i="4"/>
  <c r="E193" i="4"/>
  <c r="F193" i="4"/>
  <c r="G193" i="4"/>
  <c r="H193" i="4"/>
  <c r="I193" i="4"/>
  <c r="J193" i="4"/>
  <c r="K193" i="4"/>
  <c r="B194" i="4"/>
  <c r="C194" i="4"/>
  <c r="D194" i="4"/>
  <c r="E194" i="4"/>
  <c r="F194" i="4"/>
  <c r="G194" i="4"/>
  <c r="H194" i="4"/>
  <c r="I194" i="4"/>
  <c r="J194" i="4"/>
  <c r="K194" i="4"/>
  <c r="B195" i="4"/>
  <c r="C195" i="4"/>
  <c r="D195" i="4"/>
  <c r="E195" i="4"/>
  <c r="F195" i="4"/>
  <c r="G195" i="4"/>
  <c r="H195" i="4"/>
  <c r="I195" i="4"/>
  <c r="J195" i="4"/>
  <c r="K195" i="4"/>
  <c r="B196" i="4"/>
  <c r="C196" i="4"/>
  <c r="D196" i="4"/>
  <c r="E196" i="4"/>
  <c r="F196" i="4"/>
  <c r="G196" i="4"/>
  <c r="H196" i="4"/>
  <c r="I196" i="4"/>
  <c r="J196" i="4"/>
  <c r="K196" i="4"/>
  <c r="B197" i="4"/>
  <c r="C197" i="4"/>
  <c r="D197" i="4"/>
  <c r="E197" i="4"/>
  <c r="F197" i="4"/>
  <c r="G197" i="4"/>
  <c r="H197" i="4"/>
  <c r="I197" i="4"/>
  <c r="J197" i="4"/>
  <c r="K197" i="4"/>
  <c r="B198" i="4"/>
  <c r="C198" i="4"/>
  <c r="D198" i="4"/>
  <c r="E198" i="4"/>
  <c r="F198" i="4"/>
  <c r="G198" i="4"/>
  <c r="H198" i="4"/>
  <c r="I198" i="4"/>
  <c r="J198" i="4"/>
  <c r="K198" i="4"/>
  <c r="B199" i="4"/>
  <c r="C199" i="4"/>
  <c r="D199" i="4"/>
  <c r="E199" i="4"/>
  <c r="F199" i="4"/>
  <c r="G199" i="4"/>
  <c r="H199" i="4"/>
  <c r="I199" i="4"/>
  <c r="J199" i="4"/>
  <c r="K199" i="4"/>
  <c r="B200" i="4"/>
  <c r="C200" i="4"/>
  <c r="D200" i="4"/>
  <c r="E200" i="4"/>
  <c r="F200" i="4"/>
  <c r="G200" i="4"/>
  <c r="H200" i="4"/>
  <c r="I200" i="4"/>
  <c r="J200" i="4"/>
  <c r="K200" i="4"/>
  <c r="B201" i="4"/>
  <c r="C201" i="4"/>
  <c r="D201" i="4"/>
  <c r="E201" i="4"/>
  <c r="F201" i="4"/>
  <c r="G201" i="4"/>
  <c r="H201" i="4"/>
  <c r="I201" i="4"/>
  <c r="J201" i="4"/>
  <c r="K201" i="4"/>
  <c r="B202" i="4"/>
  <c r="C202" i="4"/>
  <c r="D202" i="4"/>
  <c r="E202" i="4"/>
  <c r="F202" i="4"/>
  <c r="G202" i="4"/>
  <c r="H202" i="4"/>
  <c r="I202" i="4"/>
  <c r="J202" i="4"/>
  <c r="K202" i="4"/>
  <c r="B203" i="4"/>
  <c r="C203" i="4"/>
  <c r="D203" i="4"/>
  <c r="E203" i="4"/>
  <c r="F203" i="4"/>
  <c r="G203" i="4"/>
  <c r="H203" i="4"/>
  <c r="I203" i="4"/>
  <c r="J203" i="4"/>
  <c r="K203" i="4"/>
  <c r="B204" i="4"/>
  <c r="C204" i="4"/>
  <c r="D204" i="4"/>
  <c r="E204" i="4"/>
  <c r="F204" i="4"/>
  <c r="G204" i="4"/>
  <c r="H204" i="4"/>
  <c r="I204" i="4"/>
  <c r="J204" i="4"/>
  <c r="K204" i="4"/>
  <c r="B205" i="4"/>
  <c r="C205" i="4"/>
  <c r="D205" i="4"/>
  <c r="E205" i="4"/>
  <c r="F205" i="4"/>
  <c r="G205" i="4"/>
  <c r="H205" i="4"/>
  <c r="I205" i="4"/>
  <c r="J205" i="4"/>
  <c r="K205" i="4"/>
  <c r="B206" i="4"/>
  <c r="C206" i="4"/>
  <c r="D206" i="4"/>
  <c r="E206" i="4"/>
  <c r="F206" i="4"/>
  <c r="G206" i="4"/>
  <c r="H206" i="4"/>
  <c r="I206" i="4"/>
  <c r="J206" i="4"/>
  <c r="K206" i="4"/>
  <c r="B207" i="4"/>
  <c r="C207" i="4"/>
  <c r="D207" i="4"/>
  <c r="E207" i="4"/>
  <c r="F207" i="4"/>
  <c r="G207" i="4"/>
  <c r="H207" i="4"/>
  <c r="I207" i="4"/>
  <c r="J207" i="4"/>
  <c r="K207" i="4"/>
  <c r="B208" i="4"/>
  <c r="C208" i="4"/>
  <c r="D208" i="4"/>
  <c r="E208" i="4"/>
  <c r="F208" i="4"/>
  <c r="G208" i="4"/>
  <c r="H208" i="4"/>
  <c r="I208" i="4"/>
  <c r="J208" i="4"/>
  <c r="K208" i="4"/>
  <c r="B209" i="4"/>
  <c r="C209" i="4"/>
  <c r="D209" i="4"/>
  <c r="E209" i="4"/>
  <c r="F209" i="4"/>
  <c r="G209" i="4"/>
  <c r="H209" i="4"/>
  <c r="I209" i="4"/>
  <c r="J209" i="4"/>
  <c r="K209" i="4"/>
  <c r="B210" i="4"/>
  <c r="C210" i="4"/>
  <c r="D210" i="4"/>
  <c r="E210" i="4"/>
  <c r="F210" i="4"/>
  <c r="G210" i="4"/>
  <c r="H210" i="4"/>
  <c r="I210" i="4"/>
  <c r="J210" i="4"/>
  <c r="K210" i="4"/>
  <c r="B211" i="4"/>
  <c r="C211" i="4"/>
  <c r="D211" i="4"/>
  <c r="E211" i="4"/>
  <c r="F211" i="4"/>
  <c r="G211" i="4"/>
  <c r="H211" i="4"/>
  <c r="I211" i="4"/>
  <c r="J211" i="4"/>
  <c r="K211" i="4"/>
  <c r="B212" i="4"/>
  <c r="C212" i="4"/>
  <c r="D212" i="4"/>
  <c r="E212" i="4"/>
  <c r="F212" i="4"/>
  <c r="G212" i="4"/>
  <c r="H212" i="4"/>
  <c r="I212" i="4"/>
  <c r="J212" i="4"/>
  <c r="K212" i="4"/>
  <c r="B213" i="4"/>
  <c r="C213" i="4"/>
  <c r="D213" i="4"/>
  <c r="E213" i="4"/>
  <c r="F213" i="4"/>
  <c r="G213" i="4"/>
  <c r="H213" i="4"/>
  <c r="I213" i="4"/>
  <c r="J213" i="4"/>
  <c r="K213" i="4"/>
  <c r="B214" i="4"/>
  <c r="C214" i="4"/>
  <c r="D214" i="4"/>
  <c r="E214" i="4"/>
  <c r="F214" i="4"/>
  <c r="G214" i="4"/>
  <c r="H214" i="4"/>
  <c r="I214" i="4"/>
  <c r="J214" i="4"/>
  <c r="K214" i="4"/>
  <c r="B215" i="4"/>
  <c r="C215" i="4"/>
  <c r="D215" i="4"/>
  <c r="E215" i="4"/>
  <c r="F215" i="4"/>
  <c r="G215" i="4"/>
  <c r="H215" i="4"/>
  <c r="I215" i="4"/>
  <c r="J215" i="4"/>
  <c r="K215" i="4"/>
  <c r="B216" i="4"/>
  <c r="C216" i="4"/>
  <c r="D216" i="4"/>
  <c r="E216" i="4"/>
  <c r="F216" i="4"/>
  <c r="G216" i="4"/>
  <c r="H216" i="4"/>
  <c r="I216" i="4"/>
  <c r="J216" i="4"/>
  <c r="K216" i="4"/>
  <c r="B217" i="4"/>
  <c r="C217" i="4"/>
  <c r="D217" i="4"/>
  <c r="E217" i="4"/>
  <c r="F217" i="4"/>
  <c r="G217" i="4"/>
  <c r="H217" i="4"/>
  <c r="I217" i="4"/>
  <c r="J217" i="4"/>
  <c r="K217" i="4"/>
  <c r="B218" i="4"/>
  <c r="C218" i="4"/>
  <c r="D218" i="4"/>
  <c r="E218" i="4"/>
  <c r="F218" i="4"/>
  <c r="G218" i="4"/>
  <c r="H218" i="4"/>
  <c r="I218" i="4"/>
  <c r="J218" i="4"/>
  <c r="K218" i="4"/>
  <c r="B219" i="4"/>
  <c r="C219" i="4"/>
  <c r="D219" i="4"/>
  <c r="E219" i="4"/>
  <c r="F219" i="4"/>
  <c r="G219" i="4"/>
  <c r="H219" i="4"/>
  <c r="I219" i="4"/>
  <c r="J219" i="4"/>
  <c r="K219" i="4"/>
  <c r="B220" i="4"/>
  <c r="C220" i="4"/>
  <c r="D220" i="4"/>
  <c r="E220" i="4"/>
  <c r="F220" i="4"/>
  <c r="G220" i="4"/>
  <c r="H220" i="4"/>
  <c r="I220" i="4"/>
  <c r="J220" i="4"/>
  <c r="K220" i="4"/>
  <c r="B221" i="4"/>
  <c r="C221" i="4"/>
  <c r="D221" i="4"/>
  <c r="E221" i="4"/>
  <c r="F221" i="4"/>
  <c r="G221" i="4"/>
  <c r="H221" i="4"/>
  <c r="I221" i="4"/>
  <c r="J221" i="4"/>
  <c r="K221" i="4"/>
  <c r="B222" i="4"/>
  <c r="C222" i="4"/>
  <c r="D222" i="4"/>
  <c r="E222" i="4"/>
  <c r="F222" i="4"/>
  <c r="G222" i="4"/>
  <c r="H222" i="4"/>
  <c r="I222" i="4"/>
  <c r="J222" i="4"/>
  <c r="K222" i="4"/>
  <c r="B223" i="4"/>
  <c r="C223" i="4"/>
  <c r="D223" i="4"/>
  <c r="E223" i="4"/>
  <c r="F223" i="4"/>
  <c r="G223" i="4"/>
  <c r="H223" i="4"/>
  <c r="I223" i="4"/>
  <c r="J223" i="4"/>
  <c r="K223" i="4"/>
  <c r="B224" i="4"/>
  <c r="C224" i="4"/>
  <c r="D224" i="4"/>
  <c r="E224" i="4"/>
  <c r="F224" i="4"/>
  <c r="G224" i="4"/>
  <c r="H224" i="4"/>
  <c r="I224" i="4"/>
  <c r="J224" i="4"/>
  <c r="K224" i="4"/>
  <c r="B225" i="4"/>
  <c r="C225" i="4"/>
  <c r="D225" i="4"/>
  <c r="E225" i="4"/>
  <c r="F225" i="4"/>
  <c r="G225" i="4"/>
  <c r="H225" i="4"/>
  <c r="I225" i="4"/>
  <c r="J225" i="4"/>
  <c r="K225" i="4"/>
  <c r="B226" i="4"/>
  <c r="C226" i="4"/>
  <c r="D226" i="4"/>
  <c r="E226" i="4"/>
  <c r="F226" i="4"/>
  <c r="G226" i="4"/>
  <c r="H226" i="4"/>
  <c r="I226" i="4"/>
  <c r="J226" i="4"/>
  <c r="K226" i="4"/>
  <c r="B227" i="4"/>
  <c r="C227" i="4"/>
  <c r="D227" i="4"/>
  <c r="E227" i="4"/>
  <c r="F227" i="4"/>
  <c r="G227" i="4"/>
  <c r="H227" i="4"/>
  <c r="I227" i="4"/>
  <c r="J227" i="4"/>
  <c r="K227" i="4"/>
  <c r="B228" i="4"/>
  <c r="C228" i="4"/>
  <c r="D228" i="4"/>
  <c r="E228" i="4"/>
  <c r="F228" i="4"/>
  <c r="G228" i="4"/>
  <c r="H228" i="4"/>
  <c r="I228" i="4"/>
  <c r="J228" i="4"/>
  <c r="K228" i="4"/>
  <c r="B229" i="4"/>
  <c r="C229" i="4"/>
  <c r="D229" i="4"/>
  <c r="E229" i="4"/>
  <c r="F229" i="4"/>
  <c r="G229" i="4"/>
  <c r="H229" i="4"/>
  <c r="I229" i="4"/>
  <c r="J229" i="4"/>
  <c r="K229" i="4"/>
  <c r="B230" i="4"/>
  <c r="C230" i="4"/>
  <c r="D230" i="4"/>
  <c r="E230" i="4"/>
  <c r="F230" i="4"/>
  <c r="G230" i="4"/>
  <c r="H230" i="4"/>
  <c r="I230" i="4"/>
  <c r="J230" i="4"/>
  <c r="K230" i="4"/>
  <c r="B231" i="4"/>
  <c r="C231" i="4"/>
  <c r="D231" i="4"/>
  <c r="E231" i="4"/>
  <c r="F231" i="4"/>
  <c r="G231" i="4"/>
  <c r="H231" i="4"/>
  <c r="I231" i="4"/>
  <c r="J231" i="4"/>
  <c r="K231" i="4"/>
  <c r="B232" i="4"/>
  <c r="C232" i="4"/>
  <c r="D232" i="4"/>
  <c r="E232" i="4"/>
  <c r="F232" i="4"/>
  <c r="G232" i="4"/>
  <c r="H232" i="4"/>
  <c r="I232" i="4"/>
  <c r="J232" i="4"/>
  <c r="K232" i="4"/>
  <c r="B233" i="4"/>
  <c r="C233" i="4"/>
  <c r="D233" i="4"/>
  <c r="E233" i="4"/>
  <c r="F233" i="4"/>
  <c r="G233" i="4"/>
  <c r="H233" i="4"/>
  <c r="I233" i="4"/>
  <c r="J233" i="4"/>
  <c r="K233" i="4"/>
  <c r="B234" i="4"/>
  <c r="C234" i="4"/>
  <c r="D234" i="4"/>
  <c r="E234" i="4"/>
  <c r="F234" i="4"/>
  <c r="G234" i="4"/>
  <c r="H234" i="4"/>
  <c r="I234" i="4"/>
  <c r="J234" i="4"/>
  <c r="K234" i="4"/>
  <c r="B235" i="4"/>
  <c r="C235" i="4"/>
  <c r="D235" i="4"/>
  <c r="E235" i="4"/>
  <c r="F235" i="4"/>
  <c r="G235" i="4"/>
  <c r="H235" i="4"/>
  <c r="I235" i="4"/>
  <c r="J235" i="4"/>
  <c r="K235" i="4"/>
  <c r="B236" i="4"/>
  <c r="C236" i="4"/>
  <c r="D236" i="4"/>
  <c r="E236" i="4"/>
  <c r="F236" i="4"/>
  <c r="G236" i="4"/>
  <c r="H236" i="4"/>
  <c r="I236" i="4"/>
  <c r="J236" i="4"/>
  <c r="K236" i="4"/>
  <c r="B237" i="4"/>
  <c r="C237" i="4"/>
  <c r="D237" i="4"/>
  <c r="E237" i="4"/>
  <c r="F237" i="4"/>
  <c r="G237" i="4"/>
  <c r="H237" i="4"/>
  <c r="I237" i="4"/>
  <c r="J237" i="4"/>
  <c r="K237" i="4"/>
  <c r="B238" i="4"/>
  <c r="C238" i="4"/>
  <c r="D238" i="4"/>
  <c r="E238" i="4"/>
  <c r="F238" i="4"/>
  <c r="G238" i="4"/>
  <c r="H238" i="4"/>
  <c r="I238" i="4"/>
  <c r="J238" i="4"/>
  <c r="K238" i="4"/>
  <c r="B239" i="4"/>
  <c r="C239" i="4"/>
  <c r="D239" i="4"/>
  <c r="E239" i="4"/>
  <c r="F239" i="4"/>
  <c r="G239" i="4"/>
  <c r="H239" i="4"/>
  <c r="I239" i="4"/>
  <c r="J239" i="4"/>
  <c r="K239" i="4"/>
  <c r="B240" i="4"/>
  <c r="C240" i="4"/>
  <c r="D240" i="4"/>
  <c r="E240" i="4"/>
  <c r="F240" i="4"/>
  <c r="G240" i="4"/>
  <c r="H240" i="4"/>
  <c r="I240" i="4"/>
  <c r="J240" i="4"/>
  <c r="K240" i="4"/>
  <c r="B241" i="4"/>
  <c r="C241" i="4"/>
  <c r="D241" i="4"/>
  <c r="E241" i="4"/>
  <c r="F241" i="4"/>
  <c r="G241" i="4"/>
  <c r="H241" i="4"/>
  <c r="I241" i="4"/>
  <c r="J241" i="4"/>
  <c r="K241" i="4"/>
  <c r="B242" i="4"/>
  <c r="C242" i="4"/>
  <c r="D242" i="4"/>
  <c r="E242" i="4"/>
  <c r="F242" i="4"/>
  <c r="G242" i="4"/>
  <c r="H242" i="4"/>
  <c r="I242" i="4"/>
  <c r="J242" i="4"/>
  <c r="K242" i="4"/>
  <c r="B243" i="4"/>
  <c r="C243" i="4"/>
  <c r="D243" i="4"/>
  <c r="E243" i="4"/>
  <c r="F243" i="4"/>
  <c r="G243" i="4"/>
  <c r="H243" i="4"/>
  <c r="I243" i="4"/>
  <c r="J243" i="4"/>
  <c r="K243" i="4"/>
  <c r="B244" i="4"/>
  <c r="C244" i="4"/>
  <c r="D244" i="4"/>
  <c r="E244" i="4"/>
  <c r="F244" i="4"/>
  <c r="G244" i="4"/>
  <c r="H244" i="4"/>
  <c r="I244" i="4"/>
  <c r="J244" i="4"/>
  <c r="K244" i="4"/>
  <c r="B245" i="4"/>
  <c r="C245" i="4"/>
  <c r="D245" i="4"/>
  <c r="E245" i="4"/>
  <c r="F245" i="4"/>
  <c r="G245" i="4"/>
  <c r="H245" i="4"/>
  <c r="I245" i="4"/>
  <c r="J245" i="4"/>
  <c r="K245" i="4"/>
  <c r="B246" i="4"/>
  <c r="C246" i="4"/>
  <c r="D246" i="4"/>
  <c r="E246" i="4"/>
  <c r="F246" i="4"/>
  <c r="G246" i="4"/>
  <c r="H246" i="4"/>
  <c r="I246" i="4"/>
  <c r="J246" i="4"/>
  <c r="K246" i="4"/>
  <c r="B247" i="4"/>
  <c r="C247" i="4"/>
  <c r="D247" i="4"/>
  <c r="E247" i="4"/>
  <c r="F247" i="4"/>
  <c r="G247" i="4"/>
  <c r="H247" i="4"/>
  <c r="I247" i="4"/>
  <c r="J247" i="4"/>
  <c r="K247" i="4"/>
  <c r="B248" i="4"/>
  <c r="C248" i="4"/>
  <c r="D248" i="4"/>
  <c r="E248" i="4"/>
  <c r="F248" i="4"/>
  <c r="G248" i="4"/>
  <c r="H248" i="4"/>
  <c r="I248" i="4"/>
  <c r="J248" i="4"/>
  <c r="K248" i="4"/>
  <c r="B249" i="4"/>
  <c r="C249" i="4"/>
  <c r="D249" i="4"/>
  <c r="E249" i="4"/>
  <c r="F249" i="4"/>
  <c r="G249" i="4"/>
  <c r="H249" i="4"/>
  <c r="I249" i="4"/>
  <c r="J249" i="4"/>
  <c r="K249" i="4"/>
  <c r="B250" i="4"/>
  <c r="C250" i="4"/>
  <c r="D250" i="4"/>
  <c r="E250" i="4"/>
  <c r="F250" i="4"/>
  <c r="G250" i="4"/>
  <c r="H250" i="4"/>
  <c r="I250" i="4"/>
  <c r="J250" i="4"/>
  <c r="K250" i="4"/>
  <c r="B251" i="4"/>
  <c r="C251" i="4"/>
  <c r="D251" i="4"/>
  <c r="E251" i="4"/>
  <c r="F251" i="4"/>
  <c r="G251" i="4"/>
  <c r="H251" i="4"/>
  <c r="I251" i="4"/>
  <c r="J251" i="4"/>
  <c r="K251" i="4"/>
  <c r="B252" i="4"/>
  <c r="C252" i="4"/>
  <c r="D252" i="4"/>
  <c r="E252" i="4"/>
  <c r="F252" i="4"/>
  <c r="G252" i="4"/>
  <c r="H252" i="4"/>
  <c r="I252" i="4"/>
  <c r="J252" i="4"/>
  <c r="K252" i="4"/>
  <c r="B253" i="4"/>
  <c r="C253" i="4"/>
  <c r="D253" i="4"/>
  <c r="E253" i="4"/>
  <c r="F253" i="4"/>
  <c r="G253" i="4"/>
  <c r="H253" i="4"/>
  <c r="I253" i="4"/>
  <c r="J253" i="4"/>
  <c r="K253" i="4"/>
  <c r="B254" i="4"/>
  <c r="C254" i="4"/>
  <c r="D254" i="4"/>
  <c r="E254" i="4"/>
  <c r="F254" i="4"/>
  <c r="G254" i="4"/>
  <c r="H254" i="4"/>
  <c r="I254" i="4"/>
  <c r="J254" i="4"/>
  <c r="K254" i="4"/>
  <c r="B255" i="4"/>
  <c r="C255" i="4"/>
  <c r="D255" i="4"/>
  <c r="E255" i="4"/>
  <c r="F255" i="4"/>
  <c r="G255" i="4"/>
  <c r="H255" i="4"/>
  <c r="I255" i="4"/>
  <c r="J255" i="4"/>
  <c r="K255" i="4"/>
  <c r="B256" i="4"/>
  <c r="C256" i="4"/>
  <c r="D256" i="4"/>
  <c r="E256" i="4"/>
  <c r="F256" i="4"/>
  <c r="G256" i="4"/>
  <c r="H256" i="4"/>
  <c r="I256" i="4"/>
  <c r="J256" i="4"/>
  <c r="K256" i="4"/>
  <c r="B257" i="4"/>
  <c r="C257" i="4"/>
  <c r="D257" i="4"/>
  <c r="E257" i="4"/>
  <c r="F257" i="4"/>
  <c r="G257" i="4"/>
  <c r="H257" i="4"/>
  <c r="I257" i="4"/>
  <c r="J257" i="4"/>
  <c r="K257" i="4"/>
  <c r="B258" i="4"/>
  <c r="C258" i="4"/>
  <c r="D258" i="4"/>
  <c r="E258" i="4"/>
  <c r="F258" i="4"/>
  <c r="G258" i="4"/>
  <c r="H258" i="4"/>
  <c r="I258" i="4"/>
  <c r="J258" i="4"/>
  <c r="K258" i="4"/>
  <c r="B259" i="4"/>
  <c r="C259" i="4"/>
  <c r="D259" i="4"/>
  <c r="E259" i="4"/>
  <c r="F259" i="4"/>
  <c r="G259" i="4"/>
  <c r="H259" i="4"/>
  <c r="I259" i="4"/>
  <c r="J259" i="4"/>
  <c r="K259" i="4"/>
  <c r="B260" i="4"/>
  <c r="C260" i="4"/>
  <c r="D260" i="4"/>
  <c r="E260" i="4"/>
  <c r="F260" i="4"/>
  <c r="G260" i="4"/>
  <c r="H260" i="4"/>
  <c r="I260" i="4"/>
  <c r="J260" i="4"/>
  <c r="K260" i="4"/>
  <c r="B261" i="4"/>
  <c r="C261" i="4"/>
  <c r="D261" i="4"/>
  <c r="E261" i="4"/>
  <c r="F261" i="4"/>
  <c r="G261" i="4"/>
  <c r="H261" i="4"/>
  <c r="I261" i="4"/>
  <c r="J261" i="4"/>
  <c r="K261" i="4"/>
  <c r="B262" i="4"/>
  <c r="C262" i="4"/>
  <c r="D262" i="4"/>
  <c r="E262" i="4"/>
  <c r="F262" i="4"/>
  <c r="G262" i="4"/>
  <c r="H262" i="4"/>
  <c r="I262" i="4"/>
  <c r="J262" i="4"/>
  <c r="K262" i="4"/>
  <c r="B263" i="4"/>
  <c r="C263" i="4"/>
  <c r="D263" i="4"/>
  <c r="E263" i="4"/>
  <c r="F263" i="4"/>
  <c r="G263" i="4"/>
  <c r="H263" i="4"/>
  <c r="I263" i="4"/>
  <c r="J263" i="4"/>
  <c r="K263" i="4"/>
  <c r="B264" i="4"/>
  <c r="C264" i="4"/>
  <c r="D264" i="4"/>
  <c r="E264" i="4"/>
  <c r="F264" i="4"/>
  <c r="G264" i="4"/>
  <c r="H264" i="4"/>
  <c r="I264" i="4"/>
  <c r="J264" i="4"/>
  <c r="K264" i="4"/>
  <c r="B265" i="4"/>
  <c r="C265" i="4"/>
  <c r="D265" i="4"/>
  <c r="E265" i="4"/>
  <c r="F265" i="4"/>
  <c r="G265" i="4"/>
  <c r="H265" i="4"/>
  <c r="I265" i="4"/>
  <c r="J265" i="4"/>
  <c r="K265" i="4"/>
  <c r="B266" i="4"/>
  <c r="C266" i="4"/>
  <c r="D266" i="4"/>
  <c r="E266" i="4"/>
  <c r="F266" i="4"/>
  <c r="G266" i="4"/>
  <c r="H266" i="4"/>
  <c r="I266" i="4"/>
  <c r="J266" i="4"/>
  <c r="K266" i="4"/>
  <c r="B267" i="4"/>
  <c r="C267" i="4"/>
  <c r="D267" i="4"/>
  <c r="E267" i="4"/>
  <c r="F267" i="4"/>
  <c r="G267" i="4"/>
  <c r="H267" i="4"/>
  <c r="I267" i="4"/>
  <c r="J267" i="4"/>
  <c r="K267" i="4"/>
  <c r="B268" i="4"/>
  <c r="C268" i="4"/>
  <c r="D268" i="4"/>
  <c r="E268" i="4"/>
  <c r="F268" i="4"/>
  <c r="G268" i="4"/>
  <c r="H268" i="4"/>
  <c r="I268" i="4"/>
  <c r="J268" i="4"/>
  <c r="K268" i="4"/>
  <c r="B269" i="4"/>
  <c r="C269" i="4"/>
  <c r="D269" i="4"/>
  <c r="E269" i="4"/>
  <c r="F269" i="4"/>
  <c r="G269" i="4"/>
  <c r="H269" i="4"/>
  <c r="I269" i="4"/>
  <c r="J269" i="4"/>
  <c r="K269" i="4"/>
  <c r="B270" i="4"/>
  <c r="C270" i="4"/>
  <c r="D270" i="4"/>
  <c r="E270" i="4"/>
  <c r="F270" i="4"/>
  <c r="G270" i="4"/>
  <c r="H270" i="4"/>
  <c r="I270" i="4"/>
  <c r="J270" i="4"/>
  <c r="K270" i="4"/>
  <c r="B271" i="4"/>
  <c r="C271" i="4"/>
  <c r="D271" i="4"/>
  <c r="E271" i="4"/>
  <c r="F271" i="4"/>
  <c r="G271" i="4"/>
  <c r="H271" i="4"/>
  <c r="I271" i="4"/>
  <c r="J271" i="4"/>
  <c r="K271" i="4"/>
  <c r="B272" i="4"/>
  <c r="C272" i="4"/>
  <c r="D272" i="4"/>
  <c r="E272" i="4"/>
  <c r="F272" i="4"/>
  <c r="G272" i="4"/>
  <c r="H272" i="4"/>
  <c r="I272" i="4"/>
  <c r="J272" i="4"/>
  <c r="K272" i="4"/>
  <c r="B273" i="4"/>
  <c r="C273" i="4"/>
  <c r="D273" i="4"/>
  <c r="E273" i="4"/>
  <c r="F273" i="4"/>
  <c r="G273" i="4"/>
  <c r="H273" i="4"/>
  <c r="I273" i="4"/>
  <c r="J273" i="4"/>
  <c r="K273" i="4"/>
  <c r="B274" i="4"/>
  <c r="C274" i="4"/>
  <c r="D274" i="4"/>
  <c r="E274" i="4"/>
  <c r="F274" i="4"/>
  <c r="G274" i="4"/>
  <c r="H274" i="4"/>
  <c r="I274" i="4"/>
  <c r="J274" i="4"/>
  <c r="K274" i="4"/>
  <c r="B275" i="4"/>
  <c r="C275" i="4"/>
  <c r="D275" i="4"/>
  <c r="E275" i="4"/>
  <c r="F275" i="4"/>
  <c r="G275" i="4"/>
  <c r="H275" i="4"/>
  <c r="I275" i="4"/>
  <c r="J275" i="4"/>
  <c r="K275" i="4"/>
  <c r="B276" i="4"/>
  <c r="C276" i="4"/>
  <c r="D276" i="4"/>
  <c r="E276" i="4"/>
  <c r="F276" i="4"/>
  <c r="G276" i="4"/>
  <c r="H276" i="4"/>
  <c r="I276" i="4"/>
  <c r="J276" i="4"/>
  <c r="K276" i="4"/>
  <c r="B277" i="4"/>
  <c r="C277" i="4"/>
  <c r="D277" i="4"/>
  <c r="E277" i="4"/>
  <c r="F277" i="4"/>
  <c r="G277" i="4"/>
  <c r="H277" i="4"/>
  <c r="I277" i="4"/>
  <c r="J277" i="4"/>
  <c r="K277" i="4"/>
  <c r="B278" i="4"/>
  <c r="C278" i="4"/>
  <c r="D278" i="4"/>
  <c r="E278" i="4"/>
  <c r="F278" i="4"/>
  <c r="G278" i="4"/>
  <c r="H278" i="4"/>
  <c r="I278" i="4"/>
  <c r="J278" i="4"/>
  <c r="K278" i="4"/>
  <c r="B279" i="4"/>
  <c r="C279" i="4"/>
  <c r="D279" i="4"/>
  <c r="E279" i="4"/>
  <c r="F279" i="4"/>
  <c r="G279" i="4"/>
  <c r="H279" i="4"/>
  <c r="I279" i="4"/>
  <c r="J279" i="4"/>
  <c r="K279" i="4"/>
  <c r="B280" i="4"/>
  <c r="C280" i="4"/>
  <c r="D280" i="4"/>
  <c r="E280" i="4"/>
  <c r="F280" i="4"/>
  <c r="G280" i="4"/>
  <c r="H280" i="4"/>
  <c r="I280" i="4"/>
  <c r="J280" i="4"/>
  <c r="K280" i="4"/>
  <c r="B281" i="4"/>
  <c r="C281" i="4"/>
  <c r="D281" i="4"/>
  <c r="E281" i="4"/>
  <c r="F281" i="4"/>
  <c r="G281" i="4"/>
  <c r="H281" i="4"/>
  <c r="I281" i="4"/>
  <c r="J281" i="4"/>
  <c r="K281" i="4"/>
  <c r="B282" i="4"/>
  <c r="C282" i="4"/>
  <c r="D282" i="4"/>
  <c r="E282" i="4"/>
  <c r="F282" i="4"/>
  <c r="G282" i="4"/>
  <c r="H282" i="4"/>
  <c r="I282" i="4"/>
  <c r="J282" i="4"/>
  <c r="K282" i="4"/>
  <c r="B283" i="4"/>
  <c r="C283" i="4"/>
  <c r="D283" i="4"/>
  <c r="E283" i="4"/>
  <c r="F283" i="4"/>
  <c r="G283" i="4"/>
  <c r="H283" i="4"/>
  <c r="I283" i="4"/>
  <c r="J283" i="4"/>
  <c r="K283" i="4"/>
  <c r="B284" i="4"/>
  <c r="C284" i="4"/>
  <c r="D284" i="4"/>
  <c r="E284" i="4"/>
  <c r="F284" i="4"/>
  <c r="G284" i="4"/>
  <c r="H284" i="4"/>
  <c r="I284" i="4"/>
  <c r="J284" i="4"/>
  <c r="K284" i="4"/>
  <c r="B285" i="4"/>
  <c r="C285" i="4"/>
  <c r="D285" i="4"/>
  <c r="E285" i="4"/>
  <c r="F285" i="4"/>
  <c r="G285" i="4"/>
  <c r="H285" i="4"/>
  <c r="I285" i="4"/>
  <c r="J285" i="4"/>
  <c r="K285" i="4"/>
  <c r="B286" i="4"/>
  <c r="C286" i="4"/>
  <c r="D286" i="4"/>
  <c r="E286" i="4"/>
  <c r="F286" i="4"/>
  <c r="G286" i="4"/>
  <c r="H286" i="4"/>
  <c r="I286" i="4"/>
  <c r="J286" i="4"/>
  <c r="K286" i="4"/>
  <c r="B287" i="4"/>
  <c r="C287" i="4"/>
  <c r="D287" i="4"/>
  <c r="E287" i="4"/>
  <c r="F287" i="4"/>
  <c r="G287" i="4"/>
  <c r="H287" i="4"/>
  <c r="I287" i="4"/>
  <c r="J287" i="4"/>
  <c r="K287" i="4"/>
  <c r="B288" i="4"/>
  <c r="C288" i="4"/>
  <c r="D288" i="4"/>
  <c r="E288" i="4"/>
  <c r="F288" i="4"/>
  <c r="G288" i="4"/>
  <c r="H288" i="4"/>
  <c r="I288" i="4"/>
  <c r="J288" i="4"/>
  <c r="K288" i="4"/>
  <c r="B289" i="4"/>
  <c r="C289" i="4"/>
  <c r="D289" i="4"/>
  <c r="E289" i="4"/>
  <c r="F289" i="4"/>
  <c r="G289" i="4"/>
  <c r="H289" i="4"/>
  <c r="I289" i="4"/>
  <c r="J289" i="4"/>
  <c r="K289" i="4"/>
  <c r="B290" i="4"/>
  <c r="C290" i="4"/>
  <c r="D290" i="4"/>
  <c r="E290" i="4"/>
  <c r="F290" i="4"/>
  <c r="G290" i="4"/>
  <c r="H290" i="4"/>
  <c r="I290" i="4"/>
  <c r="J290" i="4"/>
  <c r="K290" i="4"/>
  <c r="B291" i="4"/>
  <c r="C291" i="4"/>
  <c r="D291" i="4"/>
  <c r="E291" i="4"/>
  <c r="F291" i="4"/>
  <c r="G291" i="4"/>
  <c r="H291" i="4"/>
  <c r="I291" i="4"/>
  <c r="J291" i="4"/>
  <c r="K291" i="4"/>
  <c r="B292" i="4"/>
  <c r="C292" i="4"/>
  <c r="D292" i="4"/>
  <c r="E292" i="4"/>
  <c r="F292" i="4"/>
  <c r="G292" i="4"/>
  <c r="H292" i="4"/>
  <c r="I292" i="4"/>
  <c r="J292" i="4"/>
  <c r="K292" i="4"/>
  <c r="B293" i="4"/>
  <c r="C293" i="4"/>
  <c r="D293" i="4"/>
  <c r="E293" i="4"/>
  <c r="F293" i="4"/>
  <c r="G293" i="4"/>
  <c r="H293" i="4"/>
  <c r="I293" i="4"/>
  <c r="J293" i="4"/>
  <c r="K293" i="4"/>
  <c r="B294" i="4"/>
  <c r="C294" i="4"/>
  <c r="D294" i="4"/>
  <c r="E294" i="4"/>
  <c r="F294" i="4"/>
  <c r="G294" i="4"/>
  <c r="H294" i="4"/>
  <c r="I294" i="4"/>
  <c r="J294" i="4"/>
  <c r="K294" i="4"/>
  <c r="B295" i="4"/>
  <c r="C295" i="4"/>
  <c r="D295" i="4"/>
  <c r="E295" i="4"/>
  <c r="F295" i="4"/>
  <c r="G295" i="4"/>
  <c r="H295" i="4"/>
  <c r="I295" i="4"/>
  <c r="J295" i="4"/>
  <c r="K295" i="4"/>
  <c r="B296" i="4"/>
  <c r="C296" i="4"/>
  <c r="D296" i="4"/>
  <c r="E296" i="4"/>
  <c r="F296" i="4"/>
  <c r="G296" i="4"/>
  <c r="H296" i="4"/>
  <c r="I296" i="4"/>
  <c r="J296" i="4"/>
  <c r="K296" i="4"/>
  <c r="B297" i="4"/>
  <c r="C297" i="4"/>
  <c r="D297" i="4"/>
  <c r="E297" i="4"/>
  <c r="F297" i="4"/>
  <c r="G297" i="4"/>
  <c r="H297" i="4"/>
  <c r="I297" i="4"/>
  <c r="J297" i="4"/>
  <c r="K297" i="4"/>
  <c r="B298" i="4"/>
  <c r="C298" i="4"/>
  <c r="D298" i="4"/>
  <c r="E298" i="4"/>
  <c r="F298" i="4"/>
  <c r="G298" i="4"/>
  <c r="H298" i="4"/>
  <c r="I298" i="4"/>
  <c r="J298" i="4"/>
  <c r="K298" i="4"/>
  <c r="B299" i="4"/>
  <c r="C299" i="4"/>
  <c r="D299" i="4"/>
  <c r="E299" i="4"/>
  <c r="F299" i="4"/>
  <c r="G299" i="4"/>
  <c r="H299" i="4"/>
  <c r="I299" i="4"/>
  <c r="J299" i="4"/>
  <c r="K299" i="4"/>
  <c r="B300" i="4"/>
  <c r="C300" i="4"/>
  <c r="D300" i="4"/>
  <c r="E300" i="4"/>
  <c r="F300" i="4"/>
  <c r="G300" i="4"/>
  <c r="H300" i="4"/>
  <c r="I300" i="4"/>
  <c r="J300" i="4"/>
  <c r="K300" i="4"/>
  <c r="B301" i="4"/>
  <c r="C301" i="4"/>
  <c r="D301" i="4"/>
  <c r="E301" i="4"/>
  <c r="F301" i="4"/>
  <c r="G301" i="4"/>
  <c r="H301" i="4"/>
  <c r="I301" i="4"/>
  <c r="J301" i="4"/>
  <c r="K301" i="4"/>
  <c r="B302" i="4"/>
  <c r="C302" i="4"/>
  <c r="D302" i="4"/>
  <c r="E302" i="4"/>
  <c r="F302" i="4"/>
  <c r="G302" i="4"/>
  <c r="H302" i="4"/>
  <c r="I302" i="4"/>
  <c r="J302" i="4"/>
  <c r="K302" i="4"/>
  <c r="B303" i="4"/>
  <c r="C303" i="4"/>
  <c r="D303" i="4"/>
  <c r="E303" i="4"/>
  <c r="F303" i="4"/>
  <c r="G303" i="4"/>
  <c r="H303" i="4"/>
  <c r="I303" i="4"/>
  <c r="J303" i="4"/>
  <c r="K303" i="4"/>
  <c r="B304" i="4"/>
  <c r="C304" i="4"/>
  <c r="D304" i="4"/>
  <c r="E304" i="4"/>
  <c r="F304" i="4"/>
  <c r="G304" i="4"/>
  <c r="H304" i="4"/>
  <c r="I304" i="4"/>
  <c r="J304" i="4"/>
  <c r="K304" i="4"/>
  <c r="B305" i="4"/>
  <c r="C305" i="4"/>
  <c r="D305" i="4"/>
  <c r="E305" i="4"/>
  <c r="F305" i="4"/>
  <c r="G305" i="4"/>
  <c r="H305" i="4"/>
  <c r="I305" i="4"/>
  <c r="J305" i="4"/>
  <c r="K305" i="4"/>
  <c r="B306" i="4"/>
  <c r="C306" i="4"/>
  <c r="D306" i="4"/>
  <c r="E306" i="4"/>
  <c r="F306" i="4"/>
  <c r="G306" i="4"/>
  <c r="H306" i="4"/>
  <c r="I306" i="4"/>
  <c r="J306" i="4"/>
  <c r="K306" i="4"/>
  <c r="B307" i="4"/>
  <c r="C307" i="4"/>
  <c r="D307" i="4"/>
  <c r="E307" i="4"/>
  <c r="F307" i="4"/>
  <c r="G307" i="4"/>
  <c r="H307" i="4"/>
  <c r="I307" i="4"/>
  <c r="J307" i="4"/>
  <c r="K307" i="4"/>
  <c r="B308" i="4"/>
  <c r="C308" i="4"/>
  <c r="D308" i="4"/>
  <c r="E308" i="4"/>
  <c r="F308" i="4"/>
  <c r="G308" i="4"/>
  <c r="H308" i="4"/>
  <c r="I308" i="4"/>
  <c r="J308" i="4"/>
  <c r="K308" i="4"/>
  <c r="B309" i="4"/>
  <c r="C309" i="4"/>
  <c r="D309" i="4"/>
  <c r="E309" i="4"/>
  <c r="F309" i="4"/>
  <c r="G309" i="4"/>
  <c r="H309" i="4"/>
  <c r="I309" i="4"/>
  <c r="J309" i="4"/>
  <c r="K309" i="4"/>
  <c r="B310" i="4"/>
  <c r="C310" i="4"/>
  <c r="D310" i="4"/>
  <c r="E310" i="4"/>
  <c r="F310" i="4"/>
  <c r="G310" i="4"/>
  <c r="H310" i="4"/>
  <c r="I310" i="4"/>
  <c r="J310" i="4"/>
  <c r="K310" i="4"/>
  <c r="B311" i="4"/>
  <c r="C311" i="4"/>
  <c r="D311" i="4"/>
  <c r="E311" i="4"/>
  <c r="F311" i="4"/>
  <c r="G311" i="4"/>
  <c r="H311" i="4"/>
  <c r="I311" i="4"/>
  <c r="J311" i="4"/>
  <c r="K311" i="4"/>
  <c r="B312" i="4"/>
  <c r="C312" i="4"/>
  <c r="D312" i="4"/>
  <c r="E312" i="4"/>
  <c r="F312" i="4"/>
  <c r="G312" i="4"/>
  <c r="H312" i="4"/>
  <c r="I312" i="4"/>
  <c r="J312" i="4"/>
  <c r="K312" i="4"/>
  <c r="B313" i="4"/>
  <c r="C313" i="4"/>
  <c r="D313" i="4"/>
  <c r="E313" i="4"/>
  <c r="F313" i="4"/>
  <c r="G313" i="4"/>
  <c r="H313" i="4"/>
  <c r="I313" i="4"/>
  <c r="J313" i="4"/>
  <c r="K313" i="4"/>
  <c r="B314" i="4"/>
  <c r="C314" i="4"/>
  <c r="D314" i="4"/>
  <c r="E314" i="4"/>
  <c r="F314" i="4"/>
  <c r="G314" i="4"/>
  <c r="H314" i="4"/>
  <c r="I314" i="4"/>
  <c r="J314" i="4"/>
  <c r="K314" i="4"/>
  <c r="B315" i="4"/>
  <c r="C315" i="4"/>
  <c r="D315" i="4"/>
  <c r="E315" i="4"/>
  <c r="F315" i="4"/>
  <c r="G315" i="4"/>
  <c r="H315" i="4"/>
  <c r="I315" i="4"/>
  <c r="J315" i="4"/>
  <c r="K315" i="4"/>
  <c r="B316" i="4"/>
  <c r="C316" i="4"/>
  <c r="D316" i="4"/>
  <c r="E316" i="4"/>
  <c r="F316" i="4"/>
  <c r="G316" i="4"/>
  <c r="H316" i="4"/>
  <c r="I316" i="4"/>
  <c r="J316" i="4"/>
  <c r="K316" i="4"/>
  <c r="B317" i="4"/>
  <c r="C317" i="4"/>
  <c r="D317" i="4"/>
  <c r="E317" i="4"/>
  <c r="F317" i="4"/>
  <c r="G317" i="4"/>
  <c r="H317" i="4"/>
  <c r="I317" i="4"/>
  <c r="J317" i="4"/>
  <c r="K317" i="4"/>
  <c r="B318" i="4"/>
  <c r="C318" i="4"/>
  <c r="D318" i="4"/>
  <c r="E318" i="4"/>
  <c r="F318" i="4"/>
  <c r="G318" i="4"/>
  <c r="H318" i="4"/>
  <c r="I318" i="4"/>
  <c r="J318" i="4"/>
  <c r="K318" i="4"/>
  <c r="B319" i="4"/>
  <c r="C319" i="4"/>
  <c r="D319" i="4"/>
  <c r="E319" i="4"/>
  <c r="F319" i="4"/>
  <c r="G319" i="4"/>
  <c r="H319" i="4"/>
  <c r="I319" i="4"/>
  <c r="J319" i="4"/>
  <c r="K319" i="4"/>
  <c r="B320" i="4"/>
  <c r="C320" i="4"/>
  <c r="D320" i="4"/>
  <c r="E320" i="4"/>
  <c r="F320" i="4"/>
  <c r="G320" i="4"/>
  <c r="H320" i="4"/>
  <c r="I320" i="4"/>
  <c r="J320" i="4"/>
  <c r="K320" i="4"/>
  <c r="B321" i="4"/>
  <c r="C321" i="4"/>
  <c r="D321" i="4"/>
  <c r="E321" i="4"/>
  <c r="F321" i="4"/>
  <c r="G321" i="4"/>
  <c r="H321" i="4"/>
  <c r="I321" i="4"/>
  <c r="J321" i="4"/>
  <c r="K321" i="4"/>
  <c r="B322" i="4"/>
  <c r="C322" i="4"/>
  <c r="D322" i="4"/>
  <c r="E322" i="4"/>
  <c r="F322" i="4"/>
  <c r="G322" i="4"/>
  <c r="H322" i="4"/>
  <c r="I322" i="4"/>
  <c r="J322" i="4"/>
  <c r="K322" i="4"/>
  <c r="B323" i="4"/>
  <c r="C323" i="4"/>
  <c r="D323" i="4"/>
  <c r="E323" i="4"/>
  <c r="F323" i="4"/>
  <c r="G323" i="4"/>
  <c r="H323" i="4"/>
  <c r="I323" i="4"/>
  <c r="J323" i="4"/>
  <c r="K323" i="4"/>
  <c r="B324" i="4"/>
  <c r="C324" i="4"/>
  <c r="D324" i="4"/>
  <c r="E324" i="4"/>
  <c r="F324" i="4"/>
  <c r="G324" i="4"/>
  <c r="H324" i="4"/>
  <c r="I324" i="4"/>
  <c r="J324" i="4"/>
  <c r="K324" i="4"/>
  <c r="B325" i="4"/>
  <c r="C325" i="4"/>
  <c r="D325" i="4"/>
  <c r="E325" i="4"/>
  <c r="F325" i="4"/>
  <c r="G325" i="4"/>
  <c r="H325" i="4"/>
  <c r="I325" i="4"/>
  <c r="J325" i="4"/>
  <c r="K325" i="4"/>
  <c r="B326" i="4"/>
  <c r="C326" i="4"/>
  <c r="D326" i="4"/>
  <c r="E326" i="4"/>
  <c r="F326" i="4"/>
  <c r="G326" i="4"/>
  <c r="H326" i="4"/>
  <c r="I326" i="4"/>
  <c r="J326" i="4"/>
  <c r="K326" i="4"/>
  <c r="B327" i="4"/>
  <c r="C327" i="4"/>
  <c r="D327" i="4"/>
  <c r="E327" i="4"/>
  <c r="F327" i="4"/>
  <c r="G327" i="4"/>
  <c r="H327" i="4"/>
  <c r="I327" i="4"/>
  <c r="J327" i="4"/>
  <c r="K327" i="4"/>
  <c r="B328" i="4"/>
  <c r="C328" i="4"/>
  <c r="D328" i="4"/>
  <c r="E328" i="4"/>
  <c r="F328" i="4"/>
  <c r="G328" i="4"/>
  <c r="H328" i="4"/>
  <c r="I328" i="4"/>
  <c r="J328" i="4"/>
  <c r="K328" i="4"/>
  <c r="B329" i="4"/>
  <c r="C329" i="4"/>
  <c r="D329" i="4"/>
  <c r="E329" i="4"/>
  <c r="F329" i="4"/>
  <c r="G329" i="4"/>
  <c r="H329" i="4"/>
  <c r="I329" i="4"/>
  <c r="J329" i="4"/>
  <c r="K329" i="4"/>
  <c r="B330" i="4"/>
  <c r="C330" i="4"/>
  <c r="D330" i="4"/>
  <c r="E330" i="4"/>
  <c r="F330" i="4"/>
  <c r="G330" i="4"/>
  <c r="H330" i="4"/>
  <c r="I330" i="4"/>
  <c r="J330" i="4"/>
  <c r="K330" i="4"/>
  <c r="B331" i="4"/>
  <c r="C331" i="4"/>
  <c r="D331" i="4"/>
  <c r="E331" i="4"/>
  <c r="F331" i="4"/>
  <c r="G331" i="4"/>
  <c r="H331" i="4"/>
  <c r="I331" i="4"/>
  <c r="J331" i="4"/>
  <c r="K331" i="4"/>
  <c r="B332" i="4"/>
  <c r="C332" i="4"/>
  <c r="D332" i="4"/>
  <c r="E332" i="4"/>
  <c r="F332" i="4"/>
  <c r="G332" i="4"/>
  <c r="H332" i="4"/>
  <c r="I332" i="4"/>
  <c r="J332" i="4"/>
  <c r="K332" i="4"/>
  <c r="B333" i="4"/>
  <c r="C333" i="4"/>
  <c r="D333" i="4"/>
  <c r="E333" i="4"/>
  <c r="F333" i="4"/>
  <c r="G333" i="4"/>
  <c r="H333" i="4"/>
  <c r="I333" i="4"/>
  <c r="J333" i="4"/>
  <c r="K333" i="4"/>
  <c r="B334" i="4"/>
  <c r="C334" i="4"/>
  <c r="D334" i="4"/>
  <c r="E334" i="4"/>
  <c r="F334" i="4"/>
  <c r="G334" i="4"/>
  <c r="H334" i="4"/>
  <c r="I334" i="4"/>
  <c r="J334" i="4"/>
  <c r="K334" i="4"/>
  <c r="B335" i="4"/>
  <c r="C335" i="4"/>
  <c r="D335" i="4"/>
  <c r="E335" i="4"/>
  <c r="F335" i="4"/>
  <c r="G335" i="4"/>
  <c r="H335" i="4"/>
  <c r="I335" i="4"/>
  <c r="J335" i="4"/>
  <c r="K335" i="4"/>
  <c r="B336" i="4"/>
  <c r="C336" i="4"/>
  <c r="D336" i="4"/>
  <c r="E336" i="4"/>
  <c r="F336" i="4"/>
  <c r="G336" i="4"/>
  <c r="H336" i="4"/>
  <c r="I336" i="4"/>
  <c r="J336" i="4"/>
  <c r="K336" i="4"/>
  <c r="B337" i="4"/>
  <c r="C337" i="4"/>
  <c r="D337" i="4"/>
  <c r="E337" i="4"/>
  <c r="F337" i="4"/>
  <c r="G337" i="4"/>
  <c r="H337" i="4"/>
  <c r="I337" i="4"/>
  <c r="J337" i="4"/>
  <c r="K337" i="4"/>
  <c r="B338" i="4"/>
  <c r="C338" i="4"/>
  <c r="D338" i="4"/>
  <c r="E338" i="4"/>
  <c r="F338" i="4"/>
  <c r="G338" i="4"/>
  <c r="H338" i="4"/>
  <c r="I338" i="4"/>
  <c r="J338" i="4"/>
  <c r="K338" i="4"/>
  <c r="B339" i="4"/>
  <c r="C339" i="4"/>
  <c r="D339" i="4"/>
  <c r="E339" i="4"/>
  <c r="F339" i="4"/>
  <c r="G339" i="4"/>
  <c r="H339" i="4"/>
  <c r="I339" i="4"/>
  <c r="J339" i="4"/>
  <c r="K339" i="4"/>
  <c r="B340" i="4"/>
  <c r="C340" i="4"/>
  <c r="D340" i="4"/>
  <c r="E340" i="4"/>
  <c r="F340" i="4"/>
  <c r="G340" i="4"/>
  <c r="H340" i="4"/>
  <c r="I340" i="4"/>
  <c r="J340" i="4"/>
  <c r="K340" i="4"/>
  <c r="B341" i="4"/>
  <c r="C341" i="4"/>
  <c r="D341" i="4"/>
  <c r="E341" i="4"/>
  <c r="F341" i="4"/>
  <c r="G341" i="4"/>
  <c r="H341" i="4"/>
  <c r="I341" i="4"/>
  <c r="J341" i="4"/>
  <c r="K341" i="4"/>
  <c r="B342" i="4"/>
  <c r="C342" i="4"/>
  <c r="D342" i="4"/>
  <c r="E342" i="4"/>
  <c r="F342" i="4"/>
  <c r="G342" i="4"/>
  <c r="H342" i="4"/>
  <c r="I342" i="4"/>
  <c r="J342" i="4"/>
  <c r="K342" i="4"/>
  <c r="B343" i="4"/>
  <c r="C343" i="4"/>
  <c r="D343" i="4"/>
  <c r="E343" i="4"/>
  <c r="F343" i="4"/>
  <c r="G343" i="4"/>
  <c r="H343" i="4"/>
  <c r="I343" i="4"/>
  <c r="J343" i="4"/>
  <c r="K343" i="4"/>
  <c r="B344" i="4"/>
  <c r="C344" i="4"/>
  <c r="D344" i="4"/>
  <c r="E344" i="4"/>
  <c r="F344" i="4"/>
  <c r="G344" i="4"/>
  <c r="H344" i="4"/>
  <c r="I344" i="4"/>
  <c r="J344" i="4"/>
  <c r="K344" i="4"/>
  <c r="B345" i="4"/>
  <c r="C345" i="4"/>
  <c r="D345" i="4"/>
  <c r="E345" i="4"/>
  <c r="F345" i="4"/>
  <c r="G345" i="4"/>
  <c r="H345" i="4"/>
  <c r="I345" i="4"/>
  <c r="J345" i="4"/>
  <c r="K345" i="4"/>
  <c r="B346" i="4"/>
  <c r="C346" i="4"/>
  <c r="D346" i="4"/>
  <c r="E346" i="4"/>
  <c r="F346" i="4"/>
  <c r="G346" i="4"/>
  <c r="H346" i="4"/>
  <c r="I346" i="4"/>
  <c r="J346" i="4"/>
  <c r="K346" i="4"/>
  <c r="B347" i="4"/>
  <c r="C347" i="4"/>
  <c r="D347" i="4"/>
  <c r="E347" i="4"/>
  <c r="F347" i="4"/>
  <c r="G347" i="4"/>
  <c r="H347" i="4"/>
  <c r="I347" i="4"/>
  <c r="J347" i="4"/>
  <c r="K347" i="4"/>
  <c r="B348" i="4"/>
  <c r="C348" i="4"/>
  <c r="D348" i="4"/>
  <c r="E348" i="4"/>
  <c r="F348" i="4"/>
  <c r="G348" i="4"/>
  <c r="H348" i="4"/>
  <c r="I348" i="4"/>
  <c r="J348" i="4"/>
  <c r="K348" i="4"/>
  <c r="B349" i="4"/>
  <c r="C349" i="4"/>
  <c r="D349" i="4"/>
  <c r="E349" i="4"/>
  <c r="F349" i="4"/>
  <c r="G349" i="4"/>
  <c r="H349" i="4"/>
  <c r="I349" i="4"/>
  <c r="J349" i="4"/>
  <c r="K349" i="4"/>
  <c r="B350" i="4"/>
  <c r="C350" i="4"/>
  <c r="D350" i="4"/>
  <c r="E350" i="4"/>
  <c r="F350" i="4"/>
  <c r="G350" i="4"/>
  <c r="H350" i="4"/>
  <c r="I350" i="4"/>
  <c r="J350" i="4"/>
  <c r="K350" i="4"/>
  <c r="B351" i="4"/>
  <c r="C351" i="4"/>
  <c r="D351" i="4"/>
  <c r="E351" i="4"/>
  <c r="F351" i="4"/>
  <c r="G351" i="4"/>
  <c r="H351" i="4"/>
  <c r="I351" i="4"/>
  <c r="J351" i="4"/>
  <c r="K351" i="4"/>
  <c r="B352" i="4"/>
  <c r="C352" i="4"/>
  <c r="D352" i="4"/>
  <c r="E352" i="4"/>
  <c r="F352" i="4"/>
  <c r="G352" i="4"/>
  <c r="H352" i="4"/>
  <c r="I352" i="4"/>
  <c r="J352" i="4"/>
  <c r="K352" i="4"/>
  <c r="B353" i="4"/>
  <c r="C353" i="4"/>
  <c r="D353" i="4"/>
  <c r="E353" i="4"/>
  <c r="F353" i="4"/>
  <c r="G353" i="4"/>
  <c r="H353" i="4"/>
  <c r="I353" i="4"/>
  <c r="J353" i="4"/>
  <c r="K353" i="4"/>
  <c r="B354" i="4"/>
  <c r="C354" i="4"/>
  <c r="D354" i="4"/>
  <c r="E354" i="4"/>
  <c r="F354" i="4"/>
  <c r="G354" i="4"/>
  <c r="H354" i="4"/>
  <c r="I354" i="4"/>
  <c r="J354" i="4"/>
  <c r="K354" i="4"/>
  <c r="B355" i="4"/>
  <c r="C355" i="4"/>
  <c r="D355" i="4"/>
  <c r="E355" i="4"/>
  <c r="F355" i="4"/>
  <c r="G355" i="4"/>
  <c r="H355" i="4"/>
  <c r="I355" i="4"/>
  <c r="J355" i="4"/>
  <c r="K355" i="4"/>
  <c r="B356" i="4"/>
  <c r="C356" i="4"/>
  <c r="D356" i="4"/>
  <c r="E356" i="4"/>
  <c r="F356" i="4"/>
  <c r="G356" i="4"/>
  <c r="H356" i="4"/>
  <c r="I356" i="4"/>
  <c r="J356" i="4"/>
  <c r="K356" i="4"/>
  <c r="B357" i="4"/>
  <c r="C357" i="4"/>
  <c r="D357" i="4"/>
  <c r="E357" i="4"/>
  <c r="F357" i="4"/>
  <c r="G357" i="4"/>
  <c r="H357" i="4"/>
  <c r="I357" i="4"/>
  <c r="J357" i="4"/>
  <c r="K357" i="4"/>
  <c r="B358" i="4"/>
  <c r="C358" i="4"/>
  <c r="D358" i="4"/>
  <c r="E358" i="4"/>
  <c r="F358" i="4"/>
  <c r="G358" i="4"/>
  <c r="H358" i="4"/>
  <c r="I358" i="4"/>
  <c r="J358" i="4"/>
  <c r="K358" i="4"/>
  <c r="B359" i="4"/>
  <c r="C359" i="4"/>
  <c r="D359" i="4"/>
  <c r="E359" i="4"/>
  <c r="F359" i="4"/>
  <c r="G359" i="4"/>
  <c r="H359" i="4"/>
  <c r="I359" i="4"/>
  <c r="J359" i="4"/>
  <c r="K359" i="4"/>
  <c r="B360" i="4"/>
  <c r="C360" i="4"/>
  <c r="D360" i="4"/>
  <c r="E360" i="4"/>
  <c r="F360" i="4"/>
  <c r="G360" i="4"/>
  <c r="H360" i="4"/>
  <c r="I360" i="4"/>
  <c r="J360" i="4"/>
  <c r="K360" i="4"/>
  <c r="B361" i="4"/>
  <c r="C361" i="4"/>
  <c r="D361" i="4"/>
  <c r="E361" i="4"/>
  <c r="F361" i="4"/>
  <c r="G361" i="4"/>
  <c r="H361" i="4"/>
  <c r="I361" i="4"/>
  <c r="J361" i="4"/>
  <c r="K361" i="4"/>
  <c r="B362" i="4"/>
  <c r="C362" i="4"/>
  <c r="D362" i="4"/>
  <c r="E362" i="4"/>
  <c r="F362" i="4"/>
  <c r="G362" i="4"/>
  <c r="H362" i="4"/>
  <c r="I362" i="4"/>
  <c r="J362" i="4"/>
  <c r="K362" i="4"/>
  <c r="B363" i="4"/>
  <c r="C363" i="4"/>
  <c r="D363" i="4"/>
  <c r="E363" i="4"/>
  <c r="F363" i="4"/>
  <c r="G363" i="4"/>
  <c r="H363" i="4"/>
  <c r="I363" i="4"/>
  <c r="J363" i="4"/>
  <c r="K363" i="4"/>
  <c r="B364" i="4"/>
  <c r="C364" i="4"/>
  <c r="D364" i="4"/>
  <c r="E364" i="4"/>
  <c r="F364" i="4"/>
  <c r="G364" i="4"/>
  <c r="H364" i="4"/>
  <c r="I364" i="4"/>
  <c r="J364" i="4"/>
  <c r="K364" i="4"/>
  <c r="B365" i="4"/>
  <c r="C365" i="4"/>
  <c r="D365" i="4"/>
  <c r="E365" i="4"/>
  <c r="F365" i="4"/>
  <c r="G365" i="4"/>
  <c r="H365" i="4"/>
  <c r="I365" i="4"/>
  <c r="J365" i="4"/>
  <c r="K365" i="4"/>
  <c r="B366" i="4"/>
  <c r="C366" i="4"/>
  <c r="D366" i="4"/>
  <c r="E366" i="4"/>
  <c r="F366" i="4"/>
  <c r="G366" i="4"/>
  <c r="H366" i="4"/>
  <c r="I366" i="4"/>
  <c r="J366" i="4"/>
  <c r="K366" i="4"/>
  <c r="B367" i="4"/>
  <c r="C367" i="4"/>
  <c r="D367" i="4"/>
  <c r="E367" i="4"/>
  <c r="F367" i="4"/>
  <c r="G367" i="4"/>
  <c r="H367" i="4"/>
  <c r="I367" i="4"/>
  <c r="J367" i="4"/>
  <c r="K367" i="4"/>
  <c r="B368" i="4"/>
  <c r="C368" i="4"/>
  <c r="D368" i="4"/>
  <c r="E368" i="4"/>
  <c r="F368" i="4"/>
  <c r="G368" i="4"/>
  <c r="H368" i="4"/>
  <c r="I368" i="4"/>
  <c r="J368" i="4"/>
  <c r="K368" i="4"/>
  <c r="B369" i="4"/>
  <c r="C369" i="4"/>
  <c r="D369" i="4"/>
  <c r="E369" i="4"/>
  <c r="F369" i="4"/>
  <c r="G369" i="4"/>
  <c r="H369" i="4"/>
  <c r="I369" i="4"/>
  <c r="J369" i="4"/>
  <c r="K369" i="4"/>
  <c r="B370" i="4"/>
  <c r="C370" i="4"/>
  <c r="D370" i="4"/>
  <c r="E370" i="4"/>
  <c r="F370" i="4"/>
  <c r="G370" i="4"/>
  <c r="H370" i="4"/>
  <c r="I370" i="4"/>
  <c r="J370" i="4"/>
  <c r="K370" i="4"/>
  <c r="B371" i="4"/>
  <c r="C371" i="4"/>
  <c r="D371" i="4"/>
  <c r="E371" i="4"/>
  <c r="F371" i="4"/>
  <c r="G371" i="4"/>
  <c r="H371" i="4"/>
  <c r="I371" i="4"/>
  <c r="J371" i="4"/>
  <c r="K371" i="4"/>
  <c r="B372" i="4"/>
  <c r="C372" i="4"/>
  <c r="D372" i="4"/>
  <c r="E372" i="4"/>
  <c r="F372" i="4"/>
  <c r="G372" i="4"/>
  <c r="H372" i="4"/>
  <c r="I372" i="4"/>
  <c r="J372" i="4"/>
  <c r="K372" i="4"/>
  <c r="B373" i="4"/>
  <c r="C373" i="4"/>
  <c r="D373" i="4"/>
  <c r="E373" i="4"/>
  <c r="F373" i="4"/>
  <c r="G373" i="4"/>
  <c r="H373" i="4"/>
  <c r="I373" i="4"/>
  <c r="J373" i="4"/>
  <c r="K373" i="4"/>
  <c r="B374" i="4"/>
  <c r="C374" i="4"/>
  <c r="D374" i="4"/>
  <c r="E374" i="4"/>
  <c r="F374" i="4"/>
  <c r="G374" i="4"/>
  <c r="H374" i="4"/>
  <c r="I374" i="4"/>
  <c r="J374" i="4"/>
  <c r="K374" i="4"/>
  <c r="B375" i="4"/>
  <c r="C375" i="4"/>
  <c r="D375" i="4"/>
  <c r="E375" i="4"/>
  <c r="F375" i="4"/>
  <c r="G375" i="4"/>
  <c r="H375" i="4"/>
  <c r="I375" i="4"/>
  <c r="J375" i="4"/>
  <c r="K375" i="4"/>
  <c r="B376" i="4"/>
  <c r="C376" i="4"/>
  <c r="D376" i="4"/>
  <c r="E376" i="4"/>
  <c r="F376" i="4"/>
  <c r="G376" i="4"/>
  <c r="H376" i="4"/>
  <c r="I376" i="4"/>
  <c r="J376" i="4"/>
  <c r="K376" i="4"/>
  <c r="B377" i="4"/>
  <c r="C377" i="4"/>
  <c r="D377" i="4"/>
  <c r="E377" i="4"/>
  <c r="F377" i="4"/>
  <c r="G377" i="4"/>
  <c r="H377" i="4"/>
  <c r="I377" i="4"/>
  <c r="J377" i="4"/>
  <c r="K377" i="4"/>
  <c r="B378" i="4"/>
  <c r="C378" i="4"/>
  <c r="D378" i="4"/>
  <c r="E378" i="4"/>
  <c r="F378" i="4"/>
  <c r="G378" i="4"/>
  <c r="H378" i="4"/>
  <c r="I378" i="4"/>
  <c r="J378" i="4"/>
  <c r="K378" i="4"/>
  <c r="B379" i="4"/>
  <c r="C379" i="4"/>
  <c r="D379" i="4"/>
  <c r="E379" i="4"/>
  <c r="F379" i="4"/>
  <c r="G379" i="4"/>
  <c r="H379" i="4"/>
  <c r="I379" i="4"/>
  <c r="J379" i="4"/>
  <c r="K379" i="4"/>
  <c r="B380" i="4"/>
  <c r="C380" i="4"/>
  <c r="D380" i="4"/>
  <c r="E380" i="4"/>
  <c r="F380" i="4"/>
  <c r="G380" i="4"/>
  <c r="H380" i="4"/>
  <c r="I380" i="4"/>
  <c r="J380" i="4"/>
  <c r="K380" i="4"/>
  <c r="B381" i="4"/>
  <c r="C381" i="4"/>
  <c r="D381" i="4"/>
  <c r="E381" i="4"/>
  <c r="F381" i="4"/>
  <c r="G381" i="4"/>
  <c r="H381" i="4"/>
  <c r="I381" i="4"/>
  <c r="J381" i="4"/>
  <c r="K381" i="4"/>
  <c r="B382" i="4"/>
  <c r="C382" i="4"/>
  <c r="D382" i="4"/>
  <c r="E382" i="4"/>
  <c r="F382" i="4"/>
  <c r="G382" i="4"/>
  <c r="H382" i="4"/>
  <c r="I382" i="4"/>
  <c r="J382" i="4"/>
  <c r="K382" i="4"/>
  <c r="B383" i="4"/>
  <c r="C383" i="4"/>
  <c r="D383" i="4"/>
  <c r="E383" i="4"/>
  <c r="F383" i="4"/>
  <c r="G383" i="4"/>
  <c r="H383" i="4"/>
  <c r="I383" i="4"/>
  <c r="J383" i="4"/>
  <c r="K383" i="4"/>
  <c r="B384" i="4"/>
  <c r="C384" i="4"/>
  <c r="D384" i="4"/>
  <c r="E384" i="4"/>
  <c r="F384" i="4"/>
  <c r="G384" i="4"/>
  <c r="H384" i="4"/>
  <c r="I384" i="4"/>
  <c r="J384" i="4"/>
  <c r="K384" i="4"/>
  <c r="B385" i="4"/>
  <c r="C385" i="4"/>
  <c r="D385" i="4"/>
  <c r="E385" i="4"/>
  <c r="F385" i="4"/>
  <c r="G385" i="4"/>
  <c r="H385" i="4"/>
  <c r="I385" i="4"/>
  <c r="J385" i="4"/>
  <c r="K385" i="4"/>
  <c r="B386" i="4"/>
  <c r="C386" i="4"/>
  <c r="D386" i="4"/>
  <c r="E386" i="4"/>
  <c r="F386" i="4"/>
  <c r="G386" i="4"/>
  <c r="H386" i="4"/>
  <c r="I386" i="4"/>
  <c r="J386" i="4"/>
  <c r="K386" i="4"/>
  <c r="B387" i="4"/>
  <c r="C387" i="4"/>
  <c r="D387" i="4"/>
  <c r="E387" i="4"/>
  <c r="F387" i="4"/>
  <c r="G387" i="4"/>
  <c r="H387" i="4"/>
  <c r="I387" i="4"/>
  <c r="J387" i="4"/>
  <c r="K387" i="4"/>
  <c r="B388" i="4"/>
  <c r="C388" i="4"/>
  <c r="D388" i="4"/>
  <c r="E388" i="4"/>
  <c r="F388" i="4"/>
  <c r="G388" i="4"/>
  <c r="H388" i="4"/>
  <c r="I388" i="4"/>
  <c r="J388" i="4"/>
  <c r="K388" i="4"/>
  <c r="B389" i="4"/>
  <c r="C389" i="4"/>
  <c r="D389" i="4"/>
  <c r="E389" i="4"/>
  <c r="F389" i="4"/>
  <c r="G389" i="4"/>
  <c r="H389" i="4"/>
  <c r="I389" i="4"/>
  <c r="J389" i="4"/>
  <c r="K389" i="4"/>
  <c r="B390" i="4"/>
  <c r="C390" i="4"/>
  <c r="D390" i="4"/>
  <c r="E390" i="4"/>
  <c r="F390" i="4"/>
  <c r="G390" i="4"/>
  <c r="H390" i="4"/>
  <c r="I390" i="4"/>
  <c r="J390" i="4"/>
  <c r="K390" i="4"/>
  <c r="B391" i="4"/>
  <c r="C391" i="4"/>
  <c r="D391" i="4"/>
  <c r="E391" i="4"/>
  <c r="F391" i="4"/>
  <c r="G391" i="4"/>
  <c r="H391" i="4"/>
  <c r="I391" i="4"/>
  <c r="J391" i="4"/>
  <c r="K391" i="4"/>
  <c r="B392" i="4"/>
  <c r="C392" i="4"/>
  <c r="D392" i="4"/>
  <c r="E392" i="4"/>
  <c r="F392" i="4"/>
  <c r="G392" i="4"/>
  <c r="H392" i="4"/>
  <c r="I392" i="4"/>
  <c r="J392" i="4"/>
  <c r="K392" i="4"/>
  <c r="B393" i="4"/>
  <c r="C393" i="4"/>
  <c r="D393" i="4"/>
  <c r="E393" i="4"/>
  <c r="F393" i="4"/>
  <c r="G393" i="4"/>
  <c r="H393" i="4"/>
  <c r="I393" i="4"/>
  <c r="J393" i="4"/>
  <c r="K393" i="4"/>
  <c r="B394" i="4"/>
  <c r="C394" i="4"/>
  <c r="D394" i="4"/>
  <c r="E394" i="4"/>
  <c r="F394" i="4"/>
  <c r="G394" i="4"/>
  <c r="H394" i="4"/>
  <c r="I394" i="4"/>
  <c r="J394" i="4"/>
  <c r="K394" i="4"/>
  <c r="B395" i="4"/>
  <c r="C395" i="4"/>
  <c r="D395" i="4"/>
  <c r="E395" i="4"/>
  <c r="F395" i="4"/>
  <c r="G395" i="4"/>
  <c r="H395" i="4"/>
  <c r="I395" i="4"/>
  <c r="J395" i="4"/>
  <c r="K395" i="4"/>
  <c r="B396" i="4"/>
  <c r="C396" i="4"/>
  <c r="D396" i="4"/>
  <c r="E396" i="4"/>
  <c r="F396" i="4"/>
  <c r="G396" i="4"/>
  <c r="H396" i="4"/>
  <c r="I396" i="4"/>
  <c r="J396" i="4"/>
  <c r="K396" i="4"/>
  <c r="B397" i="4"/>
  <c r="C397" i="4"/>
  <c r="D397" i="4"/>
  <c r="E397" i="4"/>
  <c r="F397" i="4"/>
  <c r="G397" i="4"/>
  <c r="H397" i="4"/>
  <c r="I397" i="4"/>
  <c r="J397" i="4"/>
  <c r="K397" i="4"/>
  <c r="B398" i="4"/>
  <c r="C398" i="4"/>
  <c r="D398" i="4"/>
  <c r="E398" i="4"/>
  <c r="F398" i="4"/>
  <c r="G398" i="4"/>
  <c r="H398" i="4"/>
  <c r="I398" i="4"/>
  <c r="J398" i="4"/>
  <c r="K398" i="4"/>
  <c r="B399" i="4"/>
  <c r="C399" i="4"/>
  <c r="D399" i="4"/>
  <c r="E399" i="4"/>
  <c r="F399" i="4"/>
  <c r="G399" i="4"/>
  <c r="H399" i="4"/>
  <c r="I399" i="4"/>
  <c r="J399" i="4"/>
  <c r="K399" i="4"/>
  <c r="B400" i="4"/>
  <c r="C400" i="4"/>
  <c r="D400" i="4"/>
  <c r="E400" i="4"/>
  <c r="F400" i="4"/>
  <c r="G400" i="4"/>
  <c r="H400" i="4"/>
  <c r="I400" i="4"/>
  <c r="J400" i="4"/>
  <c r="K400" i="4"/>
  <c r="B401" i="4"/>
  <c r="C401" i="4"/>
  <c r="D401" i="4"/>
  <c r="E401" i="4"/>
  <c r="F401" i="4"/>
  <c r="G401" i="4"/>
  <c r="H401" i="4"/>
  <c r="I401" i="4"/>
  <c r="J401" i="4"/>
  <c r="K401" i="4"/>
  <c r="B402" i="4"/>
  <c r="C402" i="4"/>
  <c r="D402" i="4"/>
  <c r="E402" i="4"/>
  <c r="F402" i="4"/>
  <c r="G402" i="4"/>
  <c r="H402" i="4"/>
  <c r="I402" i="4"/>
  <c r="J402" i="4"/>
  <c r="K402" i="4"/>
  <c r="B403" i="4"/>
  <c r="C403" i="4"/>
  <c r="D403" i="4"/>
  <c r="E403" i="4"/>
  <c r="F403" i="4"/>
  <c r="G403" i="4"/>
  <c r="H403" i="4"/>
  <c r="I403" i="4"/>
  <c r="J403" i="4"/>
  <c r="K403" i="4"/>
  <c r="B404" i="4"/>
  <c r="C404" i="4"/>
  <c r="D404" i="4"/>
  <c r="E404" i="4"/>
  <c r="F404" i="4"/>
  <c r="G404" i="4"/>
  <c r="H404" i="4"/>
  <c r="I404" i="4"/>
  <c r="J404" i="4"/>
  <c r="K404" i="4"/>
  <c r="B405" i="4"/>
  <c r="C405" i="4"/>
  <c r="D405" i="4"/>
  <c r="E405" i="4"/>
  <c r="F405" i="4"/>
  <c r="G405" i="4"/>
  <c r="H405" i="4"/>
  <c r="I405" i="4"/>
  <c r="J405" i="4"/>
  <c r="K405" i="4"/>
  <c r="B406" i="4"/>
  <c r="C406" i="4"/>
  <c r="D406" i="4"/>
  <c r="E406" i="4"/>
  <c r="F406" i="4"/>
  <c r="G406" i="4"/>
  <c r="H406" i="4"/>
  <c r="I406" i="4"/>
  <c r="J406" i="4"/>
  <c r="K406" i="4"/>
  <c r="B407" i="4"/>
  <c r="C407" i="4"/>
  <c r="D407" i="4"/>
  <c r="E407" i="4"/>
  <c r="F407" i="4"/>
  <c r="G407" i="4"/>
  <c r="H407" i="4"/>
  <c r="I407" i="4"/>
  <c r="J407" i="4"/>
  <c r="K407" i="4"/>
  <c r="B408" i="4"/>
  <c r="C408" i="4"/>
  <c r="D408" i="4"/>
  <c r="E408" i="4"/>
  <c r="F408" i="4"/>
  <c r="G408" i="4"/>
  <c r="H408" i="4"/>
  <c r="I408" i="4"/>
  <c r="J408" i="4"/>
  <c r="K408" i="4"/>
  <c r="B409" i="4"/>
  <c r="C409" i="4"/>
  <c r="D409" i="4"/>
  <c r="E409" i="4"/>
  <c r="F409" i="4"/>
  <c r="G409" i="4"/>
  <c r="H409" i="4"/>
  <c r="I409" i="4"/>
  <c r="J409" i="4"/>
  <c r="K409" i="4"/>
  <c r="B410" i="4"/>
  <c r="C410" i="4"/>
  <c r="D410" i="4"/>
  <c r="E410" i="4"/>
  <c r="F410" i="4"/>
  <c r="G410" i="4"/>
  <c r="H410" i="4"/>
  <c r="I410" i="4"/>
  <c r="J410" i="4"/>
  <c r="K410" i="4"/>
  <c r="B411" i="4"/>
  <c r="C411" i="4"/>
  <c r="D411" i="4"/>
  <c r="E411" i="4"/>
  <c r="F411" i="4"/>
  <c r="G411" i="4"/>
  <c r="H411" i="4"/>
  <c r="I411" i="4"/>
  <c r="J411" i="4"/>
  <c r="K411" i="4"/>
  <c r="B412" i="4"/>
  <c r="C412" i="4"/>
  <c r="D412" i="4"/>
  <c r="E412" i="4"/>
  <c r="F412" i="4"/>
  <c r="G412" i="4"/>
  <c r="H412" i="4"/>
  <c r="I412" i="4"/>
  <c r="J412" i="4"/>
  <c r="K412" i="4"/>
  <c r="B413" i="4"/>
  <c r="C413" i="4"/>
  <c r="D413" i="4"/>
  <c r="E413" i="4"/>
  <c r="F413" i="4"/>
  <c r="G413" i="4"/>
  <c r="H413" i="4"/>
  <c r="I413" i="4"/>
  <c r="J413" i="4"/>
  <c r="K413" i="4"/>
  <c r="B414" i="4"/>
  <c r="C414" i="4"/>
  <c r="D414" i="4"/>
  <c r="E414" i="4"/>
  <c r="F414" i="4"/>
  <c r="G414" i="4"/>
  <c r="H414" i="4"/>
  <c r="I414" i="4"/>
  <c r="J414" i="4"/>
  <c r="K414" i="4"/>
  <c r="B415" i="4"/>
  <c r="C415" i="4"/>
  <c r="D415" i="4"/>
  <c r="E415" i="4"/>
  <c r="F415" i="4"/>
  <c r="G415" i="4"/>
  <c r="H415" i="4"/>
  <c r="I415" i="4"/>
  <c r="J415" i="4"/>
  <c r="K415" i="4"/>
  <c r="B416" i="4"/>
  <c r="C416" i="4"/>
  <c r="D416" i="4"/>
  <c r="E416" i="4"/>
  <c r="F416" i="4"/>
  <c r="G416" i="4"/>
  <c r="H416" i="4"/>
  <c r="I416" i="4"/>
  <c r="J416" i="4"/>
  <c r="K416" i="4"/>
  <c r="B417" i="4"/>
  <c r="C417" i="4"/>
  <c r="D417" i="4"/>
  <c r="E417" i="4"/>
  <c r="F417" i="4"/>
  <c r="G417" i="4"/>
  <c r="H417" i="4"/>
  <c r="I417" i="4"/>
  <c r="J417" i="4"/>
  <c r="K417" i="4"/>
  <c r="B418" i="4"/>
  <c r="C418" i="4"/>
  <c r="D418" i="4"/>
  <c r="E418" i="4"/>
  <c r="F418" i="4"/>
  <c r="G418" i="4"/>
  <c r="H418" i="4"/>
  <c r="I418" i="4"/>
  <c r="J418" i="4"/>
  <c r="K418" i="4"/>
  <c r="B419" i="4"/>
  <c r="C419" i="4"/>
  <c r="D419" i="4"/>
  <c r="E419" i="4"/>
  <c r="F419" i="4"/>
  <c r="G419" i="4"/>
  <c r="H419" i="4"/>
  <c r="I419" i="4"/>
  <c r="J419" i="4"/>
  <c r="K419" i="4"/>
  <c r="B420" i="4"/>
  <c r="C420" i="4"/>
  <c r="D420" i="4"/>
  <c r="E420" i="4"/>
  <c r="F420" i="4"/>
  <c r="G420" i="4"/>
  <c r="H420" i="4"/>
  <c r="I420" i="4"/>
  <c r="J420" i="4"/>
  <c r="K420" i="4"/>
  <c r="B421" i="4"/>
  <c r="C421" i="4"/>
  <c r="D421" i="4"/>
  <c r="E421" i="4"/>
  <c r="F421" i="4"/>
  <c r="G421" i="4"/>
  <c r="H421" i="4"/>
  <c r="I421" i="4"/>
  <c r="J421" i="4"/>
  <c r="K421" i="4"/>
  <c r="B422" i="4"/>
  <c r="C422" i="4"/>
  <c r="D422" i="4"/>
  <c r="E422" i="4"/>
  <c r="F422" i="4"/>
  <c r="G422" i="4"/>
  <c r="H422" i="4"/>
  <c r="I422" i="4"/>
  <c r="J422" i="4"/>
  <c r="K422" i="4"/>
  <c r="B423" i="4"/>
  <c r="C423" i="4"/>
  <c r="D423" i="4"/>
  <c r="E423" i="4"/>
  <c r="F423" i="4"/>
  <c r="G423" i="4"/>
  <c r="H423" i="4"/>
  <c r="I423" i="4"/>
  <c r="J423" i="4"/>
  <c r="K423" i="4"/>
  <c r="B424" i="4"/>
  <c r="C424" i="4"/>
  <c r="D424" i="4"/>
  <c r="E424" i="4"/>
  <c r="F424" i="4"/>
  <c r="G424" i="4"/>
  <c r="H424" i="4"/>
  <c r="I424" i="4"/>
  <c r="J424" i="4"/>
  <c r="K424" i="4"/>
  <c r="B425" i="4"/>
  <c r="C425" i="4"/>
  <c r="D425" i="4"/>
  <c r="E425" i="4"/>
  <c r="F425" i="4"/>
  <c r="G425" i="4"/>
  <c r="H425" i="4"/>
  <c r="I425" i="4"/>
  <c r="J425" i="4"/>
  <c r="K425" i="4"/>
  <c r="B426" i="4"/>
  <c r="C426" i="4"/>
  <c r="D426" i="4"/>
  <c r="E426" i="4"/>
  <c r="F426" i="4"/>
  <c r="G426" i="4"/>
  <c r="H426" i="4"/>
  <c r="I426" i="4"/>
  <c r="J426" i="4"/>
  <c r="K426" i="4"/>
  <c r="B427" i="4"/>
  <c r="C427" i="4"/>
  <c r="D427" i="4"/>
  <c r="E427" i="4"/>
  <c r="F427" i="4"/>
  <c r="G427" i="4"/>
  <c r="H427" i="4"/>
  <c r="I427" i="4"/>
  <c r="J427" i="4"/>
  <c r="K427" i="4"/>
  <c r="B428" i="4"/>
  <c r="C428" i="4"/>
  <c r="D428" i="4"/>
  <c r="E428" i="4"/>
  <c r="F428" i="4"/>
  <c r="G428" i="4"/>
  <c r="H428" i="4"/>
  <c r="I428" i="4"/>
  <c r="J428" i="4"/>
  <c r="K428" i="4"/>
  <c r="B429" i="4"/>
  <c r="C429" i="4"/>
  <c r="D429" i="4"/>
  <c r="E429" i="4"/>
  <c r="F429" i="4"/>
  <c r="G429" i="4"/>
  <c r="H429" i="4"/>
  <c r="I429" i="4"/>
  <c r="J429" i="4"/>
  <c r="K429" i="4"/>
  <c r="B430" i="4"/>
  <c r="C430" i="4"/>
  <c r="D430" i="4"/>
  <c r="E430" i="4"/>
  <c r="F430" i="4"/>
  <c r="G430" i="4"/>
  <c r="H430" i="4"/>
  <c r="I430" i="4"/>
  <c r="J430" i="4"/>
  <c r="K430" i="4"/>
  <c r="B431" i="4"/>
  <c r="C431" i="4"/>
  <c r="D431" i="4"/>
  <c r="E431" i="4"/>
  <c r="F431" i="4"/>
  <c r="G431" i="4"/>
  <c r="H431" i="4"/>
  <c r="I431" i="4"/>
  <c r="J431" i="4"/>
  <c r="K431" i="4"/>
  <c r="B432" i="4"/>
  <c r="C432" i="4"/>
  <c r="D432" i="4"/>
  <c r="E432" i="4"/>
  <c r="F432" i="4"/>
  <c r="G432" i="4"/>
  <c r="H432" i="4"/>
  <c r="I432" i="4"/>
  <c r="J432" i="4"/>
  <c r="K432" i="4"/>
  <c r="B433" i="4"/>
  <c r="C433" i="4"/>
  <c r="D433" i="4"/>
  <c r="E433" i="4"/>
  <c r="F433" i="4"/>
  <c r="G433" i="4"/>
  <c r="H433" i="4"/>
  <c r="I433" i="4"/>
  <c r="J433" i="4"/>
  <c r="K433" i="4"/>
  <c r="B434" i="4"/>
  <c r="C434" i="4"/>
  <c r="D434" i="4"/>
  <c r="E434" i="4"/>
  <c r="F434" i="4"/>
  <c r="G434" i="4"/>
  <c r="H434" i="4"/>
  <c r="I434" i="4"/>
  <c r="J434" i="4"/>
  <c r="K434" i="4"/>
  <c r="B435" i="4"/>
  <c r="C435" i="4"/>
  <c r="D435" i="4"/>
  <c r="E435" i="4"/>
  <c r="F435" i="4"/>
  <c r="G435" i="4"/>
  <c r="H435" i="4"/>
  <c r="I435" i="4"/>
  <c r="J435" i="4"/>
  <c r="K435" i="4"/>
  <c r="B436" i="4"/>
  <c r="C436" i="4"/>
  <c r="D436" i="4"/>
  <c r="E436" i="4"/>
  <c r="F436" i="4"/>
  <c r="G436" i="4"/>
  <c r="H436" i="4"/>
  <c r="I436" i="4"/>
  <c r="J436" i="4"/>
  <c r="K436" i="4"/>
  <c r="B437" i="4"/>
  <c r="C437" i="4"/>
  <c r="D437" i="4"/>
  <c r="E437" i="4"/>
  <c r="F437" i="4"/>
  <c r="G437" i="4"/>
  <c r="H437" i="4"/>
  <c r="I437" i="4"/>
  <c r="J437" i="4"/>
  <c r="K437" i="4"/>
  <c r="B438" i="4"/>
  <c r="C438" i="4"/>
  <c r="D438" i="4"/>
  <c r="E438" i="4"/>
  <c r="F438" i="4"/>
  <c r="G438" i="4"/>
  <c r="H438" i="4"/>
  <c r="I438" i="4"/>
  <c r="J438" i="4"/>
  <c r="K438" i="4"/>
  <c r="B439" i="4"/>
  <c r="C439" i="4"/>
  <c r="D439" i="4"/>
  <c r="E439" i="4"/>
  <c r="F439" i="4"/>
  <c r="G439" i="4"/>
  <c r="H439" i="4"/>
  <c r="I439" i="4"/>
  <c r="J439" i="4"/>
  <c r="K439" i="4"/>
  <c r="B440" i="4"/>
  <c r="C440" i="4"/>
  <c r="D440" i="4"/>
  <c r="E440" i="4"/>
  <c r="F440" i="4"/>
  <c r="G440" i="4"/>
  <c r="H440" i="4"/>
  <c r="I440" i="4"/>
  <c r="J440" i="4"/>
  <c r="K440" i="4"/>
  <c r="B441" i="4"/>
  <c r="C441" i="4"/>
  <c r="D441" i="4"/>
  <c r="E441" i="4"/>
  <c r="F441" i="4"/>
  <c r="G441" i="4"/>
  <c r="H441" i="4"/>
  <c r="I441" i="4"/>
  <c r="J441" i="4"/>
  <c r="K441" i="4"/>
  <c r="B442" i="4"/>
  <c r="C442" i="4"/>
  <c r="D442" i="4"/>
  <c r="E442" i="4"/>
  <c r="F442" i="4"/>
  <c r="G442" i="4"/>
  <c r="H442" i="4"/>
  <c r="I442" i="4"/>
  <c r="J442" i="4"/>
  <c r="K442" i="4"/>
  <c r="B443" i="4"/>
  <c r="C443" i="4"/>
  <c r="D443" i="4"/>
  <c r="E443" i="4"/>
  <c r="F443" i="4"/>
  <c r="G443" i="4"/>
  <c r="H443" i="4"/>
  <c r="I443" i="4"/>
  <c r="J443" i="4"/>
  <c r="K443" i="4"/>
  <c r="B444" i="4"/>
  <c r="C444" i="4"/>
  <c r="D444" i="4"/>
  <c r="E444" i="4"/>
  <c r="F444" i="4"/>
  <c r="G444" i="4"/>
  <c r="H444" i="4"/>
  <c r="I444" i="4"/>
  <c r="J444" i="4"/>
  <c r="K444" i="4"/>
  <c r="B445" i="4"/>
  <c r="C445" i="4"/>
  <c r="D445" i="4"/>
  <c r="E445" i="4"/>
  <c r="F445" i="4"/>
  <c r="G445" i="4"/>
  <c r="H445" i="4"/>
  <c r="I445" i="4"/>
  <c r="J445" i="4"/>
  <c r="K445" i="4"/>
  <c r="B446" i="4"/>
  <c r="C446" i="4"/>
  <c r="D446" i="4"/>
  <c r="E446" i="4"/>
  <c r="F446" i="4"/>
  <c r="G446" i="4"/>
  <c r="H446" i="4"/>
  <c r="I446" i="4"/>
  <c r="J446" i="4"/>
  <c r="K446" i="4"/>
  <c r="B447" i="4"/>
  <c r="C447" i="4"/>
  <c r="D447" i="4"/>
  <c r="E447" i="4"/>
  <c r="F447" i="4"/>
  <c r="G447" i="4"/>
  <c r="H447" i="4"/>
  <c r="I447" i="4"/>
  <c r="J447" i="4"/>
  <c r="K447" i="4"/>
  <c r="B448" i="4"/>
  <c r="C448" i="4"/>
  <c r="D448" i="4"/>
  <c r="E448" i="4"/>
  <c r="F448" i="4"/>
  <c r="G448" i="4"/>
  <c r="H448" i="4"/>
  <c r="I448" i="4"/>
  <c r="J448" i="4"/>
  <c r="K448" i="4"/>
  <c r="B449" i="4"/>
  <c r="C449" i="4"/>
  <c r="D449" i="4"/>
  <c r="E449" i="4"/>
  <c r="F449" i="4"/>
  <c r="G449" i="4"/>
  <c r="H449" i="4"/>
  <c r="I449" i="4"/>
  <c r="J449" i="4"/>
  <c r="K449" i="4"/>
  <c r="B450" i="4"/>
  <c r="C450" i="4"/>
  <c r="D450" i="4"/>
  <c r="E450" i="4"/>
  <c r="F450" i="4"/>
  <c r="G450" i="4"/>
  <c r="H450" i="4"/>
  <c r="I450" i="4"/>
  <c r="J450" i="4"/>
  <c r="K450" i="4"/>
  <c r="B451" i="4"/>
  <c r="C451" i="4"/>
  <c r="D451" i="4"/>
  <c r="E451" i="4"/>
  <c r="F451" i="4"/>
  <c r="G451" i="4"/>
  <c r="H451" i="4"/>
  <c r="I451" i="4"/>
  <c r="J451" i="4"/>
  <c r="K451" i="4"/>
  <c r="B452" i="4"/>
  <c r="C452" i="4"/>
  <c r="D452" i="4"/>
  <c r="E452" i="4"/>
  <c r="F452" i="4"/>
  <c r="G452" i="4"/>
  <c r="H452" i="4"/>
  <c r="I452" i="4"/>
  <c r="J452" i="4"/>
  <c r="K452" i="4"/>
  <c r="B453" i="4"/>
  <c r="C453" i="4"/>
  <c r="D453" i="4"/>
  <c r="E453" i="4"/>
  <c r="F453" i="4"/>
  <c r="G453" i="4"/>
  <c r="H453" i="4"/>
  <c r="I453" i="4"/>
  <c r="J453" i="4"/>
  <c r="K453" i="4"/>
  <c r="B454" i="4"/>
  <c r="C454" i="4"/>
  <c r="D454" i="4"/>
  <c r="E454" i="4"/>
  <c r="F454" i="4"/>
  <c r="G454" i="4"/>
  <c r="H454" i="4"/>
  <c r="I454" i="4"/>
  <c r="J454" i="4"/>
  <c r="K454" i="4"/>
  <c r="B455" i="4"/>
  <c r="C455" i="4"/>
  <c r="D455" i="4"/>
  <c r="E455" i="4"/>
  <c r="F455" i="4"/>
  <c r="G455" i="4"/>
  <c r="H455" i="4"/>
  <c r="I455" i="4"/>
  <c r="J455" i="4"/>
  <c r="K455" i="4"/>
  <c r="B456" i="4"/>
  <c r="C456" i="4"/>
  <c r="D456" i="4"/>
  <c r="E456" i="4"/>
  <c r="F456" i="4"/>
  <c r="G456" i="4"/>
  <c r="H456" i="4"/>
  <c r="I456" i="4"/>
  <c r="J456" i="4"/>
  <c r="K456" i="4"/>
  <c r="B457" i="4"/>
  <c r="C457" i="4"/>
  <c r="D457" i="4"/>
  <c r="E457" i="4"/>
  <c r="F457" i="4"/>
  <c r="G457" i="4"/>
  <c r="H457" i="4"/>
  <c r="I457" i="4"/>
  <c r="J457" i="4"/>
  <c r="K457" i="4"/>
  <c r="B458" i="4"/>
  <c r="C458" i="4"/>
  <c r="D458" i="4"/>
  <c r="E458" i="4"/>
  <c r="F458" i="4"/>
  <c r="G458" i="4"/>
  <c r="H458" i="4"/>
  <c r="I458" i="4"/>
  <c r="J458" i="4"/>
  <c r="K458" i="4"/>
  <c r="B459" i="4"/>
  <c r="C459" i="4"/>
  <c r="D459" i="4"/>
  <c r="E459" i="4"/>
  <c r="F459" i="4"/>
  <c r="G459" i="4"/>
  <c r="H459" i="4"/>
  <c r="I459" i="4"/>
  <c r="J459" i="4"/>
  <c r="K459" i="4"/>
  <c r="B460" i="4"/>
  <c r="C460" i="4"/>
  <c r="D460" i="4"/>
  <c r="E460" i="4"/>
  <c r="F460" i="4"/>
  <c r="G460" i="4"/>
  <c r="H460" i="4"/>
  <c r="I460" i="4"/>
  <c r="J460" i="4"/>
  <c r="K460" i="4"/>
  <c r="B461" i="4"/>
  <c r="C461" i="4"/>
  <c r="D461" i="4"/>
  <c r="E461" i="4"/>
  <c r="F461" i="4"/>
  <c r="G461" i="4"/>
  <c r="H461" i="4"/>
  <c r="I461" i="4"/>
  <c r="J461" i="4"/>
  <c r="K461" i="4"/>
  <c r="B462" i="4"/>
  <c r="C462" i="4"/>
  <c r="D462" i="4"/>
  <c r="E462" i="4"/>
  <c r="F462" i="4"/>
  <c r="G462" i="4"/>
  <c r="H462" i="4"/>
  <c r="I462" i="4"/>
  <c r="J462" i="4"/>
  <c r="K462" i="4"/>
  <c r="B463" i="4"/>
  <c r="C463" i="4"/>
  <c r="D463" i="4"/>
  <c r="E463" i="4"/>
  <c r="F463" i="4"/>
  <c r="G463" i="4"/>
  <c r="H463" i="4"/>
  <c r="I463" i="4"/>
  <c r="J463" i="4"/>
  <c r="K463" i="4"/>
  <c r="B464" i="4"/>
  <c r="C464" i="4"/>
  <c r="D464" i="4"/>
  <c r="E464" i="4"/>
  <c r="F464" i="4"/>
  <c r="G464" i="4"/>
  <c r="H464" i="4"/>
  <c r="I464" i="4"/>
  <c r="J464" i="4"/>
  <c r="K464" i="4"/>
  <c r="B465" i="4"/>
  <c r="C465" i="4"/>
  <c r="D465" i="4"/>
  <c r="E465" i="4"/>
  <c r="F465" i="4"/>
  <c r="G465" i="4"/>
  <c r="H465" i="4"/>
  <c r="I465" i="4"/>
  <c r="J465" i="4"/>
  <c r="K465" i="4"/>
  <c r="B466" i="4"/>
  <c r="C466" i="4"/>
  <c r="D466" i="4"/>
  <c r="E466" i="4"/>
  <c r="F466" i="4"/>
  <c r="G466" i="4"/>
  <c r="H466" i="4"/>
  <c r="I466" i="4"/>
  <c r="J466" i="4"/>
  <c r="K466" i="4"/>
  <c r="B467" i="4"/>
  <c r="C467" i="4"/>
  <c r="D467" i="4"/>
  <c r="E467" i="4"/>
  <c r="F467" i="4"/>
  <c r="G467" i="4"/>
  <c r="H467" i="4"/>
  <c r="I467" i="4"/>
  <c r="J467" i="4"/>
  <c r="K467" i="4"/>
  <c r="B468" i="4"/>
  <c r="C468" i="4"/>
  <c r="D468" i="4"/>
  <c r="E468" i="4"/>
  <c r="F468" i="4"/>
  <c r="G468" i="4"/>
  <c r="H468" i="4"/>
  <c r="I468" i="4"/>
  <c r="J468" i="4"/>
  <c r="K468" i="4"/>
  <c r="B469" i="4"/>
  <c r="C469" i="4"/>
  <c r="D469" i="4"/>
  <c r="E469" i="4"/>
  <c r="F469" i="4"/>
  <c r="G469" i="4"/>
  <c r="H469" i="4"/>
  <c r="I469" i="4"/>
  <c r="J469" i="4"/>
  <c r="K469" i="4"/>
  <c r="B470" i="4"/>
  <c r="C470" i="4"/>
  <c r="D470" i="4"/>
  <c r="E470" i="4"/>
  <c r="F470" i="4"/>
  <c r="G470" i="4"/>
  <c r="H470" i="4"/>
  <c r="I470" i="4"/>
  <c r="J470" i="4"/>
  <c r="K470" i="4"/>
  <c r="B471" i="4"/>
  <c r="C471" i="4"/>
  <c r="D471" i="4"/>
  <c r="E471" i="4"/>
  <c r="F471" i="4"/>
  <c r="G471" i="4"/>
  <c r="H471" i="4"/>
  <c r="I471" i="4"/>
  <c r="J471" i="4"/>
  <c r="K471" i="4"/>
  <c r="B472" i="4"/>
  <c r="C472" i="4"/>
  <c r="D472" i="4"/>
  <c r="E472" i="4"/>
  <c r="F472" i="4"/>
  <c r="G472" i="4"/>
  <c r="H472" i="4"/>
  <c r="I472" i="4"/>
  <c r="J472" i="4"/>
  <c r="K472" i="4"/>
  <c r="B473" i="4"/>
  <c r="C473" i="4"/>
  <c r="D473" i="4"/>
  <c r="E473" i="4"/>
  <c r="F473" i="4"/>
  <c r="G473" i="4"/>
  <c r="H473" i="4"/>
  <c r="I473" i="4"/>
  <c r="J473" i="4"/>
  <c r="K473" i="4"/>
  <c r="B474" i="4"/>
  <c r="C474" i="4"/>
  <c r="D474" i="4"/>
  <c r="E474" i="4"/>
  <c r="F474" i="4"/>
  <c r="G474" i="4"/>
  <c r="H474" i="4"/>
  <c r="I474" i="4"/>
  <c r="J474" i="4"/>
  <c r="K474" i="4"/>
  <c r="B475" i="4"/>
  <c r="C475" i="4"/>
  <c r="D475" i="4"/>
  <c r="E475" i="4"/>
  <c r="F475" i="4"/>
  <c r="G475" i="4"/>
  <c r="H475" i="4"/>
  <c r="I475" i="4"/>
  <c r="J475" i="4"/>
  <c r="K475" i="4"/>
  <c r="B476" i="4"/>
  <c r="C476" i="4"/>
  <c r="D476" i="4"/>
  <c r="E476" i="4"/>
  <c r="F476" i="4"/>
  <c r="G476" i="4"/>
  <c r="H476" i="4"/>
  <c r="I476" i="4"/>
  <c r="J476" i="4"/>
  <c r="K476" i="4"/>
  <c r="B477" i="4"/>
  <c r="C477" i="4"/>
  <c r="D477" i="4"/>
  <c r="E477" i="4"/>
  <c r="F477" i="4"/>
  <c r="G477" i="4"/>
  <c r="H477" i="4"/>
  <c r="I477" i="4"/>
  <c r="J477" i="4"/>
  <c r="K477" i="4"/>
  <c r="B478" i="4"/>
  <c r="C478" i="4"/>
  <c r="D478" i="4"/>
  <c r="E478" i="4"/>
  <c r="F478" i="4"/>
  <c r="G478" i="4"/>
  <c r="H478" i="4"/>
  <c r="I478" i="4"/>
  <c r="J478" i="4"/>
  <c r="K478" i="4"/>
  <c r="B479" i="4"/>
  <c r="C479" i="4"/>
  <c r="D479" i="4"/>
  <c r="E479" i="4"/>
  <c r="F479" i="4"/>
  <c r="G479" i="4"/>
  <c r="H479" i="4"/>
  <c r="I479" i="4"/>
  <c r="J479" i="4"/>
  <c r="K479" i="4"/>
  <c r="B480" i="4"/>
  <c r="C480" i="4"/>
  <c r="D480" i="4"/>
  <c r="E480" i="4"/>
  <c r="F480" i="4"/>
  <c r="G480" i="4"/>
  <c r="H480" i="4"/>
  <c r="I480" i="4"/>
  <c r="J480" i="4"/>
  <c r="K480" i="4"/>
  <c r="B481" i="4"/>
  <c r="C481" i="4"/>
  <c r="D481" i="4"/>
  <c r="E481" i="4"/>
  <c r="F481" i="4"/>
  <c r="G481" i="4"/>
  <c r="H481" i="4"/>
  <c r="I481" i="4"/>
  <c r="J481" i="4"/>
  <c r="K481" i="4"/>
  <c r="B482" i="4"/>
  <c r="C482" i="4"/>
  <c r="D482" i="4"/>
  <c r="E482" i="4"/>
  <c r="F482" i="4"/>
  <c r="G482" i="4"/>
  <c r="H482" i="4"/>
  <c r="I482" i="4"/>
  <c r="J482" i="4"/>
  <c r="K482" i="4"/>
  <c r="B483" i="4"/>
  <c r="C483" i="4"/>
  <c r="D483" i="4"/>
  <c r="E483" i="4"/>
  <c r="F483" i="4"/>
  <c r="G483" i="4"/>
  <c r="H483" i="4"/>
  <c r="I483" i="4"/>
  <c r="J483" i="4"/>
  <c r="K483" i="4"/>
  <c r="B484" i="4"/>
  <c r="C484" i="4"/>
  <c r="D484" i="4"/>
  <c r="E484" i="4"/>
  <c r="F484" i="4"/>
  <c r="G484" i="4"/>
  <c r="H484" i="4"/>
  <c r="I484" i="4"/>
  <c r="J484" i="4"/>
  <c r="K484" i="4"/>
  <c r="B485" i="4"/>
  <c r="C485" i="4"/>
  <c r="D485" i="4"/>
  <c r="E485" i="4"/>
  <c r="F485" i="4"/>
  <c r="G485" i="4"/>
  <c r="H485" i="4"/>
  <c r="I485" i="4"/>
  <c r="J485" i="4"/>
  <c r="K485" i="4"/>
  <c r="B486" i="4"/>
  <c r="C486" i="4"/>
  <c r="D486" i="4"/>
  <c r="E486" i="4"/>
  <c r="F486" i="4"/>
  <c r="G486" i="4"/>
  <c r="H486" i="4"/>
  <c r="I486" i="4"/>
  <c r="J486" i="4"/>
  <c r="K486" i="4"/>
  <c r="B487" i="4"/>
  <c r="C487" i="4"/>
  <c r="D487" i="4"/>
  <c r="E487" i="4"/>
  <c r="F487" i="4"/>
  <c r="G487" i="4"/>
  <c r="H487" i="4"/>
  <c r="I487" i="4"/>
  <c r="J487" i="4"/>
  <c r="K487" i="4"/>
  <c r="B488" i="4"/>
  <c r="C488" i="4"/>
  <c r="D488" i="4"/>
  <c r="E488" i="4"/>
  <c r="F488" i="4"/>
  <c r="G488" i="4"/>
  <c r="H488" i="4"/>
  <c r="I488" i="4"/>
  <c r="J488" i="4"/>
  <c r="K488" i="4"/>
  <c r="B489" i="4"/>
  <c r="C489" i="4"/>
  <c r="D489" i="4"/>
  <c r="E489" i="4"/>
  <c r="F489" i="4"/>
  <c r="G489" i="4"/>
  <c r="H489" i="4"/>
  <c r="I489" i="4"/>
  <c r="J489" i="4"/>
  <c r="K489" i="4"/>
  <c r="B490" i="4"/>
  <c r="C490" i="4"/>
  <c r="D490" i="4"/>
  <c r="E490" i="4"/>
  <c r="F490" i="4"/>
  <c r="G490" i="4"/>
  <c r="H490" i="4"/>
  <c r="I490" i="4"/>
  <c r="J490" i="4"/>
  <c r="K490" i="4"/>
  <c r="B491" i="4"/>
  <c r="C491" i="4"/>
  <c r="D491" i="4"/>
  <c r="E491" i="4"/>
  <c r="F491" i="4"/>
  <c r="G491" i="4"/>
  <c r="H491" i="4"/>
  <c r="I491" i="4"/>
  <c r="J491" i="4"/>
  <c r="K491" i="4"/>
  <c r="B492" i="4"/>
  <c r="C492" i="4"/>
  <c r="D492" i="4"/>
  <c r="E492" i="4"/>
  <c r="F492" i="4"/>
  <c r="G492" i="4"/>
  <c r="H492" i="4"/>
  <c r="I492" i="4"/>
  <c r="J492" i="4"/>
  <c r="K492" i="4"/>
  <c r="B493" i="4"/>
  <c r="C493" i="4"/>
  <c r="D493" i="4"/>
  <c r="E493" i="4"/>
  <c r="F493" i="4"/>
  <c r="G493" i="4"/>
  <c r="H493" i="4"/>
  <c r="I493" i="4"/>
  <c r="J493" i="4"/>
  <c r="K493" i="4"/>
  <c r="B494" i="4"/>
  <c r="C494" i="4"/>
  <c r="D494" i="4"/>
  <c r="E494" i="4"/>
  <c r="F494" i="4"/>
  <c r="G494" i="4"/>
  <c r="H494" i="4"/>
  <c r="I494" i="4"/>
  <c r="J494" i="4"/>
  <c r="K494" i="4"/>
  <c r="B495" i="4"/>
  <c r="C495" i="4"/>
  <c r="D495" i="4"/>
  <c r="E495" i="4"/>
  <c r="F495" i="4"/>
  <c r="G495" i="4"/>
  <c r="H495" i="4"/>
  <c r="I495" i="4"/>
  <c r="J495" i="4"/>
  <c r="K495" i="4"/>
  <c r="B496" i="4"/>
  <c r="C496" i="4"/>
  <c r="D496" i="4"/>
  <c r="E496" i="4"/>
  <c r="F496" i="4"/>
  <c r="G496" i="4"/>
  <c r="H496" i="4"/>
  <c r="I496" i="4"/>
  <c r="J496" i="4"/>
  <c r="K496" i="4"/>
  <c r="B497" i="4"/>
  <c r="C497" i="4"/>
  <c r="D497" i="4"/>
  <c r="E497" i="4"/>
  <c r="F497" i="4"/>
  <c r="G497" i="4"/>
  <c r="H497" i="4"/>
  <c r="I497" i="4"/>
  <c r="J497" i="4"/>
  <c r="K497" i="4"/>
  <c r="B498" i="4"/>
  <c r="C498" i="4"/>
  <c r="D498" i="4"/>
  <c r="E498" i="4"/>
  <c r="F498" i="4"/>
  <c r="G498" i="4"/>
  <c r="H498" i="4"/>
  <c r="I498" i="4"/>
  <c r="J498" i="4"/>
  <c r="K498" i="4"/>
  <c r="B499" i="4"/>
  <c r="C499" i="4"/>
  <c r="D499" i="4"/>
  <c r="E499" i="4"/>
  <c r="F499" i="4"/>
  <c r="G499" i="4"/>
  <c r="H499" i="4"/>
  <c r="I499" i="4"/>
  <c r="J499" i="4"/>
  <c r="K499" i="4"/>
  <c r="B500" i="4"/>
  <c r="C500" i="4"/>
  <c r="D500" i="4"/>
  <c r="E500" i="4"/>
  <c r="F500" i="4"/>
  <c r="G500" i="4"/>
  <c r="H500" i="4"/>
  <c r="I500" i="4"/>
  <c r="J500" i="4"/>
  <c r="K500" i="4"/>
  <c r="B501" i="4"/>
  <c r="C501" i="4"/>
  <c r="D501" i="4"/>
  <c r="E501" i="4"/>
  <c r="F501" i="4"/>
  <c r="G501" i="4"/>
  <c r="H501" i="4"/>
  <c r="I501" i="4"/>
  <c r="J501" i="4"/>
  <c r="K501" i="4"/>
  <c r="B502" i="4"/>
  <c r="C502" i="4"/>
  <c r="D502" i="4"/>
  <c r="E502" i="4"/>
  <c r="F502" i="4"/>
  <c r="G502" i="4"/>
  <c r="H502" i="4"/>
  <c r="I502" i="4"/>
  <c r="J502" i="4"/>
  <c r="K502" i="4"/>
  <c r="B503" i="4"/>
  <c r="C503" i="4"/>
  <c r="D503" i="4"/>
  <c r="E503" i="4"/>
  <c r="F503" i="4"/>
  <c r="G503" i="4"/>
  <c r="H503" i="4"/>
  <c r="I503" i="4"/>
  <c r="J503" i="4"/>
  <c r="K503" i="4"/>
  <c r="B504" i="4"/>
  <c r="C504" i="4"/>
  <c r="D504" i="4"/>
  <c r="E504" i="4"/>
  <c r="F504" i="4"/>
  <c r="G504" i="4"/>
  <c r="H504" i="4"/>
  <c r="I504" i="4"/>
  <c r="J504" i="4"/>
  <c r="K504" i="4"/>
  <c r="B505" i="4"/>
  <c r="C505" i="4"/>
  <c r="D505" i="4"/>
  <c r="E505" i="4"/>
  <c r="F505" i="4"/>
  <c r="G505" i="4"/>
  <c r="H505" i="4"/>
  <c r="I505" i="4"/>
  <c r="J505" i="4"/>
  <c r="K505" i="4"/>
  <c r="B506" i="4"/>
  <c r="C506" i="4"/>
  <c r="D506" i="4"/>
  <c r="E506" i="4"/>
  <c r="F506" i="4"/>
  <c r="G506" i="4"/>
  <c r="H506" i="4"/>
  <c r="I506" i="4"/>
  <c r="J506" i="4"/>
  <c r="K506" i="4"/>
  <c r="B507" i="4"/>
  <c r="C507" i="4"/>
  <c r="D507" i="4"/>
  <c r="E507" i="4"/>
  <c r="F507" i="4"/>
  <c r="G507" i="4"/>
  <c r="H507" i="4"/>
  <c r="I507" i="4"/>
  <c r="J507" i="4"/>
  <c r="K507" i="4"/>
  <c r="B508" i="4"/>
  <c r="C508" i="4"/>
  <c r="D508" i="4"/>
  <c r="E508" i="4"/>
  <c r="F508" i="4"/>
  <c r="G508" i="4"/>
  <c r="H508" i="4"/>
  <c r="I508" i="4"/>
  <c r="J508" i="4"/>
  <c r="K508" i="4"/>
  <c r="B509" i="4"/>
  <c r="C509" i="4"/>
  <c r="D509" i="4"/>
  <c r="E509" i="4"/>
  <c r="F509" i="4"/>
  <c r="G509" i="4"/>
  <c r="H509" i="4"/>
  <c r="I509" i="4"/>
  <c r="J509" i="4"/>
  <c r="K509" i="4"/>
  <c r="B510" i="4"/>
  <c r="C510" i="4"/>
  <c r="D510" i="4"/>
  <c r="E510" i="4"/>
  <c r="F510" i="4"/>
  <c r="G510" i="4"/>
  <c r="H510" i="4"/>
  <c r="I510" i="4"/>
  <c r="J510" i="4"/>
  <c r="K510" i="4"/>
  <c r="B511" i="4"/>
  <c r="C511" i="4"/>
  <c r="D511" i="4"/>
  <c r="E511" i="4"/>
  <c r="F511" i="4"/>
  <c r="G511" i="4"/>
  <c r="H511" i="4"/>
  <c r="I511" i="4"/>
  <c r="J511" i="4"/>
  <c r="K511" i="4"/>
  <c r="B512" i="4"/>
  <c r="C512" i="4"/>
  <c r="D512" i="4"/>
  <c r="E512" i="4"/>
  <c r="F512" i="4"/>
  <c r="G512" i="4"/>
  <c r="H512" i="4"/>
  <c r="I512" i="4"/>
  <c r="J512" i="4"/>
  <c r="K512" i="4"/>
  <c r="B513" i="4"/>
  <c r="C513" i="4"/>
  <c r="D513" i="4"/>
  <c r="E513" i="4"/>
  <c r="F513" i="4"/>
  <c r="G513" i="4"/>
  <c r="H513" i="4"/>
  <c r="I513" i="4"/>
  <c r="J513" i="4"/>
  <c r="K513" i="4"/>
  <c r="B514" i="4"/>
  <c r="C514" i="4"/>
  <c r="D514" i="4"/>
  <c r="E514" i="4"/>
  <c r="F514" i="4"/>
  <c r="G514" i="4"/>
  <c r="H514" i="4"/>
  <c r="I514" i="4"/>
  <c r="J514" i="4"/>
  <c r="K514" i="4"/>
  <c r="B515" i="4"/>
  <c r="C515" i="4"/>
  <c r="D515" i="4"/>
  <c r="E515" i="4"/>
  <c r="F515" i="4"/>
  <c r="G515" i="4"/>
  <c r="H515" i="4"/>
  <c r="I515" i="4"/>
  <c r="J515" i="4"/>
  <c r="K515" i="4"/>
  <c r="B516" i="4"/>
  <c r="C516" i="4"/>
  <c r="D516" i="4"/>
  <c r="E516" i="4"/>
  <c r="F516" i="4"/>
  <c r="G516" i="4"/>
  <c r="H516" i="4"/>
  <c r="I516" i="4"/>
  <c r="J516" i="4"/>
  <c r="K516" i="4"/>
  <c r="B517" i="4"/>
  <c r="C517" i="4"/>
  <c r="D517" i="4"/>
  <c r="E517" i="4"/>
  <c r="F517" i="4"/>
  <c r="G517" i="4"/>
  <c r="H517" i="4"/>
  <c r="I517" i="4"/>
  <c r="J517" i="4"/>
  <c r="K517" i="4"/>
  <c r="B518" i="4"/>
  <c r="C518" i="4"/>
  <c r="D518" i="4"/>
  <c r="E518" i="4"/>
  <c r="F518" i="4"/>
  <c r="G518" i="4"/>
  <c r="H518" i="4"/>
  <c r="I518" i="4"/>
  <c r="J518" i="4"/>
  <c r="K518" i="4"/>
  <c r="B519" i="4"/>
  <c r="C519" i="4"/>
  <c r="D519" i="4"/>
  <c r="E519" i="4"/>
  <c r="F519" i="4"/>
  <c r="G519" i="4"/>
  <c r="H519" i="4"/>
  <c r="I519" i="4"/>
  <c r="J519" i="4"/>
  <c r="K519" i="4"/>
  <c r="B520" i="4"/>
  <c r="C520" i="4"/>
  <c r="D520" i="4"/>
  <c r="E520" i="4"/>
  <c r="F520" i="4"/>
  <c r="G520" i="4"/>
  <c r="H520" i="4"/>
  <c r="I520" i="4"/>
  <c r="J520" i="4"/>
  <c r="K520" i="4"/>
  <c r="B521" i="4"/>
  <c r="C521" i="4"/>
  <c r="D521" i="4"/>
  <c r="E521" i="4"/>
  <c r="F521" i="4"/>
  <c r="G521" i="4"/>
  <c r="H521" i="4"/>
  <c r="I521" i="4"/>
  <c r="J521" i="4"/>
  <c r="K521" i="4"/>
  <c r="B522" i="4"/>
  <c r="C522" i="4"/>
  <c r="D522" i="4"/>
  <c r="E522" i="4"/>
  <c r="F522" i="4"/>
  <c r="G522" i="4"/>
  <c r="H522" i="4"/>
  <c r="I522" i="4"/>
  <c r="J522" i="4"/>
  <c r="K522" i="4"/>
  <c r="B523" i="4"/>
  <c r="C523" i="4"/>
  <c r="D523" i="4"/>
  <c r="E523" i="4"/>
  <c r="F523" i="4"/>
  <c r="G523" i="4"/>
  <c r="H523" i="4"/>
  <c r="I523" i="4"/>
  <c r="J523" i="4"/>
  <c r="K523" i="4"/>
  <c r="B524" i="4"/>
  <c r="C524" i="4"/>
  <c r="D524" i="4"/>
  <c r="E524" i="4"/>
  <c r="F524" i="4"/>
  <c r="G524" i="4"/>
  <c r="H524" i="4"/>
  <c r="I524" i="4"/>
  <c r="J524" i="4"/>
  <c r="K524" i="4"/>
  <c r="B525" i="4"/>
  <c r="C525" i="4"/>
  <c r="D525" i="4"/>
  <c r="E525" i="4"/>
  <c r="F525" i="4"/>
  <c r="G525" i="4"/>
  <c r="H525" i="4"/>
  <c r="I525" i="4"/>
  <c r="J525" i="4"/>
  <c r="K525" i="4"/>
  <c r="B526" i="4"/>
  <c r="C526" i="4"/>
  <c r="D526" i="4"/>
  <c r="E526" i="4"/>
  <c r="F526" i="4"/>
  <c r="G526" i="4"/>
  <c r="H526" i="4"/>
  <c r="I526" i="4"/>
  <c r="J526" i="4"/>
  <c r="K526" i="4"/>
  <c r="B527" i="4"/>
  <c r="C527" i="4"/>
  <c r="D527" i="4"/>
  <c r="E527" i="4"/>
  <c r="F527" i="4"/>
  <c r="G527" i="4"/>
  <c r="H527" i="4"/>
  <c r="I527" i="4"/>
  <c r="J527" i="4"/>
  <c r="K527" i="4"/>
  <c r="B528" i="4"/>
  <c r="C528" i="4"/>
  <c r="D528" i="4"/>
  <c r="E528" i="4"/>
  <c r="F528" i="4"/>
  <c r="G528" i="4"/>
  <c r="H528" i="4"/>
  <c r="I528" i="4"/>
  <c r="J528" i="4"/>
  <c r="K528" i="4"/>
  <c r="B529" i="4"/>
  <c r="C529" i="4"/>
  <c r="D529" i="4"/>
  <c r="E529" i="4"/>
  <c r="F529" i="4"/>
  <c r="G529" i="4"/>
  <c r="H529" i="4"/>
  <c r="I529" i="4"/>
  <c r="J529" i="4"/>
  <c r="K529" i="4"/>
  <c r="B530" i="4"/>
  <c r="C530" i="4"/>
  <c r="D530" i="4"/>
  <c r="E530" i="4"/>
  <c r="F530" i="4"/>
  <c r="G530" i="4"/>
  <c r="H530" i="4"/>
  <c r="I530" i="4"/>
  <c r="J530" i="4"/>
  <c r="K530" i="4"/>
  <c r="B531" i="4"/>
  <c r="C531" i="4"/>
  <c r="D531" i="4"/>
  <c r="E531" i="4"/>
  <c r="F531" i="4"/>
  <c r="G531" i="4"/>
  <c r="H531" i="4"/>
  <c r="I531" i="4"/>
  <c r="J531" i="4"/>
  <c r="K531" i="4"/>
  <c r="B532" i="4"/>
  <c r="C532" i="4"/>
  <c r="D532" i="4"/>
  <c r="E532" i="4"/>
  <c r="F532" i="4"/>
  <c r="G532" i="4"/>
  <c r="H532" i="4"/>
  <c r="I532" i="4"/>
  <c r="J532" i="4"/>
  <c r="K532" i="4"/>
  <c r="B533" i="4"/>
  <c r="C533" i="4"/>
  <c r="D533" i="4"/>
  <c r="E533" i="4"/>
  <c r="F533" i="4"/>
  <c r="G533" i="4"/>
  <c r="H533" i="4"/>
  <c r="I533" i="4"/>
  <c r="J533" i="4"/>
  <c r="K533" i="4"/>
  <c r="B534" i="4"/>
  <c r="C534" i="4"/>
  <c r="D534" i="4"/>
  <c r="E534" i="4"/>
  <c r="F534" i="4"/>
  <c r="G534" i="4"/>
  <c r="H534" i="4"/>
  <c r="I534" i="4"/>
  <c r="J534" i="4"/>
  <c r="K534" i="4"/>
  <c r="B535" i="4"/>
  <c r="C535" i="4"/>
  <c r="D535" i="4"/>
  <c r="E535" i="4"/>
  <c r="F535" i="4"/>
  <c r="G535" i="4"/>
  <c r="H535" i="4"/>
  <c r="I535" i="4"/>
  <c r="J535" i="4"/>
  <c r="K535" i="4"/>
  <c r="B536" i="4"/>
  <c r="C536" i="4"/>
  <c r="D536" i="4"/>
  <c r="E536" i="4"/>
  <c r="F536" i="4"/>
  <c r="G536" i="4"/>
  <c r="H536" i="4"/>
  <c r="I536" i="4"/>
  <c r="J536" i="4"/>
  <c r="K536" i="4"/>
  <c r="B537" i="4"/>
  <c r="C537" i="4"/>
  <c r="D537" i="4"/>
  <c r="E537" i="4"/>
  <c r="F537" i="4"/>
  <c r="G537" i="4"/>
  <c r="H537" i="4"/>
  <c r="I537" i="4"/>
  <c r="J537" i="4"/>
  <c r="K537" i="4"/>
  <c r="B538" i="4"/>
  <c r="C538" i="4"/>
  <c r="D538" i="4"/>
  <c r="E538" i="4"/>
  <c r="F538" i="4"/>
  <c r="G538" i="4"/>
  <c r="H538" i="4"/>
  <c r="I538" i="4"/>
  <c r="J538" i="4"/>
  <c r="K538" i="4"/>
  <c r="B539" i="4"/>
  <c r="C539" i="4"/>
  <c r="D539" i="4"/>
  <c r="E539" i="4"/>
  <c r="F539" i="4"/>
  <c r="G539" i="4"/>
  <c r="H539" i="4"/>
  <c r="I539" i="4"/>
  <c r="J539" i="4"/>
  <c r="K539" i="4"/>
  <c r="B540" i="4"/>
  <c r="C540" i="4"/>
  <c r="D540" i="4"/>
  <c r="E540" i="4"/>
  <c r="F540" i="4"/>
  <c r="G540" i="4"/>
  <c r="H540" i="4"/>
  <c r="I540" i="4"/>
  <c r="J540" i="4"/>
  <c r="K540" i="4"/>
  <c r="B541" i="4"/>
  <c r="C541" i="4"/>
  <c r="D541" i="4"/>
  <c r="E541" i="4"/>
  <c r="F541" i="4"/>
  <c r="G541" i="4"/>
  <c r="H541" i="4"/>
  <c r="I541" i="4"/>
  <c r="J541" i="4"/>
  <c r="K541" i="4"/>
  <c r="B542" i="4"/>
  <c r="C542" i="4"/>
  <c r="D542" i="4"/>
  <c r="E542" i="4"/>
  <c r="F542" i="4"/>
  <c r="G542" i="4"/>
  <c r="H542" i="4"/>
  <c r="I542" i="4"/>
  <c r="J542" i="4"/>
  <c r="K542" i="4"/>
  <c r="B543" i="4"/>
  <c r="C543" i="4"/>
  <c r="D543" i="4"/>
  <c r="E543" i="4"/>
  <c r="F543" i="4"/>
  <c r="G543" i="4"/>
  <c r="H543" i="4"/>
  <c r="I543" i="4"/>
  <c r="J543" i="4"/>
  <c r="K543" i="4"/>
  <c r="B544" i="4"/>
  <c r="C544" i="4"/>
  <c r="D544" i="4"/>
  <c r="E544" i="4"/>
  <c r="F544" i="4"/>
  <c r="G544" i="4"/>
  <c r="H544" i="4"/>
  <c r="I544" i="4"/>
  <c r="J544" i="4"/>
  <c r="K544" i="4"/>
  <c r="B545" i="4"/>
  <c r="C545" i="4"/>
  <c r="D545" i="4"/>
  <c r="E545" i="4"/>
  <c r="F545" i="4"/>
  <c r="G545" i="4"/>
  <c r="H545" i="4"/>
  <c r="I545" i="4"/>
  <c r="J545" i="4"/>
  <c r="K545" i="4"/>
  <c r="B546" i="4"/>
  <c r="C546" i="4"/>
  <c r="D546" i="4"/>
  <c r="E546" i="4"/>
  <c r="F546" i="4"/>
  <c r="G546" i="4"/>
  <c r="H546" i="4"/>
  <c r="I546" i="4"/>
  <c r="J546" i="4"/>
  <c r="K546" i="4"/>
  <c r="B547" i="4"/>
  <c r="C547" i="4"/>
  <c r="D547" i="4"/>
  <c r="E547" i="4"/>
  <c r="F547" i="4"/>
  <c r="G547" i="4"/>
  <c r="H547" i="4"/>
  <c r="I547" i="4"/>
  <c r="J547" i="4"/>
  <c r="K547" i="4"/>
  <c r="B548" i="4"/>
  <c r="C548" i="4"/>
  <c r="D548" i="4"/>
  <c r="E548" i="4"/>
  <c r="F548" i="4"/>
  <c r="G548" i="4"/>
  <c r="H548" i="4"/>
  <c r="I548" i="4"/>
  <c r="J548" i="4"/>
  <c r="K548" i="4"/>
  <c r="B549" i="4"/>
  <c r="C549" i="4"/>
  <c r="D549" i="4"/>
  <c r="E549" i="4"/>
  <c r="F549" i="4"/>
  <c r="G549" i="4"/>
  <c r="H549" i="4"/>
  <c r="I549" i="4"/>
  <c r="J549" i="4"/>
  <c r="K549" i="4"/>
  <c r="B550" i="4"/>
  <c r="C550" i="4"/>
  <c r="D550" i="4"/>
  <c r="E550" i="4"/>
  <c r="F550" i="4"/>
  <c r="G550" i="4"/>
  <c r="H550" i="4"/>
  <c r="I550" i="4"/>
  <c r="J550" i="4"/>
  <c r="K550" i="4"/>
  <c r="B551" i="4"/>
  <c r="C551" i="4"/>
  <c r="D551" i="4"/>
  <c r="E551" i="4"/>
  <c r="F551" i="4"/>
  <c r="G551" i="4"/>
  <c r="H551" i="4"/>
  <c r="I551" i="4"/>
  <c r="J551" i="4"/>
  <c r="K551" i="4"/>
  <c r="B552" i="4"/>
  <c r="C552" i="4"/>
  <c r="D552" i="4"/>
  <c r="E552" i="4"/>
  <c r="F552" i="4"/>
  <c r="G552" i="4"/>
  <c r="H552" i="4"/>
  <c r="I552" i="4"/>
  <c r="J552" i="4"/>
  <c r="K552" i="4"/>
  <c r="B553" i="4"/>
  <c r="C553" i="4"/>
  <c r="D553" i="4"/>
  <c r="E553" i="4"/>
  <c r="F553" i="4"/>
  <c r="G553" i="4"/>
  <c r="H553" i="4"/>
  <c r="I553" i="4"/>
  <c r="J553" i="4"/>
  <c r="K553" i="4"/>
  <c r="B554" i="4"/>
  <c r="C554" i="4"/>
  <c r="D554" i="4"/>
  <c r="E554" i="4"/>
  <c r="F554" i="4"/>
  <c r="G554" i="4"/>
  <c r="H554" i="4"/>
  <c r="I554" i="4"/>
  <c r="J554" i="4"/>
  <c r="K554" i="4"/>
  <c r="B555" i="4"/>
  <c r="C555" i="4"/>
  <c r="D555" i="4"/>
  <c r="E555" i="4"/>
  <c r="F555" i="4"/>
  <c r="G555" i="4"/>
  <c r="H555" i="4"/>
  <c r="I555" i="4"/>
  <c r="J555" i="4"/>
  <c r="K555" i="4"/>
  <c r="B556" i="4"/>
  <c r="C556" i="4"/>
  <c r="D556" i="4"/>
  <c r="E556" i="4"/>
  <c r="F556" i="4"/>
  <c r="G556" i="4"/>
  <c r="H556" i="4"/>
  <c r="I556" i="4"/>
  <c r="J556" i="4"/>
  <c r="K556" i="4"/>
  <c r="B557" i="4"/>
  <c r="C557" i="4"/>
  <c r="D557" i="4"/>
  <c r="E557" i="4"/>
  <c r="F557" i="4"/>
  <c r="G557" i="4"/>
  <c r="H557" i="4"/>
  <c r="I557" i="4"/>
  <c r="J557" i="4"/>
  <c r="K557" i="4"/>
  <c r="B558" i="4"/>
  <c r="C558" i="4"/>
  <c r="D558" i="4"/>
  <c r="E558" i="4"/>
  <c r="F558" i="4"/>
  <c r="G558" i="4"/>
  <c r="H558" i="4"/>
  <c r="I558" i="4"/>
  <c r="J558" i="4"/>
  <c r="K558" i="4"/>
  <c r="B559" i="4"/>
  <c r="C559" i="4"/>
  <c r="D559" i="4"/>
  <c r="E559" i="4"/>
  <c r="F559" i="4"/>
  <c r="G559" i="4"/>
  <c r="H559" i="4"/>
  <c r="I559" i="4"/>
  <c r="J559" i="4"/>
  <c r="K559" i="4"/>
  <c r="B560" i="4"/>
  <c r="C560" i="4"/>
  <c r="D560" i="4"/>
  <c r="E560" i="4"/>
  <c r="F560" i="4"/>
  <c r="G560" i="4"/>
  <c r="H560" i="4"/>
  <c r="I560" i="4"/>
  <c r="J560" i="4"/>
  <c r="K560" i="4"/>
  <c r="B561" i="4"/>
  <c r="C561" i="4"/>
  <c r="D561" i="4"/>
  <c r="E561" i="4"/>
  <c r="F561" i="4"/>
  <c r="G561" i="4"/>
  <c r="H561" i="4"/>
  <c r="I561" i="4"/>
  <c r="J561" i="4"/>
  <c r="K561" i="4"/>
  <c r="B562" i="4"/>
  <c r="C562" i="4"/>
  <c r="D562" i="4"/>
  <c r="E562" i="4"/>
  <c r="F562" i="4"/>
  <c r="G562" i="4"/>
  <c r="H562" i="4"/>
  <c r="I562" i="4"/>
  <c r="J562" i="4"/>
  <c r="K562" i="4"/>
  <c r="B563" i="4"/>
  <c r="C563" i="4"/>
  <c r="D563" i="4"/>
  <c r="E563" i="4"/>
  <c r="F563" i="4"/>
  <c r="G563" i="4"/>
  <c r="H563" i="4"/>
  <c r="I563" i="4"/>
  <c r="J563" i="4"/>
  <c r="K563" i="4"/>
  <c r="B564" i="4"/>
  <c r="C564" i="4"/>
  <c r="D564" i="4"/>
  <c r="E564" i="4"/>
  <c r="F564" i="4"/>
  <c r="G564" i="4"/>
  <c r="H564" i="4"/>
  <c r="I564" i="4"/>
  <c r="J564" i="4"/>
  <c r="K564" i="4"/>
  <c r="B565" i="4"/>
  <c r="C565" i="4"/>
  <c r="D565" i="4"/>
  <c r="E565" i="4"/>
  <c r="F565" i="4"/>
  <c r="G565" i="4"/>
  <c r="H565" i="4"/>
  <c r="I565" i="4"/>
  <c r="J565" i="4"/>
  <c r="K565" i="4"/>
  <c r="B566" i="4"/>
  <c r="C566" i="4"/>
  <c r="D566" i="4"/>
  <c r="E566" i="4"/>
  <c r="F566" i="4"/>
  <c r="G566" i="4"/>
  <c r="H566" i="4"/>
  <c r="I566" i="4"/>
  <c r="J566" i="4"/>
  <c r="K566" i="4"/>
  <c r="B567" i="4"/>
  <c r="C567" i="4"/>
  <c r="D567" i="4"/>
  <c r="E567" i="4"/>
  <c r="F567" i="4"/>
  <c r="G567" i="4"/>
  <c r="H567" i="4"/>
  <c r="I567" i="4"/>
  <c r="J567" i="4"/>
  <c r="K567" i="4"/>
  <c r="B568" i="4"/>
  <c r="C568" i="4"/>
  <c r="D568" i="4"/>
  <c r="E568" i="4"/>
  <c r="F568" i="4"/>
  <c r="G568" i="4"/>
  <c r="H568" i="4"/>
  <c r="I568" i="4"/>
  <c r="J568" i="4"/>
  <c r="K568" i="4"/>
  <c r="B569" i="4"/>
  <c r="C569" i="4"/>
  <c r="D569" i="4"/>
  <c r="E569" i="4"/>
  <c r="F569" i="4"/>
  <c r="G569" i="4"/>
  <c r="H569" i="4"/>
  <c r="I569" i="4"/>
  <c r="J569" i="4"/>
  <c r="K569" i="4"/>
  <c r="B570" i="4"/>
  <c r="C570" i="4"/>
  <c r="D570" i="4"/>
  <c r="E570" i="4"/>
  <c r="F570" i="4"/>
  <c r="G570" i="4"/>
  <c r="H570" i="4"/>
  <c r="I570" i="4"/>
  <c r="J570" i="4"/>
  <c r="K570" i="4"/>
  <c r="B571" i="4"/>
  <c r="C571" i="4"/>
  <c r="D571" i="4"/>
  <c r="E571" i="4"/>
  <c r="F571" i="4"/>
  <c r="G571" i="4"/>
  <c r="H571" i="4"/>
  <c r="I571" i="4"/>
  <c r="J571" i="4"/>
  <c r="K571" i="4"/>
  <c r="B572" i="4"/>
  <c r="C572" i="4"/>
  <c r="D572" i="4"/>
  <c r="E572" i="4"/>
  <c r="F572" i="4"/>
  <c r="G572" i="4"/>
  <c r="H572" i="4"/>
  <c r="I572" i="4"/>
  <c r="J572" i="4"/>
  <c r="K572" i="4"/>
  <c r="B573" i="4"/>
  <c r="C573" i="4"/>
  <c r="D573" i="4"/>
  <c r="E573" i="4"/>
  <c r="F573" i="4"/>
  <c r="G573" i="4"/>
  <c r="H573" i="4"/>
  <c r="I573" i="4"/>
  <c r="J573" i="4"/>
  <c r="K573" i="4"/>
  <c r="B574" i="4"/>
  <c r="C574" i="4"/>
  <c r="D574" i="4"/>
  <c r="E574" i="4"/>
  <c r="F574" i="4"/>
  <c r="G574" i="4"/>
  <c r="H574" i="4"/>
  <c r="I574" i="4"/>
  <c r="J574" i="4"/>
  <c r="K574" i="4"/>
  <c r="B575" i="4"/>
  <c r="C575" i="4"/>
  <c r="D575" i="4"/>
  <c r="E575" i="4"/>
  <c r="F575" i="4"/>
  <c r="G575" i="4"/>
  <c r="H575" i="4"/>
  <c r="I575" i="4"/>
  <c r="J575" i="4"/>
  <c r="K575" i="4"/>
  <c r="B576" i="4"/>
  <c r="C576" i="4"/>
  <c r="D576" i="4"/>
  <c r="E576" i="4"/>
  <c r="F576" i="4"/>
  <c r="G576" i="4"/>
  <c r="H576" i="4"/>
  <c r="I576" i="4"/>
  <c r="J576" i="4"/>
  <c r="K576" i="4"/>
  <c r="B577" i="4"/>
  <c r="C577" i="4"/>
  <c r="D577" i="4"/>
  <c r="E577" i="4"/>
  <c r="F577" i="4"/>
  <c r="G577" i="4"/>
  <c r="H577" i="4"/>
  <c r="I577" i="4"/>
  <c r="J577" i="4"/>
  <c r="K577" i="4"/>
  <c r="B578" i="4"/>
  <c r="C578" i="4"/>
  <c r="D578" i="4"/>
  <c r="E578" i="4"/>
  <c r="F578" i="4"/>
  <c r="G578" i="4"/>
  <c r="H578" i="4"/>
  <c r="I578" i="4"/>
  <c r="J578" i="4"/>
  <c r="K578" i="4"/>
  <c r="B579" i="4"/>
  <c r="C579" i="4"/>
  <c r="D579" i="4"/>
  <c r="E579" i="4"/>
  <c r="F579" i="4"/>
  <c r="G579" i="4"/>
  <c r="H579" i="4"/>
  <c r="I579" i="4"/>
  <c r="J579" i="4"/>
  <c r="K579" i="4"/>
  <c r="B580" i="4"/>
  <c r="C580" i="4"/>
  <c r="D580" i="4"/>
  <c r="E580" i="4"/>
  <c r="F580" i="4"/>
  <c r="G580" i="4"/>
  <c r="H580" i="4"/>
  <c r="I580" i="4"/>
  <c r="J580" i="4"/>
  <c r="K580" i="4"/>
  <c r="B581" i="4"/>
  <c r="C581" i="4"/>
  <c r="D581" i="4"/>
  <c r="E581" i="4"/>
  <c r="F581" i="4"/>
  <c r="G581" i="4"/>
  <c r="H581" i="4"/>
  <c r="I581" i="4"/>
  <c r="J581" i="4"/>
  <c r="K581" i="4"/>
  <c r="B582" i="4"/>
  <c r="C582" i="4"/>
  <c r="D582" i="4"/>
  <c r="E582" i="4"/>
  <c r="F582" i="4"/>
  <c r="G582" i="4"/>
  <c r="H582" i="4"/>
  <c r="I582" i="4"/>
  <c r="J582" i="4"/>
  <c r="K582" i="4"/>
  <c r="B583" i="4"/>
  <c r="C583" i="4"/>
  <c r="D583" i="4"/>
  <c r="E583" i="4"/>
  <c r="F583" i="4"/>
  <c r="G583" i="4"/>
  <c r="H583" i="4"/>
  <c r="I583" i="4"/>
  <c r="J583" i="4"/>
  <c r="K583" i="4"/>
  <c r="B584" i="4"/>
  <c r="C584" i="4"/>
  <c r="D584" i="4"/>
  <c r="E584" i="4"/>
  <c r="F584" i="4"/>
  <c r="G584" i="4"/>
  <c r="H584" i="4"/>
  <c r="I584" i="4"/>
  <c r="J584" i="4"/>
  <c r="K584" i="4"/>
  <c r="B585" i="4"/>
  <c r="C585" i="4"/>
  <c r="D585" i="4"/>
  <c r="E585" i="4"/>
  <c r="F585" i="4"/>
  <c r="G585" i="4"/>
  <c r="H585" i="4"/>
  <c r="I585" i="4"/>
  <c r="J585" i="4"/>
  <c r="K585" i="4"/>
  <c r="B586" i="4"/>
  <c r="C586" i="4"/>
  <c r="D586" i="4"/>
  <c r="E586" i="4"/>
  <c r="F586" i="4"/>
  <c r="G586" i="4"/>
  <c r="H586" i="4"/>
  <c r="I586" i="4"/>
  <c r="J586" i="4"/>
  <c r="K586" i="4"/>
  <c r="B587" i="4"/>
  <c r="C587" i="4"/>
  <c r="D587" i="4"/>
  <c r="E587" i="4"/>
  <c r="F587" i="4"/>
  <c r="G587" i="4"/>
  <c r="H587" i="4"/>
  <c r="I587" i="4"/>
  <c r="J587" i="4"/>
  <c r="K587" i="4"/>
  <c r="B588" i="4"/>
  <c r="C588" i="4"/>
  <c r="D588" i="4"/>
  <c r="E588" i="4"/>
  <c r="F588" i="4"/>
  <c r="G588" i="4"/>
  <c r="H588" i="4"/>
  <c r="I588" i="4"/>
  <c r="J588" i="4"/>
  <c r="K588" i="4"/>
  <c r="B589" i="4"/>
  <c r="C589" i="4"/>
  <c r="D589" i="4"/>
  <c r="E589" i="4"/>
  <c r="F589" i="4"/>
  <c r="G589" i="4"/>
  <c r="H589" i="4"/>
  <c r="I589" i="4"/>
  <c r="J589" i="4"/>
  <c r="K589" i="4"/>
  <c r="B590" i="4"/>
  <c r="C590" i="4"/>
  <c r="D590" i="4"/>
  <c r="E590" i="4"/>
  <c r="F590" i="4"/>
  <c r="G590" i="4"/>
  <c r="H590" i="4"/>
  <c r="I590" i="4"/>
  <c r="J590" i="4"/>
  <c r="K590" i="4"/>
  <c r="B591" i="4"/>
  <c r="C591" i="4"/>
  <c r="D591" i="4"/>
  <c r="E591" i="4"/>
  <c r="F591" i="4"/>
  <c r="G591" i="4"/>
  <c r="H591" i="4"/>
  <c r="I591" i="4"/>
  <c r="J591" i="4"/>
  <c r="K591" i="4"/>
  <c r="B592" i="4"/>
  <c r="C592" i="4"/>
  <c r="D592" i="4"/>
  <c r="E592" i="4"/>
  <c r="F592" i="4"/>
  <c r="G592" i="4"/>
  <c r="H592" i="4"/>
  <c r="I592" i="4"/>
  <c r="J592" i="4"/>
  <c r="K592" i="4"/>
  <c r="B593" i="4"/>
  <c r="C593" i="4"/>
  <c r="D593" i="4"/>
  <c r="E593" i="4"/>
  <c r="F593" i="4"/>
  <c r="G593" i="4"/>
  <c r="H593" i="4"/>
  <c r="I593" i="4"/>
  <c r="J593" i="4"/>
  <c r="K593" i="4"/>
  <c r="B594" i="4"/>
  <c r="C594" i="4"/>
  <c r="D594" i="4"/>
  <c r="E594" i="4"/>
  <c r="F594" i="4"/>
  <c r="G594" i="4"/>
  <c r="H594" i="4"/>
  <c r="I594" i="4"/>
  <c r="J594" i="4"/>
  <c r="K594" i="4"/>
  <c r="B595" i="4"/>
  <c r="C595" i="4"/>
  <c r="D595" i="4"/>
  <c r="E595" i="4"/>
  <c r="F595" i="4"/>
  <c r="G595" i="4"/>
  <c r="H595" i="4"/>
  <c r="I595" i="4"/>
  <c r="J595" i="4"/>
  <c r="K595" i="4"/>
  <c r="B596" i="4"/>
  <c r="C596" i="4"/>
  <c r="D596" i="4"/>
  <c r="E596" i="4"/>
  <c r="F596" i="4"/>
  <c r="G596" i="4"/>
  <c r="H596" i="4"/>
  <c r="I596" i="4"/>
  <c r="J596" i="4"/>
  <c r="K596" i="4"/>
  <c r="B597" i="4"/>
  <c r="C597" i="4"/>
  <c r="D597" i="4"/>
  <c r="E597" i="4"/>
  <c r="F597" i="4"/>
  <c r="G597" i="4"/>
  <c r="H597" i="4"/>
  <c r="I597" i="4"/>
  <c r="J597" i="4"/>
  <c r="K597" i="4"/>
  <c r="B598" i="4"/>
  <c r="C598" i="4"/>
  <c r="D598" i="4"/>
  <c r="E598" i="4"/>
  <c r="F598" i="4"/>
  <c r="G598" i="4"/>
  <c r="H598" i="4"/>
  <c r="I598" i="4"/>
  <c r="J598" i="4"/>
  <c r="K598" i="4"/>
  <c r="B599" i="4"/>
  <c r="C599" i="4"/>
  <c r="D599" i="4"/>
  <c r="E599" i="4"/>
  <c r="F599" i="4"/>
  <c r="G599" i="4"/>
  <c r="H599" i="4"/>
  <c r="I599" i="4"/>
  <c r="J599" i="4"/>
  <c r="K599" i="4"/>
  <c r="B600" i="4"/>
  <c r="C600" i="4"/>
  <c r="D600" i="4"/>
  <c r="E600" i="4"/>
  <c r="F600" i="4"/>
  <c r="G600" i="4"/>
  <c r="H600" i="4"/>
  <c r="I600" i="4"/>
  <c r="J600" i="4"/>
  <c r="K600" i="4"/>
  <c r="B601" i="4"/>
  <c r="C601" i="4"/>
  <c r="D601" i="4"/>
  <c r="E601" i="4"/>
  <c r="F601" i="4"/>
  <c r="G601" i="4"/>
  <c r="H601" i="4"/>
  <c r="I601" i="4"/>
  <c r="J601" i="4"/>
  <c r="K601" i="4"/>
  <c r="B602" i="4"/>
  <c r="C602" i="4"/>
  <c r="D602" i="4"/>
  <c r="E602" i="4"/>
  <c r="F602" i="4"/>
  <c r="G602" i="4"/>
  <c r="H602" i="4"/>
  <c r="I602" i="4"/>
  <c r="J602" i="4"/>
  <c r="K602" i="4"/>
  <c r="B603" i="4"/>
  <c r="C603" i="4"/>
  <c r="D603" i="4"/>
  <c r="E603" i="4"/>
  <c r="F603" i="4"/>
  <c r="G603" i="4"/>
  <c r="H603" i="4"/>
  <c r="I603" i="4"/>
  <c r="J603" i="4"/>
  <c r="K603" i="4"/>
  <c r="B604" i="4"/>
  <c r="C604" i="4"/>
  <c r="D604" i="4"/>
  <c r="E604" i="4"/>
  <c r="F604" i="4"/>
  <c r="G604" i="4"/>
  <c r="H604" i="4"/>
  <c r="I604" i="4"/>
  <c r="J604" i="4"/>
  <c r="K604" i="4"/>
  <c r="B605" i="4"/>
  <c r="C605" i="4"/>
  <c r="D605" i="4"/>
  <c r="E605" i="4"/>
  <c r="F605" i="4"/>
  <c r="G605" i="4"/>
  <c r="H605" i="4"/>
  <c r="I605" i="4"/>
  <c r="J605" i="4"/>
  <c r="K605" i="4"/>
  <c r="B606" i="4"/>
  <c r="C606" i="4"/>
  <c r="D606" i="4"/>
  <c r="E606" i="4"/>
  <c r="F606" i="4"/>
  <c r="G606" i="4"/>
  <c r="H606" i="4"/>
  <c r="I606" i="4"/>
  <c r="J606" i="4"/>
  <c r="K606" i="4"/>
  <c r="B607" i="4"/>
  <c r="C607" i="4"/>
  <c r="D607" i="4"/>
  <c r="E607" i="4"/>
  <c r="F607" i="4"/>
  <c r="G607" i="4"/>
  <c r="H607" i="4"/>
  <c r="I607" i="4"/>
  <c r="J607" i="4"/>
  <c r="K607" i="4"/>
  <c r="B608" i="4"/>
  <c r="C608" i="4"/>
  <c r="D608" i="4"/>
  <c r="E608" i="4"/>
  <c r="F608" i="4"/>
  <c r="G608" i="4"/>
  <c r="H608" i="4"/>
  <c r="I608" i="4"/>
  <c r="J608" i="4"/>
  <c r="K608" i="4"/>
  <c r="B609" i="4"/>
  <c r="C609" i="4"/>
  <c r="D609" i="4"/>
  <c r="E609" i="4"/>
  <c r="F609" i="4"/>
  <c r="G609" i="4"/>
  <c r="H609" i="4"/>
  <c r="I609" i="4"/>
  <c r="J609" i="4"/>
  <c r="K609" i="4"/>
  <c r="B610" i="4"/>
  <c r="C610" i="4"/>
  <c r="D610" i="4"/>
  <c r="E610" i="4"/>
  <c r="F610" i="4"/>
  <c r="G610" i="4"/>
  <c r="H610" i="4"/>
  <c r="I610" i="4"/>
  <c r="J610" i="4"/>
  <c r="K610" i="4"/>
  <c r="B611" i="4"/>
  <c r="C611" i="4"/>
  <c r="D611" i="4"/>
  <c r="E611" i="4"/>
  <c r="F611" i="4"/>
  <c r="G611" i="4"/>
  <c r="H611" i="4"/>
  <c r="I611" i="4"/>
  <c r="J611" i="4"/>
  <c r="K611" i="4"/>
  <c r="B612" i="4"/>
  <c r="C612" i="4"/>
  <c r="D612" i="4"/>
  <c r="E612" i="4"/>
  <c r="F612" i="4"/>
  <c r="G612" i="4"/>
  <c r="H612" i="4"/>
  <c r="I612" i="4"/>
  <c r="J612" i="4"/>
  <c r="K612" i="4"/>
  <c r="B613" i="4"/>
  <c r="C613" i="4"/>
  <c r="D613" i="4"/>
  <c r="E613" i="4"/>
  <c r="F613" i="4"/>
  <c r="G613" i="4"/>
  <c r="H613" i="4"/>
  <c r="I613" i="4"/>
  <c r="J613" i="4"/>
  <c r="K613" i="4"/>
  <c r="B614" i="4"/>
  <c r="C614" i="4"/>
  <c r="D614" i="4"/>
  <c r="E614" i="4"/>
  <c r="F614" i="4"/>
  <c r="G614" i="4"/>
  <c r="H614" i="4"/>
  <c r="I614" i="4"/>
  <c r="J614" i="4"/>
  <c r="K614" i="4"/>
  <c r="B615" i="4"/>
  <c r="C615" i="4"/>
  <c r="D615" i="4"/>
  <c r="E615" i="4"/>
  <c r="F615" i="4"/>
  <c r="G615" i="4"/>
  <c r="H615" i="4"/>
  <c r="I615" i="4"/>
  <c r="J615" i="4"/>
  <c r="K615" i="4"/>
  <c r="B616" i="4"/>
  <c r="C616" i="4"/>
  <c r="D616" i="4"/>
  <c r="E616" i="4"/>
  <c r="F616" i="4"/>
  <c r="G616" i="4"/>
  <c r="H616" i="4"/>
  <c r="I616" i="4"/>
  <c r="J616" i="4"/>
  <c r="K616" i="4"/>
  <c r="B617" i="4"/>
  <c r="C617" i="4"/>
  <c r="D617" i="4"/>
  <c r="E617" i="4"/>
  <c r="F617" i="4"/>
  <c r="G617" i="4"/>
  <c r="H617" i="4"/>
  <c r="I617" i="4"/>
  <c r="J617" i="4"/>
  <c r="K617" i="4"/>
  <c r="B618" i="4"/>
  <c r="C618" i="4"/>
  <c r="D618" i="4"/>
  <c r="E618" i="4"/>
  <c r="F618" i="4"/>
  <c r="G618" i="4"/>
  <c r="H618" i="4"/>
  <c r="I618" i="4"/>
  <c r="J618" i="4"/>
  <c r="K618" i="4"/>
  <c r="B619" i="4"/>
  <c r="C619" i="4"/>
  <c r="D619" i="4"/>
  <c r="E619" i="4"/>
  <c r="F619" i="4"/>
  <c r="G619" i="4"/>
  <c r="H619" i="4"/>
  <c r="I619" i="4"/>
  <c r="J619" i="4"/>
  <c r="K619" i="4"/>
  <c r="B620" i="4"/>
  <c r="C620" i="4"/>
  <c r="D620" i="4"/>
  <c r="E620" i="4"/>
  <c r="F620" i="4"/>
  <c r="G620" i="4"/>
  <c r="H620" i="4"/>
  <c r="I620" i="4"/>
  <c r="J620" i="4"/>
  <c r="K620" i="4"/>
  <c r="B621" i="4"/>
  <c r="C621" i="4"/>
  <c r="D621" i="4"/>
  <c r="E621" i="4"/>
  <c r="F621" i="4"/>
  <c r="G621" i="4"/>
  <c r="H621" i="4"/>
  <c r="I621" i="4"/>
  <c r="J621" i="4"/>
  <c r="K621" i="4"/>
  <c r="B622" i="4"/>
  <c r="C622" i="4"/>
  <c r="D622" i="4"/>
  <c r="E622" i="4"/>
  <c r="F622" i="4"/>
  <c r="G622" i="4"/>
  <c r="H622" i="4"/>
  <c r="I622" i="4"/>
  <c r="J622" i="4"/>
  <c r="K622" i="4"/>
  <c r="B623" i="4"/>
  <c r="C623" i="4"/>
  <c r="D623" i="4"/>
  <c r="E623" i="4"/>
  <c r="F623" i="4"/>
  <c r="G623" i="4"/>
  <c r="H623" i="4"/>
  <c r="I623" i="4"/>
  <c r="J623" i="4"/>
  <c r="K623" i="4"/>
  <c r="B624" i="4"/>
  <c r="C624" i="4"/>
  <c r="D624" i="4"/>
  <c r="E624" i="4"/>
  <c r="F624" i="4"/>
  <c r="G624" i="4"/>
  <c r="H624" i="4"/>
  <c r="I624" i="4"/>
  <c r="J624" i="4"/>
  <c r="K624" i="4"/>
  <c r="B625" i="4"/>
  <c r="C625" i="4"/>
  <c r="D625" i="4"/>
  <c r="E625" i="4"/>
  <c r="F625" i="4"/>
  <c r="G625" i="4"/>
  <c r="H625" i="4"/>
  <c r="I625" i="4"/>
  <c r="J625" i="4"/>
  <c r="K625" i="4"/>
  <c r="B626" i="4"/>
  <c r="C626" i="4"/>
  <c r="D626" i="4"/>
  <c r="E626" i="4"/>
  <c r="F626" i="4"/>
  <c r="G626" i="4"/>
  <c r="H626" i="4"/>
  <c r="I626" i="4"/>
  <c r="J626" i="4"/>
  <c r="K626" i="4"/>
  <c r="B627" i="4"/>
  <c r="C627" i="4"/>
  <c r="D627" i="4"/>
  <c r="E627" i="4"/>
  <c r="F627" i="4"/>
  <c r="G627" i="4"/>
  <c r="H627" i="4"/>
  <c r="I627" i="4"/>
  <c r="J627" i="4"/>
  <c r="K627" i="4"/>
  <c r="B628" i="4"/>
  <c r="C628" i="4"/>
  <c r="D628" i="4"/>
  <c r="E628" i="4"/>
  <c r="F628" i="4"/>
  <c r="G628" i="4"/>
  <c r="H628" i="4"/>
  <c r="I628" i="4"/>
  <c r="J628" i="4"/>
  <c r="K628" i="4"/>
  <c r="B629" i="4"/>
  <c r="C629" i="4"/>
  <c r="D629" i="4"/>
  <c r="E629" i="4"/>
  <c r="F629" i="4"/>
  <c r="G629" i="4"/>
  <c r="H629" i="4"/>
  <c r="I629" i="4"/>
  <c r="J629" i="4"/>
  <c r="K629" i="4"/>
  <c r="B630" i="4"/>
  <c r="C630" i="4"/>
  <c r="D630" i="4"/>
  <c r="E630" i="4"/>
  <c r="F630" i="4"/>
  <c r="G630" i="4"/>
  <c r="H630" i="4"/>
  <c r="I630" i="4"/>
  <c r="J630" i="4"/>
  <c r="K630" i="4"/>
  <c r="B631" i="4"/>
  <c r="C631" i="4"/>
  <c r="D631" i="4"/>
  <c r="E631" i="4"/>
  <c r="F631" i="4"/>
  <c r="G631" i="4"/>
  <c r="H631" i="4"/>
  <c r="I631" i="4"/>
  <c r="J631" i="4"/>
  <c r="K631" i="4"/>
  <c r="B632" i="4"/>
  <c r="C632" i="4"/>
  <c r="D632" i="4"/>
  <c r="E632" i="4"/>
  <c r="F632" i="4"/>
  <c r="G632" i="4"/>
  <c r="H632" i="4"/>
  <c r="I632" i="4"/>
  <c r="J632" i="4"/>
  <c r="K632" i="4"/>
  <c r="B633" i="4"/>
  <c r="C633" i="4"/>
  <c r="D633" i="4"/>
  <c r="E633" i="4"/>
  <c r="F633" i="4"/>
  <c r="G633" i="4"/>
  <c r="H633" i="4"/>
  <c r="I633" i="4"/>
  <c r="J633" i="4"/>
  <c r="K633" i="4"/>
  <c r="B634" i="4"/>
  <c r="C634" i="4"/>
  <c r="D634" i="4"/>
  <c r="E634" i="4"/>
  <c r="F634" i="4"/>
  <c r="G634" i="4"/>
  <c r="H634" i="4"/>
  <c r="I634" i="4"/>
  <c r="J634" i="4"/>
  <c r="K634" i="4"/>
  <c r="B635" i="4"/>
  <c r="C635" i="4"/>
  <c r="D635" i="4"/>
  <c r="E635" i="4"/>
  <c r="F635" i="4"/>
  <c r="G635" i="4"/>
  <c r="H635" i="4"/>
  <c r="I635" i="4"/>
  <c r="J635" i="4"/>
  <c r="K635" i="4"/>
  <c r="B636" i="4"/>
  <c r="C636" i="4"/>
  <c r="D636" i="4"/>
  <c r="E636" i="4"/>
  <c r="F636" i="4"/>
  <c r="G636" i="4"/>
  <c r="H636" i="4"/>
  <c r="I636" i="4"/>
  <c r="J636" i="4"/>
  <c r="K636" i="4"/>
  <c r="B637" i="4"/>
  <c r="C637" i="4"/>
  <c r="D637" i="4"/>
  <c r="E637" i="4"/>
  <c r="F637" i="4"/>
  <c r="G637" i="4"/>
  <c r="H637" i="4"/>
  <c r="I637" i="4"/>
  <c r="J637" i="4"/>
  <c r="K637" i="4"/>
  <c r="B638" i="4"/>
  <c r="C638" i="4"/>
  <c r="D638" i="4"/>
  <c r="E638" i="4"/>
  <c r="F638" i="4"/>
  <c r="G638" i="4"/>
  <c r="H638" i="4"/>
  <c r="I638" i="4"/>
  <c r="J638" i="4"/>
  <c r="K638" i="4"/>
  <c r="B639" i="4"/>
  <c r="C639" i="4"/>
  <c r="D639" i="4"/>
  <c r="E639" i="4"/>
  <c r="F639" i="4"/>
  <c r="G639" i="4"/>
  <c r="H639" i="4"/>
  <c r="I639" i="4"/>
  <c r="J639" i="4"/>
  <c r="K639" i="4"/>
  <c r="B640" i="4"/>
  <c r="C640" i="4"/>
  <c r="D640" i="4"/>
  <c r="E640" i="4"/>
  <c r="F640" i="4"/>
  <c r="G640" i="4"/>
  <c r="H640" i="4"/>
  <c r="I640" i="4"/>
  <c r="J640" i="4"/>
  <c r="K640" i="4"/>
  <c r="B641" i="4"/>
  <c r="C641" i="4"/>
  <c r="D641" i="4"/>
  <c r="E641" i="4"/>
  <c r="F641" i="4"/>
  <c r="G641" i="4"/>
  <c r="H641" i="4"/>
  <c r="I641" i="4"/>
  <c r="J641" i="4"/>
  <c r="K641" i="4"/>
  <c r="B642" i="4"/>
  <c r="C642" i="4"/>
  <c r="D642" i="4"/>
  <c r="E642" i="4"/>
  <c r="F642" i="4"/>
  <c r="G642" i="4"/>
  <c r="H642" i="4"/>
  <c r="I642" i="4"/>
  <c r="J642" i="4"/>
  <c r="K642" i="4"/>
  <c r="B643" i="4"/>
  <c r="C643" i="4"/>
  <c r="D643" i="4"/>
  <c r="E643" i="4"/>
  <c r="F643" i="4"/>
  <c r="G643" i="4"/>
  <c r="H643" i="4"/>
  <c r="I643" i="4"/>
  <c r="J643" i="4"/>
  <c r="K643" i="4"/>
  <c r="B644" i="4"/>
  <c r="C644" i="4"/>
  <c r="D644" i="4"/>
  <c r="E644" i="4"/>
  <c r="F644" i="4"/>
  <c r="G644" i="4"/>
  <c r="H644" i="4"/>
  <c r="I644" i="4"/>
  <c r="J644" i="4"/>
  <c r="K644" i="4"/>
  <c r="B645" i="4"/>
  <c r="C645" i="4"/>
  <c r="D645" i="4"/>
  <c r="E645" i="4"/>
  <c r="F645" i="4"/>
  <c r="G645" i="4"/>
  <c r="H645" i="4"/>
  <c r="I645" i="4"/>
  <c r="J645" i="4"/>
  <c r="K645" i="4"/>
  <c r="B646" i="4"/>
  <c r="C646" i="4"/>
  <c r="D646" i="4"/>
  <c r="E646" i="4"/>
  <c r="F646" i="4"/>
  <c r="G646" i="4"/>
  <c r="H646" i="4"/>
  <c r="I646" i="4"/>
  <c r="J646" i="4"/>
  <c r="K646" i="4"/>
  <c r="B647" i="4"/>
  <c r="C647" i="4"/>
  <c r="D647" i="4"/>
  <c r="E647" i="4"/>
  <c r="F647" i="4"/>
  <c r="G647" i="4"/>
  <c r="H647" i="4"/>
  <c r="I647" i="4"/>
  <c r="J647" i="4"/>
  <c r="K647" i="4"/>
  <c r="B648" i="4"/>
  <c r="C648" i="4"/>
  <c r="D648" i="4"/>
  <c r="E648" i="4"/>
  <c r="F648" i="4"/>
  <c r="G648" i="4"/>
  <c r="H648" i="4"/>
  <c r="I648" i="4"/>
  <c r="J648" i="4"/>
  <c r="K648" i="4"/>
  <c r="B649" i="4"/>
  <c r="C649" i="4"/>
  <c r="D649" i="4"/>
  <c r="E649" i="4"/>
  <c r="F649" i="4"/>
  <c r="G649" i="4"/>
  <c r="H649" i="4"/>
  <c r="I649" i="4"/>
  <c r="J649" i="4"/>
  <c r="K649" i="4"/>
  <c r="B650" i="4"/>
  <c r="C650" i="4"/>
  <c r="D650" i="4"/>
  <c r="E650" i="4"/>
  <c r="F650" i="4"/>
  <c r="G650" i="4"/>
  <c r="H650" i="4"/>
  <c r="I650" i="4"/>
  <c r="J650" i="4"/>
  <c r="K650" i="4"/>
  <c r="B651" i="4"/>
  <c r="C651" i="4"/>
  <c r="D651" i="4"/>
  <c r="E651" i="4"/>
  <c r="F651" i="4"/>
  <c r="G651" i="4"/>
  <c r="H651" i="4"/>
  <c r="I651" i="4"/>
  <c r="J651" i="4"/>
  <c r="K651" i="4"/>
  <c r="B652" i="4"/>
  <c r="C652" i="4"/>
  <c r="D652" i="4"/>
  <c r="E652" i="4"/>
  <c r="F652" i="4"/>
  <c r="G652" i="4"/>
  <c r="H652" i="4"/>
  <c r="I652" i="4"/>
  <c r="J652" i="4"/>
  <c r="K652" i="4"/>
  <c r="B653" i="4"/>
  <c r="C653" i="4"/>
  <c r="D653" i="4"/>
  <c r="E653" i="4"/>
  <c r="F653" i="4"/>
  <c r="G653" i="4"/>
  <c r="H653" i="4"/>
  <c r="I653" i="4"/>
  <c r="J653" i="4"/>
  <c r="K653" i="4"/>
  <c r="B654" i="4"/>
  <c r="C654" i="4"/>
  <c r="D654" i="4"/>
  <c r="E654" i="4"/>
  <c r="F654" i="4"/>
  <c r="G654" i="4"/>
  <c r="H654" i="4"/>
  <c r="I654" i="4"/>
  <c r="J654" i="4"/>
  <c r="K654" i="4"/>
  <c r="B655" i="4"/>
  <c r="C655" i="4"/>
  <c r="D655" i="4"/>
  <c r="E655" i="4"/>
  <c r="F655" i="4"/>
  <c r="G655" i="4"/>
  <c r="H655" i="4"/>
  <c r="I655" i="4"/>
  <c r="J655" i="4"/>
  <c r="K655" i="4"/>
  <c r="B656" i="4"/>
  <c r="C656" i="4"/>
  <c r="D656" i="4"/>
  <c r="E656" i="4"/>
  <c r="F656" i="4"/>
  <c r="G656" i="4"/>
  <c r="H656" i="4"/>
  <c r="I656" i="4"/>
  <c r="J656" i="4"/>
  <c r="K656" i="4"/>
  <c r="B657" i="4"/>
  <c r="C657" i="4"/>
  <c r="D657" i="4"/>
  <c r="E657" i="4"/>
  <c r="F657" i="4"/>
  <c r="G657" i="4"/>
  <c r="H657" i="4"/>
  <c r="I657" i="4"/>
  <c r="J657" i="4"/>
  <c r="K657" i="4"/>
  <c r="B658" i="4"/>
  <c r="C658" i="4"/>
  <c r="D658" i="4"/>
  <c r="E658" i="4"/>
  <c r="F658" i="4"/>
  <c r="G658" i="4"/>
  <c r="H658" i="4"/>
  <c r="I658" i="4"/>
  <c r="J658" i="4"/>
  <c r="K658" i="4"/>
  <c r="B659" i="4"/>
  <c r="C659" i="4"/>
  <c r="D659" i="4"/>
  <c r="E659" i="4"/>
  <c r="F659" i="4"/>
  <c r="G659" i="4"/>
  <c r="H659" i="4"/>
  <c r="I659" i="4"/>
  <c r="J659" i="4"/>
  <c r="K659" i="4"/>
  <c r="B660" i="4"/>
  <c r="C660" i="4"/>
  <c r="D660" i="4"/>
  <c r="E660" i="4"/>
  <c r="F660" i="4"/>
  <c r="G660" i="4"/>
  <c r="H660" i="4"/>
  <c r="I660" i="4"/>
  <c r="J660" i="4"/>
  <c r="K660" i="4"/>
  <c r="B661" i="4"/>
  <c r="C661" i="4"/>
  <c r="D661" i="4"/>
  <c r="E661" i="4"/>
  <c r="F661" i="4"/>
  <c r="G661" i="4"/>
  <c r="H661" i="4"/>
  <c r="I661" i="4"/>
  <c r="J661" i="4"/>
  <c r="K661" i="4"/>
  <c r="B662" i="4"/>
  <c r="C662" i="4"/>
  <c r="D662" i="4"/>
  <c r="E662" i="4"/>
  <c r="F662" i="4"/>
  <c r="G662" i="4"/>
  <c r="H662" i="4"/>
  <c r="I662" i="4"/>
  <c r="J662" i="4"/>
  <c r="K662" i="4"/>
  <c r="B663" i="4"/>
  <c r="C663" i="4"/>
  <c r="D663" i="4"/>
  <c r="E663" i="4"/>
  <c r="F663" i="4"/>
  <c r="G663" i="4"/>
  <c r="H663" i="4"/>
  <c r="I663" i="4"/>
  <c r="J663" i="4"/>
  <c r="K663" i="4"/>
  <c r="B664" i="4"/>
  <c r="C664" i="4"/>
  <c r="D664" i="4"/>
  <c r="E664" i="4"/>
  <c r="F664" i="4"/>
  <c r="G664" i="4"/>
  <c r="H664" i="4"/>
  <c r="I664" i="4"/>
  <c r="J664" i="4"/>
  <c r="K664" i="4"/>
  <c r="B665" i="4"/>
  <c r="C665" i="4"/>
  <c r="D665" i="4"/>
  <c r="E665" i="4"/>
  <c r="F665" i="4"/>
  <c r="G665" i="4"/>
  <c r="H665" i="4"/>
  <c r="I665" i="4"/>
  <c r="J665" i="4"/>
  <c r="K665" i="4"/>
  <c r="B666" i="4"/>
  <c r="C666" i="4"/>
  <c r="D666" i="4"/>
  <c r="E666" i="4"/>
  <c r="F666" i="4"/>
  <c r="G666" i="4"/>
  <c r="H666" i="4"/>
  <c r="I666" i="4"/>
  <c r="J666" i="4"/>
  <c r="K666" i="4"/>
  <c r="B667" i="4"/>
  <c r="C667" i="4"/>
  <c r="D667" i="4"/>
  <c r="E667" i="4"/>
  <c r="F667" i="4"/>
  <c r="G667" i="4"/>
  <c r="H667" i="4"/>
  <c r="I667" i="4"/>
  <c r="J667" i="4"/>
  <c r="K667" i="4"/>
  <c r="B668" i="4"/>
  <c r="C668" i="4"/>
  <c r="D668" i="4"/>
  <c r="E668" i="4"/>
  <c r="F668" i="4"/>
  <c r="G668" i="4"/>
  <c r="H668" i="4"/>
  <c r="I668" i="4"/>
  <c r="J668" i="4"/>
  <c r="K668" i="4"/>
  <c r="B669" i="4"/>
  <c r="C669" i="4"/>
  <c r="D669" i="4"/>
  <c r="E669" i="4"/>
  <c r="F669" i="4"/>
  <c r="G669" i="4"/>
  <c r="H669" i="4"/>
  <c r="I669" i="4"/>
  <c r="J669" i="4"/>
  <c r="K669" i="4"/>
  <c r="B670" i="4"/>
  <c r="C670" i="4"/>
  <c r="D670" i="4"/>
  <c r="E670" i="4"/>
  <c r="F670" i="4"/>
  <c r="G670" i="4"/>
  <c r="H670" i="4"/>
  <c r="I670" i="4"/>
  <c r="J670" i="4"/>
  <c r="K670" i="4"/>
  <c r="B671" i="4"/>
  <c r="C671" i="4"/>
  <c r="D671" i="4"/>
  <c r="E671" i="4"/>
  <c r="F671" i="4"/>
  <c r="G671" i="4"/>
  <c r="H671" i="4"/>
  <c r="I671" i="4"/>
  <c r="J671" i="4"/>
  <c r="K671" i="4"/>
  <c r="B672" i="4"/>
  <c r="C672" i="4"/>
  <c r="D672" i="4"/>
  <c r="E672" i="4"/>
  <c r="F672" i="4"/>
  <c r="G672" i="4"/>
  <c r="H672" i="4"/>
  <c r="I672" i="4"/>
  <c r="J672" i="4"/>
  <c r="K672" i="4"/>
  <c r="B673" i="4"/>
  <c r="C673" i="4"/>
  <c r="D673" i="4"/>
  <c r="E673" i="4"/>
  <c r="F673" i="4"/>
  <c r="G673" i="4"/>
  <c r="H673" i="4"/>
  <c r="I673" i="4"/>
  <c r="J673" i="4"/>
  <c r="K673" i="4"/>
  <c r="B674" i="4"/>
  <c r="C674" i="4"/>
  <c r="D674" i="4"/>
  <c r="E674" i="4"/>
  <c r="F674" i="4"/>
  <c r="G674" i="4"/>
  <c r="H674" i="4"/>
  <c r="I674" i="4"/>
  <c r="J674" i="4"/>
  <c r="K674" i="4"/>
  <c r="B675" i="4"/>
  <c r="C675" i="4"/>
  <c r="D675" i="4"/>
  <c r="E675" i="4"/>
  <c r="F675" i="4"/>
  <c r="G675" i="4"/>
  <c r="H675" i="4"/>
  <c r="I675" i="4"/>
  <c r="J675" i="4"/>
  <c r="K675" i="4"/>
  <c r="B676" i="4"/>
  <c r="C676" i="4"/>
  <c r="D676" i="4"/>
  <c r="E676" i="4"/>
  <c r="F676" i="4"/>
  <c r="G676" i="4"/>
  <c r="H676" i="4"/>
  <c r="I676" i="4"/>
  <c r="J676" i="4"/>
  <c r="K676" i="4"/>
  <c r="B677" i="4"/>
  <c r="C677" i="4"/>
  <c r="D677" i="4"/>
  <c r="E677" i="4"/>
  <c r="F677" i="4"/>
  <c r="G677" i="4"/>
  <c r="H677" i="4"/>
  <c r="I677" i="4"/>
  <c r="J677" i="4"/>
  <c r="K677" i="4"/>
  <c r="B678" i="4"/>
  <c r="C678" i="4"/>
  <c r="D678" i="4"/>
  <c r="E678" i="4"/>
  <c r="F678" i="4"/>
  <c r="G678" i="4"/>
  <c r="H678" i="4"/>
  <c r="I678" i="4"/>
  <c r="J678" i="4"/>
  <c r="K678" i="4"/>
  <c r="B679" i="4"/>
  <c r="C679" i="4"/>
  <c r="D679" i="4"/>
  <c r="E679" i="4"/>
  <c r="F679" i="4"/>
  <c r="G679" i="4"/>
  <c r="H679" i="4"/>
  <c r="I679" i="4"/>
  <c r="J679" i="4"/>
  <c r="K679" i="4"/>
  <c r="B680" i="4"/>
  <c r="C680" i="4"/>
  <c r="D680" i="4"/>
  <c r="E680" i="4"/>
  <c r="F680" i="4"/>
  <c r="G680" i="4"/>
  <c r="H680" i="4"/>
  <c r="I680" i="4"/>
  <c r="J680" i="4"/>
  <c r="K680" i="4"/>
  <c r="B681" i="4"/>
  <c r="C681" i="4"/>
  <c r="D681" i="4"/>
  <c r="E681" i="4"/>
  <c r="F681" i="4"/>
  <c r="G681" i="4"/>
  <c r="H681" i="4"/>
  <c r="I681" i="4"/>
  <c r="J681" i="4"/>
  <c r="K681" i="4"/>
  <c r="B682" i="4"/>
  <c r="C682" i="4"/>
  <c r="D682" i="4"/>
  <c r="E682" i="4"/>
  <c r="F682" i="4"/>
  <c r="G682" i="4"/>
  <c r="H682" i="4"/>
  <c r="I682" i="4"/>
  <c r="J682" i="4"/>
  <c r="K682" i="4"/>
  <c r="B683" i="4"/>
  <c r="C683" i="4"/>
  <c r="D683" i="4"/>
  <c r="E683" i="4"/>
  <c r="F683" i="4"/>
  <c r="G683" i="4"/>
  <c r="H683" i="4"/>
  <c r="I683" i="4"/>
  <c r="J683" i="4"/>
  <c r="K683" i="4"/>
  <c r="B684" i="4"/>
  <c r="C684" i="4"/>
  <c r="D684" i="4"/>
  <c r="E684" i="4"/>
  <c r="F684" i="4"/>
  <c r="G684" i="4"/>
  <c r="H684" i="4"/>
  <c r="I684" i="4"/>
  <c r="J684" i="4"/>
  <c r="K684" i="4"/>
  <c r="B685" i="4"/>
  <c r="C685" i="4"/>
  <c r="D685" i="4"/>
  <c r="E685" i="4"/>
  <c r="F685" i="4"/>
  <c r="G685" i="4"/>
  <c r="H685" i="4"/>
  <c r="I685" i="4"/>
  <c r="J685" i="4"/>
  <c r="K685" i="4"/>
  <c r="B686" i="4"/>
  <c r="C686" i="4"/>
  <c r="D686" i="4"/>
  <c r="E686" i="4"/>
  <c r="F686" i="4"/>
  <c r="G686" i="4"/>
  <c r="H686" i="4"/>
  <c r="I686" i="4"/>
  <c r="J686" i="4"/>
  <c r="K686" i="4"/>
  <c r="B687" i="4"/>
  <c r="C687" i="4"/>
  <c r="D687" i="4"/>
  <c r="E687" i="4"/>
  <c r="F687" i="4"/>
  <c r="G687" i="4"/>
  <c r="H687" i="4"/>
  <c r="I687" i="4"/>
  <c r="J687" i="4"/>
  <c r="K687" i="4"/>
  <c r="B688" i="4"/>
  <c r="C688" i="4"/>
  <c r="D688" i="4"/>
  <c r="E688" i="4"/>
  <c r="F688" i="4"/>
  <c r="G688" i="4"/>
  <c r="H688" i="4"/>
  <c r="I688" i="4"/>
  <c r="J688" i="4"/>
  <c r="K688" i="4"/>
  <c r="B689" i="4"/>
  <c r="C689" i="4"/>
  <c r="D689" i="4"/>
  <c r="E689" i="4"/>
  <c r="F689" i="4"/>
  <c r="G689" i="4"/>
  <c r="H689" i="4"/>
  <c r="I689" i="4"/>
  <c r="J689" i="4"/>
  <c r="K689" i="4"/>
  <c r="B690" i="4"/>
  <c r="C690" i="4"/>
  <c r="D690" i="4"/>
  <c r="E690" i="4"/>
  <c r="F690" i="4"/>
  <c r="G690" i="4"/>
  <c r="H690" i="4"/>
  <c r="I690" i="4"/>
  <c r="J690" i="4"/>
  <c r="K690" i="4"/>
  <c r="B691" i="4"/>
  <c r="C691" i="4"/>
  <c r="D691" i="4"/>
  <c r="E691" i="4"/>
  <c r="F691" i="4"/>
  <c r="G691" i="4"/>
  <c r="H691" i="4"/>
  <c r="I691" i="4"/>
  <c r="J691" i="4"/>
  <c r="K691" i="4"/>
  <c r="B692" i="4"/>
  <c r="C692" i="4"/>
  <c r="D692" i="4"/>
  <c r="E692" i="4"/>
  <c r="F692" i="4"/>
  <c r="G692" i="4"/>
  <c r="H692" i="4"/>
  <c r="I692" i="4"/>
  <c r="J692" i="4"/>
  <c r="K692" i="4"/>
  <c r="B693" i="4"/>
  <c r="C693" i="4"/>
  <c r="D693" i="4"/>
  <c r="E693" i="4"/>
  <c r="F693" i="4"/>
  <c r="G693" i="4"/>
  <c r="H693" i="4"/>
  <c r="I693" i="4"/>
  <c r="J693" i="4"/>
  <c r="K693" i="4"/>
  <c r="B694" i="4"/>
  <c r="C694" i="4"/>
  <c r="D694" i="4"/>
  <c r="E694" i="4"/>
  <c r="F694" i="4"/>
  <c r="G694" i="4"/>
  <c r="H694" i="4"/>
  <c r="I694" i="4"/>
  <c r="J694" i="4"/>
  <c r="K694" i="4"/>
  <c r="B695" i="4"/>
  <c r="C695" i="4"/>
  <c r="D695" i="4"/>
  <c r="E695" i="4"/>
  <c r="F695" i="4"/>
  <c r="G695" i="4"/>
  <c r="H695" i="4"/>
  <c r="I695" i="4"/>
  <c r="J695" i="4"/>
  <c r="K695" i="4"/>
  <c r="B696" i="4"/>
  <c r="C696" i="4"/>
  <c r="D696" i="4"/>
  <c r="E696" i="4"/>
  <c r="F696" i="4"/>
  <c r="G696" i="4"/>
  <c r="H696" i="4"/>
  <c r="I696" i="4"/>
  <c r="J696" i="4"/>
  <c r="K696" i="4"/>
  <c r="B697" i="4"/>
  <c r="C697" i="4"/>
  <c r="D697" i="4"/>
  <c r="E697" i="4"/>
  <c r="F697" i="4"/>
  <c r="G697" i="4"/>
  <c r="H697" i="4"/>
  <c r="I697" i="4"/>
  <c r="J697" i="4"/>
  <c r="K697" i="4"/>
  <c r="B698" i="4"/>
  <c r="C698" i="4"/>
  <c r="D698" i="4"/>
  <c r="E698" i="4"/>
  <c r="F698" i="4"/>
  <c r="G698" i="4"/>
  <c r="H698" i="4"/>
  <c r="I698" i="4"/>
  <c r="J698" i="4"/>
  <c r="K698" i="4"/>
  <c r="B699" i="4"/>
  <c r="C699" i="4"/>
  <c r="D699" i="4"/>
  <c r="E699" i="4"/>
  <c r="F699" i="4"/>
  <c r="G699" i="4"/>
  <c r="H699" i="4"/>
  <c r="I699" i="4"/>
  <c r="J699" i="4"/>
  <c r="K699" i="4"/>
  <c r="B700" i="4"/>
  <c r="C700" i="4"/>
  <c r="D700" i="4"/>
  <c r="E700" i="4"/>
  <c r="F700" i="4"/>
  <c r="G700" i="4"/>
  <c r="H700" i="4"/>
  <c r="I700" i="4"/>
  <c r="J700" i="4"/>
  <c r="K700" i="4"/>
  <c r="B701" i="4"/>
  <c r="C701" i="4"/>
  <c r="D701" i="4"/>
  <c r="E701" i="4"/>
  <c r="F701" i="4"/>
  <c r="G701" i="4"/>
  <c r="H701" i="4"/>
  <c r="I701" i="4"/>
  <c r="J701" i="4"/>
  <c r="K701" i="4"/>
  <c r="B702" i="4"/>
  <c r="C702" i="4"/>
  <c r="D702" i="4"/>
  <c r="E702" i="4"/>
  <c r="F702" i="4"/>
  <c r="G702" i="4"/>
  <c r="H702" i="4"/>
  <c r="I702" i="4"/>
  <c r="J702" i="4"/>
  <c r="K702" i="4"/>
  <c r="B703" i="4"/>
  <c r="C703" i="4"/>
  <c r="D703" i="4"/>
  <c r="E703" i="4"/>
  <c r="F703" i="4"/>
  <c r="G703" i="4"/>
  <c r="H703" i="4"/>
  <c r="I703" i="4"/>
  <c r="J703" i="4"/>
  <c r="K703" i="4"/>
  <c r="B704" i="4"/>
  <c r="C704" i="4"/>
  <c r="D704" i="4"/>
  <c r="E704" i="4"/>
  <c r="F704" i="4"/>
  <c r="G704" i="4"/>
  <c r="H704" i="4"/>
  <c r="I704" i="4"/>
  <c r="J704" i="4"/>
  <c r="K704" i="4"/>
  <c r="B705" i="4"/>
  <c r="C705" i="4"/>
  <c r="D705" i="4"/>
  <c r="E705" i="4"/>
  <c r="F705" i="4"/>
  <c r="G705" i="4"/>
  <c r="H705" i="4"/>
  <c r="I705" i="4"/>
  <c r="J705" i="4"/>
  <c r="K705" i="4"/>
  <c r="B706" i="4"/>
  <c r="C706" i="4"/>
  <c r="D706" i="4"/>
  <c r="E706" i="4"/>
  <c r="F706" i="4"/>
  <c r="G706" i="4"/>
  <c r="H706" i="4"/>
  <c r="I706" i="4"/>
  <c r="J706" i="4"/>
  <c r="K706" i="4"/>
  <c r="B707" i="4"/>
  <c r="C707" i="4"/>
  <c r="D707" i="4"/>
  <c r="E707" i="4"/>
  <c r="F707" i="4"/>
  <c r="G707" i="4"/>
  <c r="H707" i="4"/>
  <c r="I707" i="4"/>
  <c r="J707" i="4"/>
  <c r="K707" i="4"/>
  <c r="B708" i="4"/>
  <c r="C708" i="4"/>
  <c r="D708" i="4"/>
  <c r="E708" i="4"/>
  <c r="F708" i="4"/>
  <c r="G708" i="4"/>
  <c r="H708" i="4"/>
  <c r="I708" i="4"/>
  <c r="J708" i="4"/>
  <c r="K708" i="4"/>
  <c r="B709" i="4"/>
  <c r="C709" i="4"/>
  <c r="D709" i="4"/>
  <c r="E709" i="4"/>
  <c r="F709" i="4"/>
  <c r="G709" i="4"/>
  <c r="H709" i="4"/>
  <c r="I709" i="4"/>
  <c r="J709" i="4"/>
  <c r="K709" i="4"/>
  <c r="B710" i="4"/>
  <c r="C710" i="4"/>
  <c r="D710" i="4"/>
  <c r="E710" i="4"/>
  <c r="F710" i="4"/>
  <c r="G710" i="4"/>
  <c r="H710" i="4"/>
  <c r="I710" i="4"/>
  <c r="J710" i="4"/>
  <c r="K710" i="4"/>
  <c r="B711" i="4"/>
  <c r="C711" i="4"/>
  <c r="D711" i="4"/>
  <c r="E711" i="4"/>
  <c r="F711" i="4"/>
  <c r="G711" i="4"/>
  <c r="H711" i="4"/>
  <c r="I711" i="4"/>
  <c r="J711" i="4"/>
  <c r="K711" i="4"/>
  <c r="B712" i="4"/>
  <c r="C712" i="4"/>
  <c r="D712" i="4"/>
  <c r="E712" i="4"/>
  <c r="F712" i="4"/>
  <c r="G712" i="4"/>
  <c r="H712" i="4"/>
  <c r="I712" i="4"/>
  <c r="J712" i="4"/>
  <c r="K712" i="4"/>
  <c r="B713" i="4"/>
  <c r="C713" i="4"/>
  <c r="D713" i="4"/>
  <c r="E713" i="4"/>
  <c r="F713" i="4"/>
  <c r="G713" i="4"/>
  <c r="H713" i="4"/>
  <c r="I713" i="4"/>
  <c r="J713" i="4"/>
  <c r="K713" i="4"/>
  <c r="B714" i="4"/>
  <c r="C714" i="4"/>
  <c r="D714" i="4"/>
  <c r="E714" i="4"/>
  <c r="F714" i="4"/>
  <c r="G714" i="4"/>
  <c r="H714" i="4"/>
  <c r="I714" i="4"/>
  <c r="J714" i="4"/>
  <c r="K714" i="4"/>
  <c r="B715" i="4"/>
  <c r="C715" i="4"/>
  <c r="D715" i="4"/>
  <c r="E715" i="4"/>
  <c r="F715" i="4"/>
  <c r="G715" i="4"/>
  <c r="H715" i="4"/>
  <c r="I715" i="4"/>
  <c r="J715" i="4"/>
  <c r="K715" i="4"/>
  <c r="B716" i="4"/>
  <c r="C716" i="4"/>
  <c r="D716" i="4"/>
  <c r="E716" i="4"/>
  <c r="F716" i="4"/>
  <c r="G716" i="4"/>
  <c r="H716" i="4"/>
  <c r="I716" i="4"/>
  <c r="J716" i="4"/>
  <c r="K716" i="4"/>
  <c r="B717" i="4"/>
  <c r="C717" i="4"/>
  <c r="D717" i="4"/>
  <c r="E717" i="4"/>
  <c r="F717" i="4"/>
  <c r="G717" i="4"/>
  <c r="H717" i="4"/>
  <c r="I717" i="4"/>
  <c r="J717" i="4"/>
  <c r="K717" i="4"/>
  <c r="B718" i="4"/>
  <c r="C718" i="4"/>
  <c r="D718" i="4"/>
  <c r="E718" i="4"/>
  <c r="F718" i="4"/>
  <c r="G718" i="4"/>
  <c r="H718" i="4"/>
  <c r="I718" i="4"/>
  <c r="J718" i="4"/>
  <c r="K718" i="4"/>
  <c r="B719" i="4"/>
  <c r="C719" i="4"/>
  <c r="D719" i="4"/>
  <c r="E719" i="4"/>
  <c r="F719" i="4"/>
  <c r="G719" i="4"/>
  <c r="H719" i="4"/>
  <c r="I719" i="4"/>
  <c r="J719" i="4"/>
  <c r="K719" i="4"/>
  <c r="B720" i="4"/>
  <c r="C720" i="4"/>
  <c r="D720" i="4"/>
  <c r="E720" i="4"/>
  <c r="F720" i="4"/>
  <c r="G720" i="4"/>
  <c r="H720" i="4"/>
  <c r="I720" i="4"/>
  <c r="J720" i="4"/>
  <c r="K720" i="4"/>
  <c r="B721" i="4"/>
  <c r="C721" i="4"/>
  <c r="D721" i="4"/>
  <c r="E721" i="4"/>
  <c r="F721" i="4"/>
  <c r="G721" i="4"/>
  <c r="H721" i="4"/>
  <c r="I721" i="4"/>
  <c r="J721" i="4"/>
  <c r="K721" i="4"/>
  <c r="B722" i="4"/>
  <c r="C722" i="4"/>
  <c r="D722" i="4"/>
  <c r="E722" i="4"/>
  <c r="F722" i="4"/>
  <c r="G722" i="4"/>
  <c r="H722" i="4"/>
  <c r="I722" i="4"/>
  <c r="J722" i="4"/>
  <c r="K722" i="4"/>
  <c r="B723" i="4"/>
  <c r="C723" i="4"/>
  <c r="D723" i="4"/>
  <c r="E723" i="4"/>
  <c r="F723" i="4"/>
  <c r="G723" i="4"/>
  <c r="H723" i="4"/>
  <c r="I723" i="4"/>
  <c r="J723" i="4"/>
  <c r="K723" i="4"/>
  <c r="B724" i="4"/>
  <c r="C724" i="4"/>
  <c r="D724" i="4"/>
  <c r="E724" i="4"/>
  <c r="F724" i="4"/>
  <c r="G724" i="4"/>
  <c r="H724" i="4"/>
  <c r="I724" i="4"/>
  <c r="J724" i="4"/>
  <c r="K724" i="4"/>
  <c r="B725" i="4"/>
  <c r="C725" i="4"/>
  <c r="D725" i="4"/>
  <c r="E725" i="4"/>
  <c r="F725" i="4"/>
  <c r="G725" i="4"/>
  <c r="H725" i="4"/>
  <c r="I725" i="4"/>
  <c r="J725" i="4"/>
  <c r="K725" i="4"/>
  <c r="B726" i="4"/>
  <c r="C726" i="4"/>
  <c r="D726" i="4"/>
  <c r="E726" i="4"/>
  <c r="F726" i="4"/>
  <c r="G726" i="4"/>
  <c r="H726" i="4"/>
  <c r="I726" i="4"/>
  <c r="J726" i="4"/>
  <c r="K726" i="4"/>
  <c r="B727" i="4"/>
  <c r="C727" i="4"/>
  <c r="D727" i="4"/>
  <c r="E727" i="4"/>
  <c r="F727" i="4"/>
  <c r="G727" i="4"/>
  <c r="H727" i="4"/>
  <c r="I727" i="4"/>
  <c r="J727" i="4"/>
  <c r="K727" i="4"/>
  <c r="B728" i="4"/>
  <c r="C728" i="4"/>
  <c r="D728" i="4"/>
  <c r="E728" i="4"/>
  <c r="F728" i="4"/>
  <c r="G728" i="4"/>
  <c r="H728" i="4"/>
  <c r="I728" i="4"/>
  <c r="J728" i="4"/>
  <c r="K728" i="4"/>
  <c r="B729" i="4"/>
  <c r="C729" i="4"/>
  <c r="D729" i="4"/>
  <c r="E729" i="4"/>
  <c r="F729" i="4"/>
  <c r="G729" i="4"/>
  <c r="H729" i="4"/>
  <c r="I729" i="4"/>
  <c r="J729" i="4"/>
  <c r="K729" i="4"/>
  <c r="B730" i="4"/>
  <c r="C730" i="4"/>
  <c r="D730" i="4"/>
  <c r="E730" i="4"/>
  <c r="F730" i="4"/>
  <c r="G730" i="4"/>
  <c r="H730" i="4"/>
  <c r="I730" i="4"/>
  <c r="J730" i="4"/>
  <c r="K730" i="4"/>
  <c r="B731" i="4"/>
  <c r="C731" i="4"/>
  <c r="D731" i="4"/>
  <c r="E731" i="4"/>
  <c r="F731" i="4"/>
  <c r="G731" i="4"/>
  <c r="H731" i="4"/>
  <c r="I731" i="4"/>
  <c r="J731" i="4"/>
  <c r="K731" i="4"/>
  <c r="B732" i="4"/>
  <c r="C732" i="4"/>
  <c r="D732" i="4"/>
  <c r="E732" i="4"/>
  <c r="F732" i="4"/>
  <c r="G732" i="4"/>
  <c r="H732" i="4"/>
  <c r="I732" i="4"/>
  <c r="J732" i="4"/>
  <c r="K732" i="4"/>
  <c r="B733" i="4"/>
  <c r="C733" i="4"/>
  <c r="D733" i="4"/>
  <c r="E733" i="4"/>
  <c r="F733" i="4"/>
  <c r="G733" i="4"/>
  <c r="H733" i="4"/>
  <c r="I733" i="4"/>
  <c r="J733" i="4"/>
  <c r="K733" i="4"/>
  <c r="B734" i="4"/>
  <c r="C734" i="4"/>
  <c r="D734" i="4"/>
  <c r="E734" i="4"/>
  <c r="F734" i="4"/>
  <c r="G734" i="4"/>
  <c r="H734" i="4"/>
  <c r="I734" i="4"/>
  <c r="J734" i="4"/>
  <c r="K734" i="4"/>
  <c r="B735" i="4"/>
  <c r="C735" i="4"/>
  <c r="D735" i="4"/>
  <c r="E735" i="4"/>
  <c r="F735" i="4"/>
  <c r="G735" i="4"/>
  <c r="H735" i="4"/>
  <c r="I735" i="4"/>
  <c r="J735" i="4"/>
  <c r="K735" i="4"/>
  <c r="B736" i="4"/>
  <c r="C736" i="4"/>
  <c r="D736" i="4"/>
  <c r="E736" i="4"/>
  <c r="F736" i="4"/>
  <c r="G736" i="4"/>
  <c r="H736" i="4"/>
  <c r="I736" i="4"/>
  <c r="J736" i="4"/>
  <c r="K736" i="4"/>
  <c r="B737" i="4"/>
  <c r="C737" i="4"/>
  <c r="D737" i="4"/>
  <c r="E737" i="4"/>
  <c r="F737" i="4"/>
  <c r="G737" i="4"/>
  <c r="H737" i="4"/>
  <c r="I737" i="4"/>
  <c r="J737" i="4"/>
  <c r="K737" i="4"/>
  <c r="B738" i="4"/>
  <c r="C738" i="4"/>
  <c r="D738" i="4"/>
  <c r="E738" i="4"/>
  <c r="F738" i="4"/>
  <c r="G738" i="4"/>
  <c r="H738" i="4"/>
  <c r="I738" i="4"/>
  <c r="J738" i="4"/>
  <c r="K738" i="4"/>
  <c r="B739" i="4"/>
  <c r="C739" i="4"/>
  <c r="D739" i="4"/>
  <c r="E739" i="4"/>
  <c r="F739" i="4"/>
  <c r="G739" i="4"/>
  <c r="H739" i="4"/>
  <c r="I739" i="4"/>
  <c r="J739" i="4"/>
  <c r="K739" i="4"/>
  <c r="B740" i="4"/>
  <c r="C740" i="4"/>
  <c r="D740" i="4"/>
  <c r="E740" i="4"/>
  <c r="F740" i="4"/>
  <c r="G740" i="4"/>
  <c r="H740" i="4"/>
  <c r="I740" i="4"/>
  <c r="J740" i="4"/>
  <c r="K740" i="4"/>
  <c r="B741" i="4"/>
  <c r="C741" i="4"/>
  <c r="D741" i="4"/>
  <c r="E741" i="4"/>
  <c r="F741" i="4"/>
  <c r="G741" i="4"/>
  <c r="H741" i="4"/>
  <c r="I741" i="4"/>
  <c r="J741" i="4"/>
  <c r="K741" i="4"/>
  <c r="B742" i="4"/>
  <c r="C742" i="4"/>
  <c r="D742" i="4"/>
  <c r="E742" i="4"/>
  <c r="F742" i="4"/>
  <c r="G742" i="4"/>
  <c r="H742" i="4"/>
  <c r="I742" i="4"/>
  <c r="J742" i="4"/>
  <c r="K742" i="4"/>
  <c r="B743" i="4"/>
  <c r="C743" i="4"/>
  <c r="D743" i="4"/>
  <c r="E743" i="4"/>
  <c r="F743" i="4"/>
  <c r="G743" i="4"/>
  <c r="H743" i="4"/>
  <c r="I743" i="4"/>
  <c r="J743" i="4"/>
  <c r="K743" i="4"/>
  <c r="B744" i="4"/>
  <c r="C744" i="4"/>
  <c r="D744" i="4"/>
  <c r="E744" i="4"/>
  <c r="F744" i="4"/>
  <c r="G744" i="4"/>
  <c r="H744" i="4"/>
  <c r="I744" i="4"/>
  <c r="J744" i="4"/>
  <c r="K744" i="4"/>
  <c r="B745" i="4"/>
  <c r="C745" i="4"/>
  <c r="D745" i="4"/>
  <c r="E745" i="4"/>
  <c r="F745" i="4"/>
  <c r="G745" i="4"/>
  <c r="H745" i="4"/>
  <c r="I745" i="4"/>
  <c r="J745" i="4"/>
  <c r="K745" i="4"/>
  <c r="B746" i="4"/>
  <c r="C746" i="4"/>
  <c r="D746" i="4"/>
  <c r="E746" i="4"/>
  <c r="F746" i="4"/>
  <c r="G746" i="4"/>
  <c r="H746" i="4"/>
  <c r="I746" i="4"/>
  <c r="J746" i="4"/>
  <c r="K746" i="4"/>
  <c r="B747" i="4"/>
  <c r="C747" i="4"/>
  <c r="D747" i="4"/>
  <c r="E747" i="4"/>
  <c r="F747" i="4"/>
  <c r="G747" i="4"/>
  <c r="H747" i="4"/>
  <c r="I747" i="4"/>
  <c r="J747" i="4"/>
  <c r="K747" i="4"/>
  <c r="B748" i="4"/>
  <c r="C748" i="4"/>
  <c r="D748" i="4"/>
  <c r="E748" i="4"/>
  <c r="F748" i="4"/>
  <c r="G748" i="4"/>
  <c r="H748" i="4"/>
  <c r="I748" i="4"/>
  <c r="J748" i="4"/>
  <c r="K748" i="4"/>
  <c r="B749" i="4"/>
  <c r="C749" i="4"/>
  <c r="D749" i="4"/>
  <c r="E749" i="4"/>
  <c r="F749" i="4"/>
  <c r="G749" i="4"/>
  <c r="H749" i="4"/>
  <c r="I749" i="4"/>
  <c r="J749" i="4"/>
  <c r="K749" i="4"/>
  <c r="B750" i="4"/>
  <c r="C750" i="4"/>
  <c r="D750" i="4"/>
  <c r="E750" i="4"/>
  <c r="F750" i="4"/>
  <c r="G750" i="4"/>
  <c r="H750" i="4"/>
  <c r="I750" i="4"/>
  <c r="J750" i="4"/>
  <c r="K750" i="4"/>
  <c r="B751" i="4"/>
  <c r="C751" i="4"/>
  <c r="D751" i="4"/>
  <c r="E751" i="4"/>
  <c r="F751" i="4"/>
  <c r="G751" i="4"/>
  <c r="H751" i="4"/>
  <c r="I751" i="4"/>
  <c r="J751" i="4"/>
  <c r="K751" i="4"/>
  <c r="B752" i="4"/>
  <c r="C752" i="4"/>
  <c r="D752" i="4"/>
  <c r="E752" i="4"/>
  <c r="F752" i="4"/>
  <c r="G752" i="4"/>
  <c r="H752" i="4"/>
  <c r="I752" i="4"/>
  <c r="J752" i="4"/>
  <c r="K752" i="4"/>
  <c r="B753" i="4"/>
  <c r="C753" i="4"/>
  <c r="D753" i="4"/>
  <c r="E753" i="4"/>
  <c r="F753" i="4"/>
  <c r="G753" i="4"/>
  <c r="H753" i="4"/>
  <c r="I753" i="4"/>
  <c r="J753" i="4"/>
  <c r="K753" i="4"/>
  <c r="B754" i="4"/>
  <c r="C754" i="4"/>
  <c r="D754" i="4"/>
  <c r="E754" i="4"/>
  <c r="F754" i="4"/>
  <c r="G754" i="4"/>
  <c r="H754" i="4"/>
  <c r="I754" i="4"/>
  <c r="J754" i="4"/>
  <c r="K754" i="4"/>
  <c r="B755" i="4"/>
  <c r="C755" i="4"/>
  <c r="D755" i="4"/>
  <c r="E755" i="4"/>
  <c r="F755" i="4"/>
  <c r="G755" i="4"/>
  <c r="H755" i="4"/>
  <c r="I755" i="4"/>
  <c r="J755" i="4"/>
  <c r="K755" i="4"/>
  <c r="B756" i="4"/>
  <c r="C756" i="4"/>
  <c r="D756" i="4"/>
  <c r="E756" i="4"/>
  <c r="F756" i="4"/>
  <c r="G756" i="4"/>
  <c r="H756" i="4"/>
  <c r="I756" i="4"/>
  <c r="J756" i="4"/>
  <c r="K756" i="4"/>
  <c r="B757" i="4"/>
  <c r="C757" i="4"/>
  <c r="D757" i="4"/>
  <c r="E757" i="4"/>
  <c r="F757" i="4"/>
  <c r="G757" i="4"/>
  <c r="H757" i="4"/>
  <c r="I757" i="4"/>
  <c r="J757" i="4"/>
  <c r="K757" i="4"/>
  <c r="B758" i="4"/>
  <c r="C758" i="4"/>
  <c r="D758" i="4"/>
  <c r="E758" i="4"/>
  <c r="F758" i="4"/>
  <c r="G758" i="4"/>
  <c r="H758" i="4"/>
  <c r="I758" i="4"/>
  <c r="J758" i="4"/>
  <c r="K758" i="4"/>
  <c r="B759" i="4"/>
  <c r="C759" i="4"/>
  <c r="D759" i="4"/>
  <c r="E759" i="4"/>
  <c r="F759" i="4"/>
  <c r="G759" i="4"/>
  <c r="H759" i="4"/>
  <c r="I759" i="4"/>
  <c r="J759" i="4"/>
  <c r="K759" i="4"/>
  <c r="B760" i="4"/>
  <c r="C760" i="4"/>
  <c r="D760" i="4"/>
  <c r="E760" i="4"/>
  <c r="F760" i="4"/>
  <c r="G760" i="4"/>
  <c r="H760" i="4"/>
  <c r="I760" i="4"/>
  <c r="J760" i="4"/>
  <c r="K760" i="4"/>
  <c r="B761" i="4"/>
  <c r="C761" i="4"/>
  <c r="D761" i="4"/>
  <c r="E761" i="4"/>
  <c r="F761" i="4"/>
  <c r="G761" i="4"/>
  <c r="H761" i="4"/>
  <c r="I761" i="4"/>
  <c r="J761" i="4"/>
  <c r="K761" i="4"/>
  <c r="B762" i="4"/>
  <c r="C762" i="4"/>
  <c r="D762" i="4"/>
  <c r="E762" i="4"/>
  <c r="F762" i="4"/>
  <c r="G762" i="4"/>
  <c r="H762" i="4"/>
  <c r="I762" i="4"/>
  <c r="J762" i="4"/>
  <c r="K762" i="4"/>
  <c r="B763" i="4"/>
  <c r="C763" i="4"/>
  <c r="D763" i="4"/>
  <c r="E763" i="4"/>
  <c r="F763" i="4"/>
  <c r="G763" i="4"/>
  <c r="H763" i="4"/>
  <c r="I763" i="4"/>
  <c r="J763" i="4"/>
  <c r="K763" i="4"/>
  <c r="B764" i="4"/>
  <c r="C764" i="4"/>
  <c r="D764" i="4"/>
  <c r="E764" i="4"/>
  <c r="F764" i="4"/>
  <c r="G764" i="4"/>
  <c r="H764" i="4"/>
  <c r="I764" i="4"/>
  <c r="J764" i="4"/>
  <c r="K764" i="4"/>
  <c r="B765" i="4"/>
  <c r="C765" i="4"/>
  <c r="D765" i="4"/>
  <c r="E765" i="4"/>
  <c r="F765" i="4"/>
  <c r="G765" i="4"/>
  <c r="H765" i="4"/>
  <c r="I765" i="4"/>
  <c r="J765" i="4"/>
  <c r="K765" i="4"/>
  <c r="B766" i="4"/>
  <c r="C766" i="4"/>
  <c r="D766" i="4"/>
  <c r="E766" i="4"/>
  <c r="F766" i="4"/>
  <c r="G766" i="4"/>
  <c r="H766" i="4"/>
  <c r="I766" i="4"/>
  <c r="J766" i="4"/>
  <c r="K766" i="4"/>
  <c r="B767" i="4"/>
  <c r="C767" i="4"/>
  <c r="D767" i="4"/>
  <c r="E767" i="4"/>
  <c r="F767" i="4"/>
  <c r="G767" i="4"/>
  <c r="H767" i="4"/>
  <c r="I767" i="4"/>
  <c r="J767" i="4"/>
  <c r="K767" i="4"/>
  <c r="B768" i="4"/>
  <c r="C768" i="4"/>
  <c r="D768" i="4"/>
  <c r="E768" i="4"/>
  <c r="F768" i="4"/>
  <c r="G768" i="4"/>
  <c r="H768" i="4"/>
  <c r="I768" i="4"/>
  <c r="J768" i="4"/>
  <c r="K768" i="4"/>
  <c r="B769" i="4"/>
  <c r="C769" i="4"/>
  <c r="D769" i="4"/>
  <c r="E769" i="4"/>
  <c r="F769" i="4"/>
  <c r="G769" i="4"/>
  <c r="H769" i="4"/>
  <c r="I769" i="4"/>
  <c r="J769" i="4"/>
  <c r="K769" i="4"/>
  <c r="B770" i="4"/>
  <c r="C770" i="4"/>
  <c r="D770" i="4"/>
  <c r="E770" i="4"/>
  <c r="F770" i="4"/>
  <c r="G770" i="4"/>
  <c r="H770" i="4"/>
  <c r="I770" i="4"/>
  <c r="J770" i="4"/>
  <c r="K770" i="4"/>
  <c r="B771" i="4"/>
  <c r="C771" i="4"/>
  <c r="D771" i="4"/>
  <c r="E771" i="4"/>
  <c r="F771" i="4"/>
  <c r="G771" i="4"/>
  <c r="H771" i="4"/>
  <c r="I771" i="4"/>
  <c r="J771" i="4"/>
  <c r="K771" i="4"/>
  <c r="B772" i="4"/>
  <c r="C772" i="4"/>
  <c r="D772" i="4"/>
  <c r="E772" i="4"/>
  <c r="F772" i="4"/>
  <c r="G772" i="4"/>
  <c r="H772" i="4"/>
  <c r="I772" i="4"/>
  <c r="J772" i="4"/>
  <c r="K772" i="4"/>
  <c r="B773" i="4"/>
  <c r="C773" i="4"/>
  <c r="D773" i="4"/>
  <c r="E773" i="4"/>
  <c r="F773" i="4"/>
  <c r="G773" i="4"/>
  <c r="H773" i="4"/>
  <c r="I773" i="4"/>
  <c r="J773" i="4"/>
  <c r="K773" i="4"/>
  <c r="B774" i="4"/>
  <c r="C774" i="4"/>
  <c r="D774" i="4"/>
  <c r="E774" i="4"/>
  <c r="F774" i="4"/>
  <c r="G774" i="4"/>
  <c r="H774" i="4"/>
  <c r="I774" i="4"/>
  <c r="J774" i="4"/>
  <c r="K774" i="4"/>
  <c r="B775" i="4"/>
  <c r="C775" i="4"/>
  <c r="D775" i="4"/>
  <c r="E775" i="4"/>
  <c r="F775" i="4"/>
  <c r="G775" i="4"/>
  <c r="H775" i="4"/>
  <c r="I775" i="4"/>
  <c r="J775" i="4"/>
  <c r="K775" i="4"/>
  <c r="B776" i="4"/>
  <c r="C776" i="4"/>
  <c r="D776" i="4"/>
  <c r="E776" i="4"/>
  <c r="F776" i="4"/>
  <c r="G776" i="4"/>
  <c r="H776" i="4"/>
  <c r="I776" i="4"/>
  <c r="J776" i="4"/>
  <c r="K776" i="4"/>
  <c r="B777" i="4"/>
  <c r="C777" i="4"/>
  <c r="D777" i="4"/>
  <c r="E777" i="4"/>
  <c r="F777" i="4"/>
  <c r="G777" i="4"/>
  <c r="H777" i="4"/>
  <c r="I777" i="4"/>
  <c r="J777" i="4"/>
  <c r="K777" i="4"/>
  <c r="B778" i="4"/>
  <c r="C778" i="4"/>
  <c r="D778" i="4"/>
  <c r="E778" i="4"/>
  <c r="F778" i="4"/>
  <c r="G778" i="4"/>
  <c r="H778" i="4"/>
  <c r="I778" i="4"/>
  <c r="J778" i="4"/>
  <c r="K778" i="4"/>
  <c r="B779" i="4"/>
  <c r="C779" i="4"/>
  <c r="D779" i="4"/>
  <c r="E779" i="4"/>
  <c r="F779" i="4"/>
  <c r="G779" i="4"/>
  <c r="H779" i="4"/>
  <c r="I779" i="4"/>
  <c r="J779" i="4"/>
  <c r="K779" i="4"/>
  <c r="B780" i="4"/>
  <c r="C780" i="4"/>
  <c r="D780" i="4"/>
  <c r="E780" i="4"/>
  <c r="F780" i="4"/>
  <c r="G780" i="4"/>
  <c r="H780" i="4"/>
  <c r="I780" i="4"/>
  <c r="J780" i="4"/>
  <c r="K780" i="4"/>
  <c r="B781" i="4"/>
  <c r="C781" i="4"/>
  <c r="D781" i="4"/>
  <c r="E781" i="4"/>
  <c r="F781" i="4"/>
  <c r="G781" i="4"/>
  <c r="H781" i="4"/>
  <c r="I781" i="4"/>
  <c r="J781" i="4"/>
  <c r="K781" i="4"/>
  <c r="B782" i="4"/>
  <c r="C782" i="4"/>
  <c r="D782" i="4"/>
  <c r="E782" i="4"/>
  <c r="F782" i="4"/>
  <c r="G782" i="4"/>
  <c r="H782" i="4"/>
  <c r="I782" i="4"/>
  <c r="J782" i="4"/>
  <c r="K782" i="4"/>
  <c r="B783" i="4"/>
  <c r="C783" i="4"/>
  <c r="D783" i="4"/>
  <c r="E783" i="4"/>
  <c r="F783" i="4"/>
  <c r="G783" i="4"/>
  <c r="H783" i="4"/>
  <c r="I783" i="4"/>
  <c r="J783" i="4"/>
  <c r="K783" i="4"/>
  <c r="B784" i="4"/>
  <c r="C784" i="4"/>
  <c r="D784" i="4"/>
  <c r="E784" i="4"/>
  <c r="F784" i="4"/>
  <c r="G784" i="4"/>
  <c r="H784" i="4"/>
  <c r="I784" i="4"/>
  <c r="J784" i="4"/>
  <c r="K784" i="4"/>
  <c r="B785" i="4"/>
  <c r="C785" i="4"/>
  <c r="D785" i="4"/>
  <c r="E785" i="4"/>
  <c r="F785" i="4"/>
  <c r="G785" i="4"/>
  <c r="H785" i="4"/>
  <c r="I785" i="4"/>
  <c r="J785" i="4"/>
  <c r="K785" i="4"/>
  <c r="B786" i="4"/>
  <c r="C786" i="4"/>
  <c r="D786" i="4"/>
  <c r="E786" i="4"/>
  <c r="F786" i="4"/>
  <c r="G786" i="4"/>
  <c r="H786" i="4"/>
  <c r="I786" i="4"/>
  <c r="J786" i="4"/>
  <c r="K786" i="4"/>
  <c r="B787" i="4"/>
  <c r="C787" i="4"/>
  <c r="D787" i="4"/>
  <c r="E787" i="4"/>
  <c r="F787" i="4"/>
  <c r="G787" i="4"/>
  <c r="H787" i="4"/>
  <c r="I787" i="4"/>
  <c r="J787" i="4"/>
  <c r="K787" i="4"/>
  <c r="B788" i="4"/>
  <c r="C788" i="4"/>
  <c r="D788" i="4"/>
  <c r="E788" i="4"/>
  <c r="F788" i="4"/>
  <c r="G788" i="4"/>
  <c r="H788" i="4"/>
  <c r="I788" i="4"/>
  <c r="J788" i="4"/>
  <c r="K788" i="4"/>
  <c r="B789" i="4"/>
  <c r="C789" i="4"/>
  <c r="D789" i="4"/>
  <c r="E789" i="4"/>
  <c r="F789" i="4"/>
  <c r="G789" i="4"/>
  <c r="H789" i="4"/>
  <c r="I789" i="4"/>
  <c r="J789" i="4"/>
  <c r="K789" i="4"/>
  <c r="B790" i="4"/>
  <c r="C790" i="4"/>
  <c r="D790" i="4"/>
  <c r="E790" i="4"/>
  <c r="F790" i="4"/>
  <c r="G790" i="4"/>
  <c r="H790" i="4"/>
  <c r="I790" i="4"/>
  <c r="J790" i="4"/>
  <c r="K790" i="4"/>
  <c r="B791" i="4"/>
  <c r="C791" i="4"/>
  <c r="D791" i="4"/>
  <c r="E791" i="4"/>
  <c r="F791" i="4"/>
  <c r="G791" i="4"/>
  <c r="H791" i="4"/>
  <c r="I791" i="4"/>
  <c r="J791" i="4"/>
  <c r="K791" i="4"/>
  <c r="B792" i="4"/>
  <c r="C792" i="4"/>
  <c r="D792" i="4"/>
  <c r="E792" i="4"/>
  <c r="F792" i="4"/>
  <c r="G792" i="4"/>
  <c r="H792" i="4"/>
  <c r="I792" i="4"/>
  <c r="J792" i="4"/>
  <c r="K792" i="4"/>
  <c r="B793" i="4"/>
  <c r="C793" i="4"/>
  <c r="D793" i="4"/>
  <c r="E793" i="4"/>
  <c r="F793" i="4"/>
  <c r="G793" i="4"/>
  <c r="H793" i="4"/>
  <c r="I793" i="4"/>
  <c r="J793" i="4"/>
  <c r="K793" i="4"/>
  <c r="B794" i="4"/>
  <c r="C794" i="4"/>
  <c r="D794" i="4"/>
  <c r="E794" i="4"/>
  <c r="F794" i="4"/>
  <c r="G794" i="4"/>
  <c r="H794" i="4"/>
  <c r="I794" i="4"/>
  <c r="J794" i="4"/>
  <c r="K794" i="4"/>
  <c r="B795" i="4"/>
  <c r="C795" i="4"/>
  <c r="D795" i="4"/>
  <c r="E795" i="4"/>
  <c r="F795" i="4"/>
  <c r="G795" i="4"/>
  <c r="H795" i="4"/>
  <c r="I795" i="4"/>
  <c r="J795" i="4"/>
  <c r="K795" i="4"/>
  <c r="B796" i="4"/>
  <c r="C796" i="4"/>
  <c r="D796" i="4"/>
  <c r="E796" i="4"/>
  <c r="F796" i="4"/>
  <c r="G796" i="4"/>
  <c r="H796" i="4"/>
  <c r="I796" i="4"/>
  <c r="J796" i="4"/>
  <c r="K796" i="4"/>
  <c r="B797" i="4"/>
  <c r="C797" i="4"/>
  <c r="D797" i="4"/>
  <c r="E797" i="4"/>
  <c r="F797" i="4"/>
  <c r="G797" i="4"/>
  <c r="H797" i="4"/>
  <c r="I797" i="4"/>
  <c r="J797" i="4"/>
  <c r="K797" i="4"/>
  <c r="B798" i="4"/>
  <c r="C798" i="4"/>
  <c r="D798" i="4"/>
  <c r="E798" i="4"/>
  <c r="F798" i="4"/>
  <c r="G798" i="4"/>
  <c r="H798" i="4"/>
  <c r="I798" i="4"/>
  <c r="J798" i="4"/>
  <c r="K798" i="4"/>
  <c r="B799" i="4"/>
  <c r="C799" i="4"/>
  <c r="D799" i="4"/>
  <c r="E799" i="4"/>
  <c r="F799" i="4"/>
  <c r="G799" i="4"/>
  <c r="H799" i="4"/>
  <c r="I799" i="4"/>
  <c r="J799" i="4"/>
  <c r="K799" i="4"/>
  <c r="B800" i="4"/>
  <c r="C800" i="4"/>
  <c r="D800" i="4"/>
  <c r="E800" i="4"/>
  <c r="F800" i="4"/>
  <c r="G800" i="4"/>
  <c r="H800" i="4"/>
  <c r="I800" i="4"/>
  <c r="J800" i="4"/>
  <c r="K800" i="4"/>
  <c r="B801" i="4"/>
  <c r="C801" i="4"/>
  <c r="D801" i="4"/>
  <c r="E801" i="4"/>
  <c r="F801" i="4"/>
  <c r="G801" i="4"/>
  <c r="H801" i="4"/>
  <c r="I801" i="4"/>
  <c r="J801" i="4"/>
  <c r="K801" i="4"/>
  <c r="B802" i="4"/>
  <c r="C802" i="4"/>
  <c r="D802" i="4"/>
  <c r="E802" i="4"/>
  <c r="F802" i="4"/>
  <c r="G802" i="4"/>
  <c r="H802" i="4"/>
  <c r="I802" i="4"/>
  <c r="J802" i="4"/>
  <c r="K802" i="4"/>
  <c r="B803" i="4"/>
  <c r="C803" i="4"/>
  <c r="D803" i="4"/>
  <c r="E803" i="4"/>
  <c r="F803" i="4"/>
  <c r="G803" i="4"/>
  <c r="H803" i="4"/>
  <c r="I803" i="4"/>
  <c r="J803" i="4"/>
  <c r="K803" i="4"/>
  <c r="B804" i="4"/>
  <c r="C804" i="4"/>
  <c r="D804" i="4"/>
  <c r="E804" i="4"/>
  <c r="F804" i="4"/>
  <c r="G804" i="4"/>
  <c r="H804" i="4"/>
  <c r="I804" i="4"/>
  <c r="J804" i="4"/>
  <c r="K804" i="4"/>
  <c r="B805" i="4"/>
  <c r="C805" i="4"/>
  <c r="D805" i="4"/>
  <c r="E805" i="4"/>
  <c r="F805" i="4"/>
  <c r="G805" i="4"/>
  <c r="H805" i="4"/>
  <c r="I805" i="4"/>
  <c r="J805" i="4"/>
  <c r="K805" i="4"/>
  <c r="B806" i="4"/>
  <c r="C806" i="4"/>
  <c r="D806" i="4"/>
  <c r="E806" i="4"/>
  <c r="F806" i="4"/>
  <c r="G806" i="4"/>
  <c r="H806" i="4"/>
  <c r="I806" i="4"/>
  <c r="J806" i="4"/>
  <c r="K806" i="4"/>
  <c r="B807" i="4"/>
  <c r="C807" i="4"/>
  <c r="D807" i="4"/>
  <c r="E807" i="4"/>
  <c r="F807" i="4"/>
  <c r="G807" i="4"/>
  <c r="H807" i="4"/>
  <c r="I807" i="4"/>
  <c r="J807" i="4"/>
  <c r="K807" i="4"/>
  <c r="B808" i="4"/>
  <c r="C808" i="4"/>
  <c r="D808" i="4"/>
  <c r="E808" i="4"/>
  <c r="F808" i="4"/>
  <c r="G808" i="4"/>
  <c r="H808" i="4"/>
  <c r="I808" i="4"/>
  <c r="J808" i="4"/>
  <c r="K808" i="4"/>
  <c r="B809" i="4"/>
  <c r="C809" i="4"/>
  <c r="D809" i="4"/>
  <c r="E809" i="4"/>
  <c r="F809" i="4"/>
  <c r="G809" i="4"/>
  <c r="H809" i="4"/>
  <c r="I809" i="4"/>
  <c r="J809" i="4"/>
  <c r="K809" i="4"/>
  <c r="B810" i="4"/>
  <c r="C810" i="4"/>
  <c r="D810" i="4"/>
  <c r="E810" i="4"/>
  <c r="F810" i="4"/>
  <c r="G810" i="4"/>
  <c r="H810" i="4"/>
  <c r="I810" i="4"/>
  <c r="J810" i="4"/>
  <c r="K810" i="4"/>
  <c r="B811" i="4"/>
  <c r="C811" i="4"/>
  <c r="D811" i="4"/>
  <c r="E811" i="4"/>
  <c r="F811" i="4"/>
  <c r="G811" i="4"/>
  <c r="H811" i="4"/>
  <c r="I811" i="4"/>
  <c r="J811" i="4"/>
  <c r="K811" i="4"/>
  <c r="B812" i="4"/>
  <c r="C812" i="4"/>
  <c r="D812" i="4"/>
  <c r="E812" i="4"/>
  <c r="F812" i="4"/>
  <c r="G812" i="4"/>
  <c r="H812" i="4"/>
  <c r="I812" i="4"/>
  <c r="J812" i="4"/>
  <c r="K812" i="4"/>
  <c r="B813" i="4"/>
  <c r="C813" i="4"/>
  <c r="D813" i="4"/>
  <c r="E813" i="4"/>
  <c r="F813" i="4"/>
  <c r="G813" i="4"/>
  <c r="H813" i="4"/>
  <c r="I813" i="4"/>
  <c r="J813" i="4"/>
  <c r="K813" i="4"/>
  <c r="B814" i="4"/>
  <c r="C814" i="4"/>
  <c r="D814" i="4"/>
  <c r="E814" i="4"/>
  <c r="F814" i="4"/>
  <c r="G814" i="4"/>
  <c r="H814" i="4"/>
  <c r="I814" i="4"/>
  <c r="J814" i="4"/>
  <c r="K814" i="4"/>
  <c r="B815" i="4"/>
  <c r="C815" i="4"/>
  <c r="D815" i="4"/>
  <c r="E815" i="4"/>
  <c r="F815" i="4"/>
  <c r="G815" i="4"/>
  <c r="H815" i="4"/>
  <c r="I815" i="4"/>
  <c r="J815" i="4"/>
  <c r="K815" i="4"/>
  <c r="B816" i="4"/>
  <c r="C816" i="4"/>
  <c r="D816" i="4"/>
  <c r="E816" i="4"/>
  <c r="F816" i="4"/>
  <c r="G816" i="4"/>
  <c r="H816" i="4"/>
  <c r="I816" i="4"/>
  <c r="J816" i="4"/>
  <c r="K816" i="4"/>
  <c r="B817" i="4"/>
  <c r="C817" i="4"/>
  <c r="D817" i="4"/>
  <c r="E817" i="4"/>
  <c r="F817" i="4"/>
  <c r="G817" i="4"/>
  <c r="H817" i="4"/>
  <c r="I817" i="4"/>
  <c r="J817" i="4"/>
  <c r="K817" i="4"/>
  <c r="B818" i="4"/>
  <c r="C818" i="4"/>
  <c r="D818" i="4"/>
  <c r="E818" i="4"/>
  <c r="F818" i="4"/>
  <c r="G818" i="4"/>
  <c r="H818" i="4"/>
  <c r="I818" i="4"/>
  <c r="J818" i="4"/>
  <c r="K818" i="4"/>
  <c r="B819" i="4"/>
  <c r="C819" i="4"/>
  <c r="D819" i="4"/>
  <c r="E819" i="4"/>
  <c r="F819" i="4"/>
  <c r="G819" i="4"/>
  <c r="H819" i="4"/>
  <c r="I819" i="4"/>
  <c r="J819" i="4"/>
  <c r="K819" i="4"/>
  <c r="B820" i="4"/>
  <c r="C820" i="4"/>
  <c r="D820" i="4"/>
  <c r="E820" i="4"/>
  <c r="F820" i="4"/>
  <c r="G820" i="4"/>
  <c r="H820" i="4"/>
  <c r="I820" i="4"/>
  <c r="J820" i="4"/>
  <c r="K820" i="4"/>
  <c r="B821" i="4"/>
  <c r="C821" i="4"/>
  <c r="D821" i="4"/>
  <c r="E821" i="4"/>
  <c r="F821" i="4"/>
  <c r="G821" i="4"/>
  <c r="H821" i="4"/>
  <c r="I821" i="4"/>
  <c r="J821" i="4"/>
  <c r="K821" i="4"/>
  <c r="B822" i="4"/>
  <c r="C822" i="4"/>
  <c r="D822" i="4"/>
  <c r="E822" i="4"/>
  <c r="F822" i="4"/>
  <c r="G822" i="4"/>
  <c r="H822" i="4"/>
  <c r="I822" i="4"/>
  <c r="J822" i="4"/>
  <c r="K822" i="4"/>
  <c r="B823" i="4"/>
  <c r="C823" i="4"/>
  <c r="D823" i="4"/>
  <c r="E823" i="4"/>
  <c r="F823" i="4"/>
  <c r="G823" i="4"/>
  <c r="H823" i="4"/>
  <c r="I823" i="4"/>
  <c r="J823" i="4"/>
  <c r="K823" i="4"/>
  <c r="B824" i="4"/>
  <c r="C824" i="4"/>
  <c r="D824" i="4"/>
  <c r="E824" i="4"/>
  <c r="F824" i="4"/>
  <c r="G824" i="4"/>
  <c r="H824" i="4"/>
  <c r="I824" i="4"/>
  <c r="J824" i="4"/>
  <c r="K824" i="4"/>
  <c r="B825" i="4"/>
  <c r="C825" i="4"/>
  <c r="D825" i="4"/>
  <c r="E825" i="4"/>
  <c r="F825" i="4"/>
  <c r="G825" i="4"/>
  <c r="H825" i="4"/>
  <c r="I825" i="4"/>
  <c r="J825" i="4"/>
  <c r="K825" i="4"/>
  <c r="B826" i="4"/>
  <c r="C826" i="4"/>
  <c r="D826" i="4"/>
  <c r="E826" i="4"/>
  <c r="F826" i="4"/>
  <c r="G826" i="4"/>
  <c r="H826" i="4"/>
  <c r="I826" i="4"/>
  <c r="J826" i="4"/>
  <c r="K826" i="4"/>
  <c r="B827" i="4"/>
  <c r="C827" i="4"/>
  <c r="D827" i="4"/>
  <c r="E827" i="4"/>
  <c r="F827" i="4"/>
  <c r="G827" i="4"/>
  <c r="H827" i="4"/>
  <c r="I827" i="4"/>
  <c r="J827" i="4"/>
  <c r="K827" i="4"/>
  <c r="B828" i="4"/>
  <c r="C828" i="4"/>
  <c r="D828" i="4"/>
  <c r="E828" i="4"/>
  <c r="F828" i="4"/>
  <c r="G828" i="4"/>
  <c r="H828" i="4"/>
  <c r="I828" i="4"/>
  <c r="J828" i="4"/>
  <c r="K828" i="4"/>
  <c r="B829" i="4"/>
  <c r="C829" i="4"/>
  <c r="D829" i="4"/>
  <c r="E829" i="4"/>
  <c r="F829" i="4"/>
  <c r="G829" i="4"/>
  <c r="H829" i="4"/>
  <c r="I829" i="4"/>
  <c r="J829" i="4"/>
  <c r="K829" i="4"/>
  <c r="B830" i="4"/>
  <c r="C830" i="4"/>
  <c r="D830" i="4"/>
  <c r="E830" i="4"/>
  <c r="F830" i="4"/>
  <c r="G830" i="4"/>
  <c r="H830" i="4"/>
  <c r="I830" i="4"/>
  <c r="J830" i="4"/>
  <c r="K830" i="4"/>
  <c r="B831" i="4"/>
  <c r="C831" i="4"/>
  <c r="D831" i="4"/>
  <c r="E831" i="4"/>
  <c r="F831" i="4"/>
  <c r="G831" i="4"/>
  <c r="H831" i="4"/>
  <c r="I831" i="4"/>
  <c r="J831" i="4"/>
  <c r="K831" i="4"/>
  <c r="B832" i="4"/>
  <c r="C832" i="4"/>
  <c r="D832" i="4"/>
  <c r="E832" i="4"/>
  <c r="F832" i="4"/>
  <c r="G832" i="4"/>
  <c r="H832" i="4"/>
  <c r="I832" i="4"/>
  <c r="J832" i="4"/>
  <c r="K832" i="4"/>
  <c r="B833" i="4"/>
  <c r="C833" i="4"/>
  <c r="D833" i="4"/>
  <c r="E833" i="4"/>
  <c r="F833" i="4"/>
  <c r="G833" i="4"/>
  <c r="H833" i="4"/>
  <c r="I833" i="4"/>
  <c r="J833" i="4"/>
  <c r="K833" i="4"/>
  <c r="B834" i="4"/>
  <c r="C834" i="4"/>
  <c r="D834" i="4"/>
  <c r="E834" i="4"/>
  <c r="F834" i="4"/>
  <c r="G834" i="4"/>
  <c r="H834" i="4"/>
  <c r="I834" i="4"/>
  <c r="J834" i="4"/>
  <c r="K834" i="4"/>
  <c r="B835" i="4"/>
  <c r="C835" i="4"/>
  <c r="D835" i="4"/>
  <c r="E835" i="4"/>
  <c r="F835" i="4"/>
  <c r="G835" i="4"/>
  <c r="H835" i="4"/>
  <c r="I835" i="4"/>
  <c r="J835" i="4"/>
  <c r="K835" i="4"/>
  <c r="B836" i="4"/>
  <c r="C836" i="4"/>
  <c r="D836" i="4"/>
  <c r="E836" i="4"/>
  <c r="F836" i="4"/>
  <c r="G836" i="4"/>
  <c r="H836" i="4"/>
  <c r="I836" i="4"/>
  <c r="J836" i="4"/>
  <c r="K836" i="4"/>
  <c r="B837" i="4"/>
  <c r="C837" i="4"/>
  <c r="D837" i="4"/>
  <c r="E837" i="4"/>
  <c r="F837" i="4"/>
  <c r="G837" i="4"/>
  <c r="H837" i="4"/>
  <c r="I837" i="4"/>
  <c r="J837" i="4"/>
  <c r="K837" i="4"/>
  <c r="B838" i="4"/>
  <c r="C838" i="4"/>
  <c r="D838" i="4"/>
  <c r="E838" i="4"/>
  <c r="F838" i="4"/>
  <c r="G838" i="4"/>
  <c r="H838" i="4"/>
  <c r="I838" i="4"/>
  <c r="J838" i="4"/>
  <c r="K838" i="4"/>
  <c r="B839" i="4"/>
  <c r="C839" i="4"/>
  <c r="D839" i="4"/>
  <c r="E839" i="4"/>
  <c r="F839" i="4"/>
  <c r="G839" i="4"/>
  <c r="H839" i="4"/>
  <c r="I839" i="4"/>
  <c r="J839" i="4"/>
  <c r="K839" i="4"/>
  <c r="B840" i="4"/>
  <c r="C840" i="4"/>
  <c r="D840" i="4"/>
  <c r="E840" i="4"/>
  <c r="F840" i="4"/>
  <c r="G840" i="4"/>
  <c r="H840" i="4"/>
  <c r="I840" i="4"/>
  <c r="J840" i="4"/>
  <c r="K840" i="4"/>
  <c r="B841" i="4"/>
  <c r="C841" i="4"/>
  <c r="D841" i="4"/>
  <c r="E841" i="4"/>
  <c r="F841" i="4"/>
  <c r="G841" i="4"/>
  <c r="H841" i="4"/>
  <c r="I841" i="4"/>
  <c r="J841" i="4"/>
  <c r="K841" i="4"/>
  <c r="B842" i="4"/>
  <c r="C842" i="4"/>
  <c r="D842" i="4"/>
  <c r="E842" i="4"/>
  <c r="F842" i="4"/>
  <c r="G842" i="4"/>
  <c r="H842" i="4"/>
  <c r="I842" i="4"/>
  <c r="J842" i="4"/>
  <c r="K842" i="4"/>
  <c r="B843" i="4"/>
  <c r="C843" i="4"/>
  <c r="D843" i="4"/>
  <c r="E843" i="4"/>
  <c r="F843" i="4"/>
  <c r="G843" i="4"/>
  <c r="H843" i="4"/>
  <c r="I843" i="4"/>
  <c r="J843" i="4"/>
  <c r="K843" i="4"/>
  <c r="B844" i="4"/>
  <c r="C844" i="4"/>
  <c r="D844" i="4"/>
  <c r="E844" i="4"/>
  <c r="F844" i="4"/>
  <c r="G844" i="4"/>
  <c r="H844" i="4"/>
  <c r="I844" i="4"/>
  <c r="J844" i="4"/>
  <c r="K844" i="4"/>
  <c r="B845" i="4"/>
  <c r="C845" i="4"/>
  <c r="D845" i="4"/>
  <c r="E845" i="4"/>
  <c r="F845" i="4"/>
  <c r="G845" i="4"/>
  <c r="H845" i="4"/>
  <c r="I845" i="4"/>
  <c r="J845" i="4"/>
  <c r="K845" i="4"/>
  <c r="B846" i="4"/>
  <c r="C846" i="4"/>
  <c r="D846" i="4"/>
  <c r="E846" i="4"/>
  <c r="F846" i="4"/>
  <c r="G846" i="4"/>
  <c r="H846" i="4"/>
  <c r="I846" i="4"/>
  <c r="J846" i="4"/>
  <c r="K846" i="4"/>
  <c r="B847" i="4"/>
  <c r="C847" i="4"/>
  <c r="D847" i="4"/>
  <c r="E847" i="4"/>
  <c r="F847" i="4"/>
  <c r="G847" i="4"/>
  <c r="H847" i="4"/>
  <c r="I847" i="4"/>
  <c r="J847" i="4"/>
  <c r="K847" i="4"/>
  <c r="B848" i="4"/>
  <c r="C848" i="4"/>
  <c r="D848" i="4"/>
  <c r="E848" i="4"/>
  <c r="F848" i="4"/>
  <c r="G848" i="4"/>
  <c r="H848" i="4"/>
  <c r="I848" i="4"/>
  <c r="J848" i="4"/>
  <c r="K848" i="4"/>
  <c r="B849" i="4"/>
  <c r="C849" i="4"/>
  <c r="D849" i="4"/>
  <c r="E849" i="4"/>
  <c r="F849" i="4"/>
  <c r="G849" i="4"/>
  <c r="H849" i="4"/>
  <c r="I849" i="4"/>
  <c r="J849" i="4"/>
  <c r="K849" i="4"/>
  <c r="B850" i="4"/>
  <c r="C850" i="4"/>
  <c r="D850" i="4"/>
  <c r="E850" i="4"/>
  <c r="F850" i="4"/>
  <c r="G850" i="4"/>
  <c r="H850" i="4"/>
  <c r="I850" i="4"/>
  <c r="J850" i="4"/>
  <c r="K850" i="4"/>
  <c r="B851" i="4"/>
  <c r="C851" i="4"/>
  <c r="D851" i="4"/>
  <c r="E851" i="4"/>
  <c r="F851" i="4"/>
  <c r="G851" i="4"/>
  <c r="H851" i="4"/>
  <c r="I851" i="4"/>
  <c r="J851" i="4"/>
  <c r="K851" i="4"/>
  <c r="B852" i="4"/>
  <c r="C852" i="4"/>
  <c r="D852" i="4"/>
  <c r="E852" i="4"/>
  <c r="F852" i="4"/>
  <c r="G852" i="4"/>
  <c r="H852" i="4"/>
  <c r="I852" i="4"/>
  <c r="J852" i="4"/>
  <c r="K852" i="4"/>
  <c r="B853" i="4"/>
  <c r="C853" i="4"/>
  <c r="D853" i="4"/>
  <c r="E853" i="4"/>
  <c r="F853" i="4"/>
  <c r="G853" i="4"/>
  <c r="H853" i="4"/>
  <c r="I853" i="4"/>
  <c r="J853" i="4"/>
  <c r="K853" i="4"/>
  <c r="B854" i="4"/>
  <c r="C854" i="4"/>
  <c r="D854" i="4"/>
  <c r="E854" i="4"/>
  <c r="F854" i="4"/>
  <c r="G854" i="4"/>
  <c r="H854" i="4"/>
  <c r="I854" i="4"/>
  <c r="J854" i="4"/>
  <c r="K854" i="4"/>
  <c r="B855" i="4"/>
  <c r="C855" i="4"/>
  <c r="D855" i="4"/>
  <c r="E855" i="4"/>
  <c r="F855" i="4"/>
  <c r="G855" i="4"/>
  <c r="H855" i="4"/>
  <c r="I855" i="4"/>
  <c r="J855" i="4"/>
  <c r="K855" i="4"/>
  <c r="B856" i="4"/>
  <c r="C856" i="4"/>
  <c r="D856" i="4"/>
  <c r="E856" i="4"/>
  <c r="F856" i="4"/>
  <c r="G856" i="4"/>
  <c r="H856" i="4"/>
  <c r="I856" i="4"/>
  <c r="J856" i="4"/>
  <c r="K856" i="4"/>
  <c r="B857" i="4"/>
  <c r="C857" i="4"/>
  <c r="D857" i="4"/>
  <c r="E857" i="4"/>
  <c r="F857" i="4"/>
  <c r="G857" i="4"/>
  <c r="H857" i="4"/>
  <c r="I857" i="4"/>
  <c r="J857" i="4"/>
  <c r="K857" i="4"/>
  <c r="B858" i="4"/>
  <c r="C858" i="4"/>
  <c r="D858" i="4"/>
  <c r="E858" i="4"/>
  <c r="F858" i="4"/>
  <c r="G858" i="4"/>
  <c r="H858" i="4"/>
  <c r="I858" i="4"/>
  <c r="J858" i="4"/>
  <c r="K858" i="4"/>
  <c r="B859" i="4"/>
  <c r="C859" i="4"/>
  <c r="D859" i="4"/>
  <c r="E859" i="4"/>
  <c r="F859" i="4"/>
  <c r="G859" i="4"/>
  <c r="H859" i="4"/>
  <c r="I859" i="4"/>
  <c r="J859" i="4"/>
  <c r="K859" i="4"/>
  <c r="B860" i="4"/>
  <c r="C860" i="4"/>
  <c r="D860" i="4"/>
  <c r="E860" i="4"/>
  <c r="F860" i="4"/>
  <c r="G860" i="4"/>
  <c r="H860" i="4"/>
  <c r="I860" i="4"/>
  <c r="J860" i="4"/>
  <c r="K860" i="4"/>
  <c r="B861" i="4"/>
  <c r="C861" i="4"/>
  <c r="D861" i="4"/>
  <c r="E861" i="4"/>
  <c r="F861" i="4"/>
  <c r="G861" i="4"/>
  <c r="H861" i="4"/>
  <c r="I861" i="4"/>
  <c r="J861" i="4"/>
  <c r="K861" i="4"/>
  <c r="B862" i="4"/>
  <c r="C862" i="4"/>
  <c r="D862" i="4"/>
  <c r="E862" i="4"/>
  <c r="F862" i="4"/>
  <c r="G862" i="4"/>
  <c r="H862" i="4"/>
  <c r="I862" i="4"/>
  <c r="J862" i="4"/>
  <c r="K862" i="4"/>
  <c r="B863" i="4"/>
  <c r="C863" i="4"/>
  <c r="D863" i="4"/>
  <c r="E863" i="4"/>
  <c r="F863" i="4"/>
  <c r="G863" i="4"/>
  <c r="H863" i="4"/>
  <c r="I863" i="4"/>
  <c r="J863" i="4"/>
  <c r="K863" i="4"/>
  <c r="B864" i="4"/>
  <c r="C864" i="4"/>
  <c r="D864" i="4"/>
  <c r="E864" i="4"/>
  <c r="F864" i="4"/>
  <c r="G864" i="4"/>
  <c r="H864" i="4"/>
  <c r="I864" i="4"/>
  <c r="J864" i="4"/>
  <c r="K864" i="4"/>
  <c r="B865" i="4"/>
  <c r="C865" i="4"/>
  <c r="D865" i="4"/>
  <c r="E865" i="4"/>
  <c r="F865" i="4"/>
  <c r="G865" i="4"/>
  <c r="H865" i="4"/>
  <c r="I865" i="4"/>
  <c r="J865" i="4"/>
  <c r="K865" i="4"/>
  <c r="B866" i="4"/>
  <c r="C866" i="4"/>
  <c r="D866" i="4"/>
  <c r="E866" i="4"/>
  <c r="F866" i="4"/>
  <c r="G866" i="4"/>
  <c r="H866" i="4"/>
  <c r="I866" i="4"/>
  <c r="J866" i="4"/>
  <c r="K866" i="4"/>
  <c r="B867" i="4"/>
  <c r="C867" i="4"/>
  <c r="D867" i="4"/>
  <c r="E867" i="4"/>
  <c r="F867" i="4"/>
  <c r="G867" i="4"/>
  <c r="H867" i="4"/>
  <c r="I867" i="4"/>
  <c r="J867" i="4"/>
  <c r="K867" i="4"/>
  <c r="B868" i="4"/>
  <c r="C868" i="4"/>
  <c r="D868" i="4"/>
  <c r="E868" i="4"/>
  <c r="F868" i="4"/>
  <c r="G868" i="4"/>
  <c r="H868" i="4"/>
  <c r="I868" i="4"/>
  <c r="J868" i="4"/>
  <c r="K868" i="4"/>
  <c r="B869" i="4"/>
  <c r="C869" i="4"/>
  <c r="D869" i="4"/>
  <c r="E869" i="4"/>
  <c r="F869" i="4"/>
  <c r="G869" i="4"/>
  <c r="H869" i="4"/>
  <c r="I869" i="4"/>
  <c r="J869" i="4"/>
  <c r="K869" i="4"/>
  <c r="B870" i="4"/>
  <c r="C870" i="4"/>
  <c r="D870" i="4"/>
  <c r="E870" i="4"/>
  <c r="F870" i="4"/>
  <c r="G870" i="4"/>
  <c r="H870" i="4"/>
  <c r="I870" i="4"/>
  <c r="J870" i="4"/>
  <c r="K870" i="4"/>
  <c r="B871" i="4"/>
  <c r="C871" i="4"/>
  <c r="D871" i="4"/>
  <c r="E871" i="4"/>
  <c r="F871" i="4"/>
  <c r="G871" i="4"/>
  <c r="H871" i="4"/>
  <c r="I871" i="4"/>
  <c r="J871" i="4"/>
  <c r="K871" i="4"/>
  <c r="B872" i="4"/>
  <c r="C872" i="4"/>
  <c r="D872" i="4"/>
  <c r="E872" i="4"/>
  <c r="F872" i="4"/>
  <c r="G872" i="4"/>
  <c r="H872" i="4"/>
  <c r="I872" i="4"/>
  <c r="J872" i="4"/>
  <c r="K872" i="4"/>
  <c r="B873" i="4"/>
  <c r="C873" i="4"/>
  <c r="D873" i="4"/>
  <c r="E873" i="4"/>
  <c r="F873" i="4"/>
  <c r="G873" i="4"/>
  <c r="H873" i="4"/>
  <c r="I873" i="4"/>
  <c r="J873" i="4"/>
  <c r="K873" i="4"/>
  <c r="B874" i="4"/>
  <c r="C874" i="4"/>
  <c r="D874" i="4"/>
  <c r="E874" i="4"/>
  <c r="F874" i="4"/>
  <c r="G874" i="4"/>
  <c r="H874" i="4"/>
  <c r="I874" i="4"/>
  <c r="J874" i="4"/>
  <c r="K874" i="4"/>
  <c r="B875" i="4"/>
  <c r="C875" i="4"/>
  <c r="D875" i="4"/>
  <c r="E875" i="4"/>
  <c r="F875" i="4"/>
  <c r="G875" i="4"/>
  <c r="H875" i="4"/>
  <c r="I875" i="4"/>
  <c r="J875" i="4"/>
  <c r="K875" i="4"/>
  <c r="B876" i="4"/>
  <c r="C876" i="4"/>
  <c r="D876" i="4"/>
  <c r="E876" i="4"/>
  <c r="F876" i="4"/>
  <c r="G876" i="4"/>
  <c r="H876" i="4"/>
  <c r="I876" i="4"/>
  <c r="J876" i="4"/>
  <c r="K876" i="4"/>
  <c r="B877" i="4"/>
  <c r="C877" i="4"/>
  <c r="D877" i="4"/>
  <c r="E877" i="4"/>
  <c r="F877" i="4"/>
  <c r="G877" i="4"/>
  <c r="H877" i="4"/>
  <c r="I877" i="4"/>
  <c r="J877" i="4"/>
  <c r="K877" i="4"/>
  <c r="B878" i="4"/>
  <c r="C878" i="4"/>
  <c r="D878" i="4"/>
  <c r="E878" i="4"/>
  <c r="F878" i="4"/>
  <c r="G878" i="4"/>
  <c r="H878" i="4"/>
  <c r="I878" i="4"/>
  <c r="J878" i="4"/>
  <c r="K878" i="4"/>
  <c r="B879" i="4"/>
  <c r="C879" i="4"/>
  <c r="D879" i="4"/>
  <c r="E879" i="4"/>
  <c r="F879" i="4"/>
  <c r="G879" i="4"/>
  <c r="H879" i="4"/>
  <c r="I879" i="4"/>
  <c r="J879" i="4"/>
  <c r="K879" i="4"/>
  <c r="B880" i="4"/>
  <c r="C880" i="4"/>
  <c r="D880" i="4"/>
  <c r="E880" i="4"/>
  <c r="F880" i="4"/>
  <c r="G880" i="4"/>
  <c r="H880" i="4"/>
  <c r="I880" i="4"/>
  <c r="J880" i="4"/>
  <c r="K880" i="4"/>
  <c r="B881" i="4"/>
  <c r="C881" i="4"/>
  <c r="D881" i="4"/>
  <c r="E881" i="4"/>
  <c r="F881" i="4"/>
  <c r="G881" i="4"/>
  <c r="H881" i="4"/>
  <c r="I881" i="4"/>
  <c r="J881" i="4"/>
  <c r="K881" i="4"/>
  <c r="B882" i="4"/>
  <c r="C882" i="4"/>
  <c r="D882" i="4"/>
  <c r="E882" i="4"/>
  <c r="F882" i="4"/>
  <c r="G882" i="4"/>
  <c r="H882" i="4"/>
  <c r="I882" i="4"/>
  <c r="J882" i="4"/>
  <c r="K882" i="4"/>
  <c r="B883" i="4"/>
  <c r="C883" i="4"/>
  <c r="D883" i="4"/>
  <c r="E883" i="4"/>
  <c r="F883" i="4"/>
  <c r="G883" i="4"/>
  <c r="H883" i="4"/>
  <c r="I883" i="4"/>
  <c r="J883" i="4"/>
  <c r="K883" i="4"/>
  <c r="B884" i="4"/>
  <c r="C884" i="4"/>
  <c r="D884" i="4"/>
  <c r="E884" i="4"/>
  <c r="F884" i="4"/>
  <c r="G884" i="4"/>
  <c r="H884" i="4"/>
  <c r="I884" i="4"/>
  <c r="J884" i="4"/>
  <c r="K884" i="4"/>
  <c r="B885" i="4"/>
  <c r="C885" i="4"/>
  <c r="D885" i="4"/>
  <c r="E885" i="4"/>
  <c r="F885" i="4"/>
  <c r="G885" i="4"/>
  <c r="H885" i="4"/>
  <c r="I885" i="4"/>
  <c r="J885" i="4"/>
  <c r="K885" i="4"/>
  <c r="B886" i="4"/>
  <c r="C886" i="4"/>
  <c r="D886" i="4"/>
  <c r="E886" i="4"/>
  <c r="F886" i="4"/>
  <c r="G886" i="4"/>
  <c r="H886" i="4"/>
  <c r="I886" i="4"/>
  <c r="J886" i="4"/>
  <c r="K886" i="4"/>
  <c r="B887" i="4"/>
  <c r="C887" i="4"/>
  <c r="D887" i="4"/>
  <c r="E887" i="4"/>
  <c r="F887" i="4"/>
  <c r="G887" i="4"/>
  <c r="H887" i="4"/>
  <c r="I887" i="4"/>
  <c r="J887" i="4"/>
  <c r="K887" i="4"/>
  <c r="B888" i="4"/>
  <c r="C888" i="4"/>
  <c r="D888" i="4"/>
  <c r="E888" i="4"/>
  <c r="F888" i="4"/>
  <c r="G888" i="4"/>
  <c r="H888" i="4"/>
  <c r="I888" i="4"/>
  <c r="J888" i="4"/>
  <c r="K888" i="4"/>
  <c r="B889" i="4"/>
  <c r="C889" i="4"/>
  <c r="D889" i="4"/>
  <c r="E889" i="4"/>
  <c r="F889" i="4"/>
  <c r="G889" i="4"/>
  <c r="H889" i="4"/>
  <c r="I889" i="4"/>
  <c r="J889" i="4"/>
  <c r="K889" i="4"/>
  <c r="B890" i="4"/>
  <c r="C890" i="4"/>
  <c r="D890" i="4"/>
  <c r="E890" i="4"/>
  <c r="F890" i="4"/>
  <c r="G890" i="4"/>
  <c r="H890" i="4"/>
  <c r="I890" i="4"/>
  <c r="J890" i="4"/>
  <c r="K890" i="4"/>
  <c r="B891" i="4"/>
  <c r="C891" i="4"/>
  <c r="D891" i="4"/>
  <c r="E891" i="4"/>
  <c r="F891" i="4"/>
  <c r="G891" i="4"/>
  <c r="H891" i="4"/>
  <c r="I891" i="4"/>
  <c r="J891" i="4"/>
  <c r="K891" i="4"/>
  <c r="B892" i="4"/>
  <c r="C892" i="4"/>
  <c r="D892" i="4"/>
  <c r="E892" i="4"/>
  <c r="F892" i="4"/>
  <c r="G892" i="4"/>
  <c r="H892" i="4"/>
  <c r="I892" i="4"/>
  <c r="J892" i="4"/>
  <c r="K892" i="4"/>
  <c r="B893" i="4"/>
  <c r="C893" i="4"/>
  <c r="D893" i="4"/>
  <c r="E893" i="4"/>
  <c r="F893" i="4"/>
  <c r="G893" i="4"/>
  <c r="H893" i="4"/>
  <c r="I893" i="4"/>
  <c r="J893" i="4"/>
  <c r="K893" i="4"/>
  <c r="B894" i="4"/>
  <c r="C894" i="4"/>
  <c r="D894" i="4"/>
  <c r="E894" i="4"/>
  <c r="F894" i="4"/>
  <c r="G894" i="4"/>
  <c r="H894" i="4"/>
  <c r="I894" i="4"/>
  <c r="J894" i="4"/>
  <c r="K894" i="4"/>
  <c r="B895" i="4"/>
  <c r="C895" i="4"/>
  <c r="D895" i="4"/>
  <c r="E895" i="4"/>
  <c r="F895" i="4"/>
  <c r="G895" i="4"/>
  <c r="H895" i="4"/>
  <c r="I895" i="4"/>
  <c r="J895" i="4"/>
  <c r="K895" i="4"/>
  <c r="B896" i="4"/>
  <c r="C896" i="4"/>
  <c r="D896" i="4"/>
  <c r="E896" i="4"/>
  <c r="F896" i="4"/>
  <c r="G896" i="4"/>
  <c r="H896" i="4"/>
  <c r="I896" i="4"/>
  <c r="J896" i="4"/>
  <c r="K896" i="4"/>
  <c r="B897" i="4"/>
  <c r="C897" i="4"/>
  <c r="D897" i="4"/>
  <c r="E897" i="4"/>
  <c r="F897" i="4"/>
  <c r="G897" i="4"/>
  <c r="H897" i="4"/>
  <c r="I897" i="4"/>
  <c r="J897" i="4"/>
  <c r="K897" i="4"/>
  <c r="B898" i="4"/>
  <c r="C898" i="4"/>
  <c r="D898" i="4"/>
  <c r="E898" i="4"/>
  <c r="F898" i="4"/>
  <c r="G898" i="4"/>
  <c r="H898" i="4"/>
  <c r="I898" i="4"/>
  <c r="J898" i="4"/>
  <c r="K898" i="4"/>
  <c r="B899" i="4"/>
  <c r="C899" i="4"/>
  <c r="D899" i="4"/>
  <c r="E899" i="4"/>
  <c r="F899" i="4"/>
  <c r="G899" i="4"/>
  <c r="H899" i="4"/>
  <c r="I899" i="4"/>
  <c r="J899" i="4"/>
  <c r="K899" i="4"/>
  <c r="B900" i="4"/>
  <c r="C900" i="4"/>
  <c r="D900" i="4"/>
  <c r="E900" i="4"/>
  <c r="F900" i="4"/>
  <c r="G900" i="4"/>
  <c r="H900" i="4"/>
  <c r="I900" i="4"/>
  <c r="J900" i="4"/>
  <c r="K900" i="4"/>
  <c r="B901" i="4"/>
  <c r="C901" i="4"/>
  <c r="D901" i="4"/>
  <c r="E901" i="4"/>
  <c r="F901" i="4"/>
  <c r="G901" i="4"/>
  <c r="H901" i="4"/>
  <c r="I901" i="4"/>
  <c r="J901" i="4"/>
  <c r="K901" i="4"/>
  <c r="B902" i="4"/>
  <c r="C902" i="4"/>
  <c r="D902" i="4"/>
  <c r="E902" i="4"/>
  <c r="F902" i="4"/>
  <c r="G902" i="4"/>
  <c r="H902" i="4"/>
  <c r="I902" i="4"/>
  <c r="J902" i="4"/>
  <c r="K902" i="4"/>
  <c r="B903" i="4"/>
  <c r="C903" i="4"/>
  <c r="D903" i="4"/>
  <c r="E903" i="4"/>
  <c r="F903" i="4"/>
  <c r="G903" i="4"/>
  <c r="H903" i="4"/>
  <c r="I903" i="4"/>
  <c r="J903" i="4"/>
  <c r="K903" i="4"/>
  <c r="B904" i="4"/>
  <c r="C904" i="4"/>
  <c r="D904" i="4"/>
  <c r="E904" i="4"/>
  <c r="F904" i="4"/>
  <c r="G904" i="4"/>
  <c r="H904" i="4"/>
  <c r="I904" i="4"/>
  <c r="J904" i="4"/>
  <c r="K904" i="4"/>
  <c r="B905" i="4"/>
  <c r="C905" i="4"/>
  <c r="D905" i="4"/>
  <c r="E905" i="4"/>
  <c r="F905" i="4"/>
  <c r="G905" i="4"/>
  <c r="H905" i="4"/>
  <c r="I905" i="4"/>
  <c r="J905" i="4"/>
  <c r="K905" i="4"/>
  <c r="B906" i="4"/>
  <c r="C906" i="4"/>
  <c r="D906" i="4"/>
  <c r="E906" i="4"/>
  <c r="F906" i="4"/>
  <c r="G906" i="4"/>
  <c r="H906" i="4"/>
  <c r="I906" i="4"/>
  <c r="J906" i="4"/>
  <c r="K906" i="4"/>
  <c r="B907" i="4"/>
  <c r="C907" i="4"/>
  <c r="D907" i="4"/>
  <c r="E907" i="4"/>
  <c r="F907" i="4"/>
  <c r="G907" i="4"/>
  <c r="H907" i="4"/>
  <c r="I907" i="4"/>
  <c r="J907" i="4"/>
  <c r="K907" i="4"/>
  <c r="B908" i="4"/>
  <c r="C908" i="4"/>
  <c r="D908" i="4"/>
  <c r="E908" i="4"/>
  <c r="F908" i="4"/>
  <c r="G908" i="4"/>
  <c r="H908" i="4"/>
  <c r="I908" i="4"/>
  <c r="J908" i="4"/>
  <c r="K908" i="4"/>
  <c r="B909" i="4"/>
  <c r="C909" i="4"/>
  <c r="D909" i="4"/>
  <c r="E909" i="4"/>
  <c r="F909" i="4"/>
  <c r="G909" i="4"/>
  <c r="H909" i="4"/>
  <c r="I909" i="4"/>
  <c r="J909" i="4"/>
  <c r="K909" i="4"/>
  <c r="B910" i="4"/>
  <c r="C910" i="4"/>
  <c r="D910" i="4"/>
  <c r="E910" i="4"/>
  <c r="F910" i="4"/>
  <c r="G910" i="4"/>
  <c r="H910" i="4"/>
  <c r="I910" i="4"/>
  <c r="J910" i="4"/>
  <c r="K910" i="4"/>
  <c r="B911" i="4"/>
  <c r="C911" i="4"/>
  <c r="D911" i="4"/>
  <c r="E911" i="4"/>
  <c r="F911" i="4"/>
  <c r="G911" i="4"/>
  <c r="H911" i="4"/>
  <c r="I911" i="4"/>
  <c r="J911" i="4"/>
  <c r="K911" i="4"/>
  <c r="B912" i="4"/>
  <c r="C912" i="4"/>
  <c r="D912" i="4"/>
  <c r="E912" i="4"/>
  <c r="F912" i="4"/>
  <c r="G912" i="4"/>
  <c r="H912" i="4"/>
  <c r="I912" i="4"/>
  <c r="J912" i="4"/>
  <c r="K912" i="4"/>
  <c r="B913" i="4"/>
  <c r="C913" i="4"/>
  <c r="D913" i="4"/>
  <c r="E913" i="4"/>
  <c r="F913" i="4"/>
  <c r="G913" i="4"/>
  <c r="H913" i="4"/>
  <c r="I913" i="4"/>
  <c r="J913" i="4"/>
  <c r="K913" i="4"/>
  <c r="B914" i="4"/>
  <c r="C914" i="4"/>
  <c r="D914" i="4"/>
  <c r="E914" i="4"/>
  <c r="F914" i="4"/>
  <c r="G914" i="4"/>
  <c r="H914" i="4"/>
  <c r="I914" i="4"/>
  <c r="J914" i="4"/>
  <c r="K914" i="4"/>
  <c r="B915" i="4"/>
  <c r="C915" i="4"/>
  <c r="D915" i="4"/>
  <c r="E915" i="4"/>
  <c r="F915" i="4"/>
  <c r="G915" i="4"/>
  <c r="H915" i="4"/>
  <c r="I915" i="4"/>
  <c r="J915" i="4"/>
  <c r="K915" i="4"/>
  <c r="B916" i="4"/>
  <c r="C916" i="4"/>
  <c r="D916" i="4"/>
  <c r="E916" i="4"/>
  <c r="F916" i="4"/>
  <c r="G916" i="4"/>
  <c r="H916" i="4"/>
  <c r="I916" i="4"/>
  <c r="J916" i="4"/>
  <c r="K916" i="4"/>
  <c r="B917" i="4"/>
  <c r="C917" i="4"/>
  <c r="D917" i="4"/>
  <c r="E917" i="4"/>
  <c r="F917" i="4"/>
  <c r="G917" i="4"/>
  <c r="H917" i="4"/>
  <c r="I917" i="4"/>
  <c r="J917" i="4"/>
  <c r="K917" i="4"/>
  <c r="B918" i="4"/>
  <c r="C918" i="4"/>
  <c r="D918" i="4"/>
  <c r="E918" i="4"/>
  <c r="F918" i="4"/>
  <c r="G918" i="4"/>
  <c r="H918" i="4"/>
  <c r="I918" i="4"/>
  <c r="J918" i="4"/>
  <c r="K918" i="4"/>
  <c r="B919" i="4"/>
  <c r="C919" i="4"/>
  <c r="D919" i="4"/>
  <c r="E919" i="4"/>
  <c r="F919" i="4"/>
  <c r="G919" i="4"/>
  <c r="H919" i="4"/>
  <c r="I919" i="4"/>
  <c r="J919" i="4"/>
  <c r="K919" i="4"/>
  <c r="B920" i="4"/>
  <c r="C920" i="4"/>
  <c r="D920" i="4"/>
  <c r="E920" i="4"/>
  <c r="F920" i="4"/>
  <c r="G920" i="4"/>
  <c r="H920" i="4"/>
  <c r="I920" i="4"/>
  <c r="J920" i="4"/>
  <c r="K920" i="4"/>
  <c r="B921" i="4"/>
  <c r="C921" i="4"/>
  <c r="D921" i="4"/>
  <c r="E921" i="4"/>
  <c r="F921" i="4"/>
  <c r="G921" i="4"/>
  <c r="H921" i="4"/>
  <c r="I921" i="4"/>
  <c r="J921" i="4"/>
  <c r="K921" i="4"/>
  <c r="B922" i="4"/>
  <c r="C922" i="4"/>
  <c r="D922" i="4"/>
  <c r="E922" i="4"/>
  <c r="F922" i="4"/>
  <c r="G922" i="4"/>
  <c r="H922" i="4"/>
  <c r="I922" i="4"/>
  <c r="J922" i="4"/>
  <c r="K922" i="4"/>
  <c r="B923" i="4"/>
  <c r="C923" i="4"/>
  <c r="D923" i="4"/>
  <c r="E923" i="4"/>
  <c r="F923" i="4"/>
  <c r="G923" i="4"/>
  <c r="H923" i="4"/>
  <c r="I923" i="4"/>
  <c r="J923" i="4"/>
  <c r="K923" i="4"/>
  <c r="B924" i="4"/>
  <c r="C924" i="4"/>
  <c r="D924" i="4"/>
  <c r="E924" i="4"/>
  <c r="F924" i="4"/>
  <c r="G924" i="4"/>
  <c r="H924" i="4"/>
  <c r="I924" i="4"/>
  <c r="J924" i="4"/>
  <c r="K924" i="4"/>
  <c r="B925" i="4"/>
  <c r="C925" i="4"/>
  <c r="D925" i="4"/>
  <c r="E925" i="4"/>
  <c r="F925" i="4"/>
  <c r="G925" i="4"/>
  <c r="H925" i="4"/>
  <c r="I925" i="4"/>
  <c r="J925" i="4"/>
  <c r="K925" i="4"/>
  <c r="B926" i="4"/>
  <c r="C926" i="4"/>
  <c r="D926" i="4"/>
  <c r="E926" i="4"/>
  <c r="F926" i="4"/>
  <c r="G926" i="4"/>
  <c r="H926" i="4"/>
  <c r="I926" i="4"/>
  <c r="J926" i="4"/>
  <c r="K926" i="4"/>
  <c r="B927" i="4"/>
  <c r="C927" i="4"/>
  <c r="D927" i="4"/>
  <c r="E927" i="4"/>
  <c r="F927" i="4"/>
  <c r="G927" i="4"/>
  <c r="H927" i="4"/>
  <c r="I927" i="4"/>
  <c r="J927" i="4"/>
  <c r="K927" i="4"/>
  <c r="B928" i="4"/>
  <c r="C928" i="4"/>
  <c r="D928" i="4"/>
  <c r="E928" i="4"/>
  <c r="F928" i="4"/>
  <c r="G928" i="4"/>
  <c r="H928" i="4"/>
  <c r="I928" i="4"/>
  <c r="J928" i="4"/>
  <c r="K928" i="4"/>
  <c r="B929" i="4"/>
  <c r="C929" i="4"/>
  <c r="D929" i="4"/>
  <c r="E929" i="4"/>
  <c r="F929" i="4"/>
  <c r="G929" i="4"/>
  <c r="H929" i="4"/>
  <c r="I929" i="4"/>
  <c r="J929" i="4"/>
  <c r="K929" i="4"/>
  <c r="B930" i="4"/>
  <c r="C930" i="4"/>
  <c r="D930" i="4"/>
  <c r="E930" i="4"/>
  <c r="F930" i="4"/>
  <c r="G930" i="4"/>
  <c r="H930" i="4"/>
  <c r="I930" i="4"/>
  <c r="J930" i="4"/>
  <c r="K930" i="4"/>
  <c r="B931" i="4"/>
  <c r="C931" i="4"/>
  <c r="D931" i="4"/>
  <c r="E931" i="4"/>
  <c r="F931" i="4"/>
  <c r="G931" i="4"/>
  <c r="H931" i="4"/>
  <c r="I931" i="4"/>
  <c r="J931" i="4"/>
  <c r="K931" i="4"/>
  <c r="B932" i="4"/>
  <c r="C932" i="4"/>
  <c r="D932" i="4"/>
  <c r="E932" i="4"/>
  <c r="F932" i="4"/>
  <c r="G932" i="4"/>
  <c r="H932" i="4"/>
  <c r="I932" i="4"/>
  <c r="J932" i="4"/>
  <c r="K932" i="4"/>
  <c r="B933" i="4"/>
  <c r="C933" i="4"/>
  <c r="D933" i="4"/>
  <c r="E933" i="4"/>
  <c r="F933" i="4"/>
  <c r="G933" i="4"/>
  <c r="H933" i="4"/>
  <c r="I933" i="4"/>
  <c r="J933" i="4"/>
  <c r="K933" i="4"/>
  <c r="B934" i="4"/>
  <c r="C934" i="4"/>
  <c r="D934" i="4"/>
  <c r="E934" i="4"/>
  <c r="F934" i="4"/>
  <c r="G934" i="4"/>
  <c r="H934" i="4"/>
  <c r="I934" i="4"/>
  <c r="J934" i="4"/>
  <c r="K934" i="4"/>
  <c r="B935" i="4"/>
  <c r="C935" i="4"/>
  <c r="D935" i="4"/>
  <c r="E935" i="4"/>
  <c r="F935" i="4"/>
  <c r="G935" i="4"/>
  <c r="H935" i="4"/>
  <c r="I935" i="4"/>
  <c r="J935" i="4"/>
  <c r="K935" i="4"/>
  <c r="B936" i="4"/>
  <c r="C936" i="4"/>
  <c r="D936" i="4"/>
  <c r="E936" i="4"/>
  <c r="F936" i="4"/>
  <c r="G936" i="4"/>
  <c r="H936" i="4"/>
  <c r="I936" i="4"/>
  <c r="J936" i="4"/>
  <c r="K936" i="4"/>
  <c r="B937" i="4"/>
  <c r="C937" i="4"/>
  <c r="D937" i="4"/>
  <c r="E937" i="4"/>
  <c r="F937" i="4"/>
  <c r="G937" i="4"/>
  <c r="H937" i="4"/>
  <c r="I937" i="4"/>
  <c r="J937" i="4"/>
  <c r="K937" i="4"/>
  <c r="B938" i="4"/>
  <c r="C938" i="4"/>
  <c r="D938" i="4"/>
  <c r="E938" i="4"/>
  <c r="F938" i="4"/>
  <c r="G938" i="4"/>
  <c r="H938" i="4"/>
  <c r="I938" i="4"/>
  <c r="J938" i="4"/>
  <c r="K938" i="4"/>
  <c r="B939" i="4"/>
  <c r="C939" i="4"/>
  <c r="D939" i="4"/>
  <c r="E939" i="4"/>
  <c r="F939" i="4"/>
  <c r="G939" i="4"/>
  <c r="H939" i="4"/>
  <c r="I939" i="4"/>
  <c r="J939" i="4"/>
  <c r="K939" i="4"/>
  <c r="B940" i="4"/>
  <c r="C940" i="4"/>
  <c r="D940" i="4"/>
  <c r="E940" i="4"/>
  <c r="F940" i="4"/>
  <c r="G940" i="4"/>
  <c r="H940" i="4"/>
  <c r="I940" i="4"/>
  <c r="J940" i="4"/>
  <c r="K940" i="4"/>
  <c r="B941" i="4"/>
  <c r="C941" i="4"/>
  <c r="D941" i="4"/>
  <c r="E941" i="4"/>
  <c r="F941" i="4"/>
  <c r="G941" i="4"/>
  <c r="H941" i="4"/>
  <c r="I941" i="4"/>
  <c r="J941" i="4"/>
  <c r="K941" i="4"/>
  <c r="B942" i="4"/>
  <c r="C942" i="4"/>
  <c r="D942" i="4"/>
  <c r="E942" i="4"/>
  <c r="F942" i="4"/>
  <c r="G942" i="4"/>
  <c r="H942" i="4"/>
  <c r="I942" i="4"/>
  <c r="J942" i="4"/>
  <c r="K942" i="4"/>
  <c r="B943" i="4"/>
  <c r="C943" i="4"/>
  <c r="D943" i="4"/>
  <c r="E943" i="4"/>
  <c r="F943" i="4"/>
  <c r="G943" i="4"/>
  <c r="H943" i="4"/>
  <c r="I943" i="4"/>
  <c r="J943" i="4"/>
  <c r="K943" i="4"/>
  <c r="B944" i="4"/>
  <c r="C944" i="4"/>
  <c r="D944" i="4"/>
  <c r="E944" i="4"/>
  <c r="F944" i="4"/>
  <c r="G944" i="4"/>
  <c r="H944" i="4"/>
  <c r="I944" i="4"/>
  <c r="J944" i="4"/>
  <c r="K944" i="4"/>
  <c r="B945" i="4"/>
  <c r="C945" i="4"/>
  <c r="D945" i="4"/>
  <c r="E945" i="4"/>
  <c r="F945" i="4"/>
  <c r="G945" i="4"/>
  <c r="H945" i="4"/>
  <c r="I945" i="4"/>
  <c r="J945" i="4"/>
  <c r="K945" i="4"/>
  <c r="B946" i="4"/>
  <c r="C946" i="4"/>
  <c r="D946" i="4"/>
  <c r="E946" i="4"/>
  <c r="F946" i="4"/>
  <c r="G946" i="4"/>
  <c r="H946" i="4"/>
  <c r="I946" i="4"/>
  <c r="J946" i="4"/>
  <c r="K946" i="4"/>
  <c r="B947" i="4"/>
  <c r="C947" i="4"/>
  <c r="D947" i="4"/>
  <c r="E947" i="4"/>
  <c r="F947" i="4"/>
  <c r="G947" i="4"/>
  <c r="H947" i="4"/>
  <c r="I947" i="4"/>
  <c r="J947" i="4"/>
  <c r="K947" i="4"/>
  <c r="B948" i="4"/>
  <c r="C948" i="4"/>
  <c r="D948" i="4"/>
  <c r="E948" i="4"/>
  <c r="F948" i="4"/>
  <c r="G948" i="4"/>
  <c r="H948" i="4"/>
  <c r="I948" i="4"/>
  <c r="J948" i="4"/>
  <c r="K948" i="4"/>
  <c r="B949" i="4"/>
  <c r="C949" i="4"/>
  <c r="D949" i="4"/>
  <c r="E949" i="4"/>
  <c r="F949" i="4"/>
  <c r="G949" i="4"/>
  <c r="H949" i="4"/>
  <c r="I949" i="4"/>
  <c r="J949" i="4"/>
  <c r="K949" i="4"/>
  <c r="B950" i="4"/>
  <c r="C950" i="4"/>
  <c r="D950" i="4"/>
  <c r="E950" i="4"/>
  <c r="F950" i="4"/>
  <c r="G950" i="4"/>
  <c r="H950" i="4"/>
  <c r="I950" i="4"/>
  <c r="J950" i="4"/>
  <c r="K950" i="4"/>
  <c r="B951" i="4"/>
  <c r="C951" i="4"/>
  <c r="D951" i="4"/>
  <c r="E951" i="4"/>
  <c r="F951" i="4"/>
  <c r="G951" i="4"/>
  <c r="H951" i="4"/>
  <c r="I951" i="4"/>
  <c r="J951" i="4"/>
  <c r="K951" i="4"/>
  <c r="B952" i="4"/>
  <c r="C952" i="4"/>
  <c r="D952" i="4"/>
  <c r="E952" i="4"/>
  <c r="F952" i="4"/>
  <c r="G952" i="4"/>
  <c r="H952" i="4"/>
  <c r="I952" i="4"/>
  <c r="J952" i="4"/>
  <c r="K952" i="4"/>
  <c r="B953" i="4"/>
  <c r="C953" i="4"/>
  <c r="D953" i="4"/>
  <c r="E953" i="4"/>
  <c r="F953" i="4"/>
  <c r="G953" i="4"/>
  <c r="H953" i="4"/>
  <c r="I953" i="4"/>
  <c r="J953" i="4"/>
  <c r="K953" i="4"/>
  <c r="B954" i="4"/>
  <c r="C954" i="4"/>
  <c r="D954" i="4"/>
  <c r="E954" i="4"/>
  <c r="F954" i="4"/>
  <c r="G954" i="4"/>
  <c r="H954" i="4"/>
  <c r="I954" i="4"/>
  <c r="J954" i="4"/>
  <c r="K954" i="4"/>
  <c r="B955" i="4"/>
  <c r="C955" i="4"/>
  <c r="D955" i="4"/>
  <c r="E955" i="4"/>
  <c r="F955" i="4"/>
  <c r="G955" i="4"/>
  <c r="H955" i="4"/>
  <c r="I955" i="4"/>
  <c r="J955" i="4"/>
  <c r="K955" i="4"/>
  <c r="B956" i="4"/>
  <c r="C956" i="4"/>
  <c r="D956" i="4"/>
  <c r="E956" i="4"/>
  <c r="F956" i="4"/>
  <c r="G956" i="4"/>
  <c r="H956" i="4"/>
  <c r="I956" i="4"/>
  <c r="J956" i="4"/>
  <c r="K956" i="4"/>
  <c r="B957" i="4"/>
  <c r="C957" i="4"/>
  <c r="D957" i="4"/>
  <c r="E957" i="4"/>
  <c r="F957" i="4"/>
  <c r="G957" i="4"/>
  <c r="H957" i="4"/>
  <c r="I957" i="4"/>
  <c r="J957" i="4"/>
  <c r="K957" i="4"/>
  <c r="B958" i="4"/>
  <c r="C958" i="4"/>
  <c r="D958" i="4"/>
  <c r="E958" i="4"/>
  <c r="F958" i="4"/>
  <c r="G958" i="4"/>
  <c r="H958" i="4"/>
  <c r="I958" i="4"/>
  <c r="J958" i="4"/>
  <c r="K958" i="4"/>
  <c r="B959" i="4"/>
  <c r="C959" i="4"/>
  <c r="D959" i="4"/>
  <c r="E959" i="4"/>
  <c r="F959" i="4"/>
  <c r="G959" i="4"/>
  <c r="H959" i="4"/>
  <c r="I959" i="4"/>
  <c r="J959" i="4"/>
  <c r="K959" i="4"/>
  <c r="B960" i="4"/>
  <c r="C960" i="4"/>
  <c r="D960" i="4"/>
  <c r="E960" i="4"/>
  <c r="F960" i="4"/>
  <c r="G960" i="4"/>
  <c r="H960" i="4"/>
  <c r="I960" i="4"/>
  <c r="J960" i="4"/>
  <c r="K960" i="4"/>
  <c r="B961" i="4"/>
  <c r="C961" i="4"/>
  <c r="D961" i="4"/>
  <c r="E961" i="4"/>
  <c r="F961" i="4"/>
  <c r="G961" i="4"/>
  <c r="H961" i="4"/>
  <c r="I961" i="4"/>
  <c r="J961" i="4"/>
  <c r="K961" i="4"/>
  <c r="B962" i="4"/>
  <c r="C962" i="4"/>
  <c r="D962" i="4"/>
  <c r="E962" i="4"/>
  <c r="F962" i="4"/>
  <c r="G962" i="4"/>
  <c r="H962" i="4"/>
  <c r="I962" i="4"/>
  <c r="J962" i="4"/>
  <c r="K962" i="4"/>
  <c r="B963" i="4"/>
  <c r="C963" i="4"/>
  <c r="D963" i="4"/>
  <c r="E963" i="4"/>
  <c r="F963" i="4"/>
  <c r="G963" i="4"/>
  <c r="H963" i="4"/>
  <c r="I963" i="4"/>
  <c r="J963" i="4"/>
  <c r="K963" i="4"/>
  <c r="B964" i="4"/>
  <c r="C964" i="4"/>
  <c r="D964" i="4"/>
  <c r="E964" i="4"/>
  <c r="F964" i="4"/>
  <c r="G964" i="4"/>
  <c r="H964" i="4"/>
  <c r="I964" i="4"/>
  <c r="J964" i="4"/>
  <c r="K964" i="4"/>
  <c r="B965" i="4"/>
  <c r="C965" i="4"/>
  <c r="D965" i="4"/>
  <c r="E965" i="4"/>
  <c r="F965" i="4"/>
  <c r="G965" i="4"/>
  <c r="H965" i="4"/>
  <c r="I965" i="4"/>
  <c r="J965" i="4"/>
  <c r="K965" i="4"/>
  <c r="B966" i="4"/>
  <c r="C966" i="4"/>
  <c r="D966" i="4"/>
  <c r="E966" i="4"/>
  <c r="F966" i="4"/>
  <c r="G966" i="4"/>
  <c r="H966" i="4"/>
  <c r="I966" i="4"/>
  <c r="J966" i="4"/>
  <c r="K966" i="4"/>
  <c r="B967" i="4"/>
  <c r="C967" i="4"/>
  <c r="D967" i="4"/>
  <c r="E967" i="4"/>
  <c r="F967" i="4"/>
  <c r="G967" i="4"/>
  <c r="H967" i="4"/>
  <c r="I967" i="4"/>
  <c r="J967" i="4"/>
  <c r="K967" i="4"/>
  <c r="B968" i="4"/>
  <c r="C968" i="4"/>
  <c r="D968" i="4"/>
  <c r="E968" i="4"/>
  <c r="F968" i="4"/>
  <c r="G968" i="4"/>
  <c r="H968" i="4"/>
  <c r="I968" i="4"/>
  <c r="J968" i="4"/>
  <c r="K968" i="4"/>
  <c r="B969" i="4"/>
  <c r="C969" i="4"/>
  <c r="D969" i="4"/>
  <c r="E969" i="4"/>
  <c r="F969" i="4"/>
  <c r="G969" i="4"/>
  <c r="H969" i="4"/>
  <c r="I969" i="4"/>
  <c r="J969" i="4"/>
  <c r="K969" i="4"/>
  <c r="B970" i="4"/>
  <c r="C970" i="4"/>
  <c r="D970" i="4"/>
  <c r="E970" i="4"/>
  <c r="F970" i="4"/>
  <c r="G970" i="4"/>
  <c r="H970" i="4"/>
  <c r="I970" i="4"/>
  <c r="J970" i="4"/>
  <c r="K970" i="4"/>
  <c r="B971" i="4"/>
  <c r="C971" i="4"/>
  <c r="D971" i="4"/>
  <c r="E971" i="4"/>
  <c r="F971" i="4"/>
  <c r="G971" i="4"/>
  <c r="H971" i="4"/>
  <c r="I971" i="4"/>
  <c r="J971" i="4"/>
  <c r="K971" i="4"/>
  <c r="B972" i="4"/>
  <c r="C972" i="4"/>
  <c r="D972" i="4"/>
  <c r="E972" i="4"/>
  <c r="F972" i="4"/>
  <c r="G972" i="4"/>
  <c r="H972" i="4"/>
  <c r="I972" i="4"/>
  <c r="J972" i="4"/>
  <c r="K972" i="4"/>
  <c r="B973" i="4"/>
  <c r="C973" i="4"/>
  <c r="D973" i="4"/>
  <c r="E973" i="4"/>
  <c r="F973" i="4"/>
  <c r="G973" i="4"/>
  <c r="H973" i="4"/>
  <c r="I973" i="4"/>
  <c r="J973" i="4"/>
  <c r="K973" i="4"/>
  <c r="B974" i="4"/>
  <c r="C974" i="4"/>
  <c r="D974" i="4"/>
  <c r="E974" i="4"/>
  <c r="F974" i="4"/>
  <c r="G974" i="4"/>
  <c r="H974" i="4"/>
  <c r="I974" i="4"/>
  <c r="J974" i="4"/>
  <c r="K974" i="4"/>
  <c r="B975" i="4"/>
  <c r="C975" i="4"/>
  <c r="D975" i="4"/>
  <c r="E975" i="4"/>
  <c r="F975" i="4"/>
  <c r="G975" i="4"/>
  <c r="H975" i="4"/>
  <c r="I975" i="4"/>
  <c r="J975" i="4"/>
  <c r="K975" i="4"/>
  <c r="B976" i="4"/>
  <c r="C976" i="4"/>
  <c r="D976" i="4"/>
  <c r="E976" i="4"/>
  <c r="F976" i="4"/>
  <c r="G976" i="4"/>
  <c r="H976" i="4"/>
  <c r="I976" i="4"/>
  <c r="J976" i="4"/>
  <c r="K976" i="4"/>
  <c r="B977" i="4"/>
  <c r="C977" i="4"/>
  <c r="D977" i="4"/>
  <c r="E977" i="4"/>
  <c r="F977" i="4"/>
  <c r="G977" i="4"/>
  <c r="H977" i="4"/>
  <c r="I977" i="4"/>
  <c r="J977" i="4"/>
  <c r="K977" i="4"/>
  <c r="B978" i="4"/>
  <c r="C978" i="4"/>
  <c r="D978" i="4"/>
  <c r="E978" i="4"/>
  <c r="F978" i="4"/>
  <c r="G978" i="4"/>
  <c r="H978" i="4"/>
  <c r="I978" i="4"/>
  <c r="J978" i="4"/>
  <c r="K978" i="4"/>
  <c r="B979" i="4"/>
  <c r="C979" i="4"/>
  <c r="D979" i="4"/>
  <c r="E979" i="4"/>
  <c r="F979" i="4"/>
  <c r="G979" i="4"/>
  <c r="H979" i="4"/>
  <c r="I979" i="4"/>
  <c r="J979" i="4"/>
  <c r="K979" i="4"/>
  <c r="B980" i="4"/>
  <c r="C980" i="4"/>
  <c r="D980" i="4"/>
  <c r="E980" i="4"/>
  <c r="F980" i="4"/>
  <c r="G980" i="4"/>
  <c r="H980" i="4"/>
  <c r="I980" i="4"/>
  <c r="J980" i="4"/>
  <c r="K980" i="4"/>
  <c r="B981" i="4"/>
  <c r="C981" i="4"/>
  <c r="D981" i="4"/>
  <c r="E981" i="4"/>
  <c r="F981" i="4"/>
  <c r="G981" i="4"/>
  <c r="H981" i="4"/>
  <c r="I981" i="4"/>
  <c r="J981" i="4"/>
  <c r="K981" i="4"/>
  <c r="B982" i="4"/>
  <c r="C982" i="4"/>
  <c r="D982" i="4"/>
  <c r="E982" i="4"/>
  <c r="F982" i="4"/>
  <c r="G982" i="4"/>
  <c r="H982" i="4"/>
  <c r="I982" i="4"/>
  <c r="J982" i="4"/>
  <c r="K982" i="4"/>
  <c r="B983" i="4"/>
  <c r="C983" i="4"/>
  <c r="D983" i="4"/>
  <c r="E983" i="4"/>
  <c r="F983" i="4"/>
  <c r="G983" i="4"/>
  <c r="H983" i="4"/>
  <c r="I983" i="4"/>
  <c r="J983" i="4"/>
  <c r="K983" i="4"/>
  <c r="B984" i="4"/>
  <c r="C984" i="4"/>
  <c r="D984" i="4"/>
  <c r="E984" i="4"/>
  <c r="F984" i="4"/>
  <c r="G984" i="4"/>
  <c r="H984" i="4"/>
  <c r="I984" i="4"/>
  <c r="J984" i="4"/>
  <c r="K984" i="4"/>
  <c r="B985" i="4"/>
  <c r="C985" i="4"/>
  <c r="D985" i="4"/>
  <c r="E985" i="4"/>
  <c r="F985" i="4"/>
  <c r="G985" i="4"/>
  <c r="H985" i="4"/>
  <c r="I985" i="4"/>
  <c r="J985" i="4"/>
  <c r="K985" i="4"/>
  <c r="B986" i="4"/>
  <c r="C986" i="4"/>
  <c r="D986" i="4"/>
  <c r="E986" i="4"/>
  <c r="F986" i="4"/>
  <c r="G986" i="4"/>
  <c r="H986" i="4"/>
  <c r="I986" i="4"/>
  <c r="J986" i="4"/>
  <c r="K986" i="4"/>
  <c r="B987" i="4"/>
  <c r="C987" i="4"/>
  <c r="D987" i="4"/>
  <c r="E987" i="4"/>
  <c r="F987" i="4"/>
  <c r="G987" i="4"/>
  <c r="H987" i="4"/>
  <c r="I987" i="4"/>
  <c r="J987" i="4"/>
  <c r="K987" i="4"/>
  <c r="B988" i="4"/>
  <c r="C988" i="4"/>
  <c r="D988" i="4"/>
  <c r="E988" i="4"/>
  <c r="F988" i="4"/>
  <c r="G988" i="4"/>
  <c r="H988" i="4"/>
  <c r="I988" i="4"/>
  <c r="J988" i="4"/>
  <c r="K988" i="4"/>
  <c r="B989" i="4"/>
  <c r="C989" i="4"/>
  <c r="D989" i="4"/>
  <c r="E989" i="4"/>
  <c r="F989" i="4"/>
  <c r="G989" i="4"/>
  <c r="H989" i="4"/>
  <c r="I989" i="4"/>
  <c r="J989" i="4"/>
  <c r="K989" i="4"/>
  <c r="B990" i="4"/>
  <c r="C990" i="4"/>
  <c r="D990" i="4"/>
  <c r="E990" i="4"/>
  <c r="F990" i="4"/>
  <c r="G990" i="4"/>
  <c r="H990" i="4"/>
  <c r="I990" i="4"/>
  <c r="J990" i="4"/>
  <c r="K990" i="4"/>
  <c r="B991" i="4"/>
  <c r="C991" i="4"/>
  <c r="D991" i="4"/>
  <c r="E991" i="4"/>
  <c r="F991" i="4"/>
  <c r="G991" i="4"/>
  <c r="H991" i="4"/>
  <c r="I991" i="4"/>
  <c r="J991" i="4"/>
  <c r="K991" i="4"/>
  <c r="B992" i="4"/>
  <c r="C992" i="4"/>
  <c r="D992" i="4"/>
  <c r="E992" i="4"/>
  <c r="F992" i="4"/>
  <c r="G992" i="4"/>
  <c r="H992" i="4"/>
  <c r="I992" i="4"/>
  <c r="J992" i="4"/>
  <c r="K992" i="4"/>
  <c r="B993" i="4"/>
  <c r="C993" i="4"/>
  <c r="D993" i="4"/>
  <c r="E993" i="4"/>
  <c r="F993" i="4"/>
  <c r="G993" i="4"/>
  <c r="H993" i="4"/>
  <c r="I993" i="4"/>
  <c r="J993" i="4"/>
  <c r="K993" i="4"/>
  <c r="B994" i="4"/>
  <c r="C994" i="4"/>
  <c r="D994" i="4"/>
  <c r="E994" i="4"/>
  <c r="F994" i="4"/>
  <c r="G994" i="4"/>
  <c r="H994" i="4"/>
  <c r="I994" i="4"/>
  <c r="J994" i="4"/>
  <c r="K994" i="4"/>
  <c r="B995" i="4"/>
  <c r="C995" i="4"/>
  <c r="D995" i="4"/>
  <c r="E995" i="4"/>
  <c r="F995" i="4"/>
  <c r="G995" i="4"/>
  <c r="H995" i="4"/>
  <c r="I995" i="4"/>
  <c r="J995" i="4"/>
  <c r="K995" i="4"/>
  <c r="B996" i="4"/>
  <c r="C996" i="4"/>
  <c r="D996" i="4"/>
  <c r="E996" i="4"/>
  <c r="F996" i="4"/>
  <c r="G996" i="4"/>
  <c r="H996" i="4"/>
  <c r="I996" i="4"/>
  <c r="J996" i="4"/>
  <c r="K996" i="4"/>
  <c r="B997" i="4"/>
  <c r="C997" i="4"/>
  <c r="D997" i="4"/>
  <c r="E997" i="4"/>
  <c r="F997" i="4"/>
  <c r="G997" i="4"/>
  <c r="H997" i="4"/>
  <c r="I997" i="4"/>
  <c r="J997" i="4"/>
  <c r="K997" i="4"/>
  <c r="B998" i="4"/>
  <c r="C998" i="4"/>
  <c r="D998" i="4"/>
  <c r="E998" i="4"/>
  <c r="F998" i="4"/>
  <c r="G998" i="4"/>
  <c r="H998" i="4"/>
  <c r="I998" i="4"/>
  <c r="J998" i="4"/>
  <c r="K998" i="4"/>
  <c r="B999" i="4"/>
  <c r="C999" i="4"/>
  <c r="D999" i="4"/>
  <c r="E999" i="4"/>
  <c r="F999" i="4"/>
  <c r="G999" i="4"/>
  <c r="H999" i="4"/>
  <c r="I999" i="4"/>
  <c r="J999" i="4"/>
  <c r="K999" i="4"/>
  <c r="B1000" i="4"/>
  <c r="C1000" i="4"/>
  <c r="D1000" i="4"/>
  <c r="E1000" i="4"/>
  <c r="F1000" i="4"/>
  <c r="G1000" i="4"/>
  <c r="H1000" i="4"/>
  <c r="I1000" i="4"/>
  <c r="J1000" i="4"/>
  <c r="K1000" i="4"/>
  <c r="B1001" i="4"/>
  <c r="C1001" i="4"/>
  <c r="D1001" i="4"/>
  <c r="E1001" i="4"/>
  <c r="F1001" i="4"/>
  <c r="G1001" i="4"/>
  <c r="H1001" i="4"/>
  <c r="I1001" i="4"/>
  <c r="J1001" i="4"/>
  <c r="K1001" i="4"/>
  <c r="B1002" i="4"/>
  <c r="C1002" i="4"/>
  <c r="D1002" i="4"/>
  <c r="E1002" i="4"/>
  <c r="F1002" i="4"/>
  <c r="G1002" i="4"/>
  <c r="H1002" i="4"/>
  <c r="I1002" i="4"/>
  <c r="J1002" i="4"/>
  <c r="K1002" i="4"/>
  <c r="B1003" i="4"/>
  <c r="C1003" i="4"/>
  <c r="D1003" i="4"/>
  <c r="E1003" i="4"/>
  <c r="F1003" i="4"/>
  <c r="G1003" i="4"/>
  <c r="H1003" i="4"/>
  <c r="I1003" i="4"/>
  <c r="J1003" i="4"/>
  <c r="K1003" i="4"/>
  <c r="B1004" i="4"/>
  <c r="C1004" i="4"/>
  <c r="D1004" i="4"/>
  <c r="E1004" i="4"/>
  <c r="F1004" i="4"/>
  <c r="G1004" i="4"/>
  <c r="H1004" i="4"/>
  <c r="I1004" i="4"/>
  <c r="J1004" i="4"/>
  <c r="K1004" i="4"/>
  <c r="B1005" i="4"/>
  <c r="C1005" i="4"/>
  <c r="D1005" i="4"/>
  <c r="E1005" i="4"/>
  <c r="F1005" i="4"/>
  <c r="G1005" i="4"/>
  <c r="H1005" i="4"/>
  <c r="I1005" i="4"/>
  <c r="J1005" i="4"/>
  <c r="K1005" i="4"/>
  <c r="B1006" i="4"/>
  <c r="C1006" i="4"/>
  <c r="D1006" i="4"/>
  <c r="E1006" i="4"/>
  <c r="F1006" i="4"/>
  <c r="G1006" i="4"/>
  <c r="H1006" i="4"/>
  <c r="I1006" i="4"/>
  <c r="J1006" i="4"/>
  <c r="K1006" i="4"/>
  <c r="B1007" i="4"/>
  <c r="C1007" i="4"/>
  <c r="D1007" i="4"/>
  <c r="E1007" i="4"/>
  <c r="F1007" i="4"/>
  <c r="G1007" i="4"/>
  <c r="H1007" i="4"/>
  <c r="I1007" i="4"/>
  <c r="J1007" i="4"/>
  <c r="K1007" i="4"/>
  <c r="B1008" i="4"/>
  <c r="C1008" i="4"/>
  <c r="D1008" i="4"/>
  <c r="E1008" i="4"/>
  <c r="F1008" i="4"/>
  <c r="G1008" i="4"/>
  <c r="H1008" i="4"/>
  <c r="I1008" i="4"/>
  <c r="J1008" i="4"/>
  <c r="K1008" i="4"/>
  <c r="B1009" i="4"/>
  <c r="C1009" i="4"/>
  <c r="D1009" i="4"/>
  <c r="E1009" i="4"/>
  <c r="F1009" i="4"/>
  <c r="G1009" i="4"/>
  <c r="H1009" i="4"/>
  <c r="I1009" i="4"/>
  <c r="J1009" i="4"/>
  <c r="K1009" i="4"/>
  <c r="B1010" i="4"/>
  <c r="C1010" i="4"/>
  <c r="D1010" i="4"/>
  <c r="E1010" i="4"/>
  <c r="F1010" i="4"/>
  <c r="G1010" i="4"/>
  <c r="H1010" i="4"/>
  <c r="I1010" i="4"/>
  <c r="J1010" i="4"/>
  <c r="K1010" i="4"/>
  <c r="B1011" i="4"/>
  <c r="C1011" i="4"/>
  <c r="D1011" i="4"/>
  <c r="E1011" i="4"/>
  <c r="F1011" i="4"/>
  <c r="G1011" i="4"/>
  <c r="H1011" i="4"/>
  <c r="I1011" i="4"/>
  <c r="J1011" i="4"/>
  <c r="K1011" i="4"/>
  <c r="B1012" i="4"/>
  <c r="C1012" i="4"/>
  <c r="D1012" i="4"/>
  <c r="E1012" i="4"/>
  <c r="F1012" i="4"/>
  <c r="G1012" i="4"/>
  <c r="H1012" i="4"/>
  <c r="I1012" i="4"/>
  <c r="J1012" i="4"/>
  <c r="K1012" i="4"/>
  <c r="B1013" i="4"/>
  <c r="C1013" i="4"/>
  <c r="D1013" i="4"/>
  <c r="E1013" i="4"/>
  <c r="F1013" i="4"/>
  <c r="G1013" i="4"/>
  <c r="H1013" i="4"/>
  <c r="I1013" i="4"/>
  <c r="J1013" i="4"/>
  <c r="K1013" i="4"/>
  <c r="B1014" i="4"/>
  <c r="C1014" i="4"/>
  <c r="D1014" i="4"/>
  <c r="E1014" i="4"/>
  <c r="F1014" i="4"/>
  <c r="G1014" i="4"/>
  <c r="H1014" i="4"/>
  <c r="I1014" i="4"/>
  <c r="J1014" i="4"/>
  <c r="K1014" i="4"/>
  <c r="B1015" i="4"/>
  <c r="C1015" i="4"/>
  <c r="D1015" i="4"/>
  <c r="E1015" i="4"/>
  <c r="F1015" i="4"/>
  <c r="G1015" i="4"/>
  <c r="H1015" i="4"/>
  <c r="I1015" i="4"/>
  <c r="J1015" i="4"/>
  <c r="K1015" i="4"/>
  <c r="B1016" i="4"/>
  <c r="C1016" i="4"/>
  <c r="D1016" i="4"/>
  <c r="E1016" i="4"/>
  <c r="F1016" i="4"/>
  <c r="G1016" i="4"/>
  <c r="H1016" i="4"/>
  <c r="I1016" i="4"/>
  <c r="J1016" i="4"/>
  <c r="K1016" i="4"/>
  <c r="B1017" i="4"/>
  <c r="C1017" i="4"/>
  <c r="D1017" i="4"/>
  <c r="E1017" i="4"/>
  <c r="F1017" i="4"/>
  <c r="G1017" i="4"/>
  <c r="H1017" i="4"/>
  <c r="I1017" i="4"/>
  <c r="J1017" i="4"/>
  <c r="K1017" i="4"/>
  <c r="B1018" i="4"/>
  <c r="C1018" i="4"/>
  <c r="D1018" i="4"/>
  <c r="E1018" i="4"/>
  <c r="F1018" i="4"/>
  <c r="G1018" i="4"/>
  <c r="H1018" i="4"/>
  <c r="I1018" i="4"/>
  <c r="J1018" i="4"/>
  <c r="K1018" i="4"/>
  <c r="B1019" i="4"/>
  <c r="C1019" i="4"/>
  <c r="D1019" i="4"/>
  <c r="E1019" i="4"/>
  <c r="F1019" i="4"/>
  <c r="G1019" i="4"/>
  <c r="H1019" i="4"/>
  <c r="I1019" i="4"/>
  <c r="J1019" i="4"/>
  <c r="K1019" i="4"/>
  <c r="B1020" i="4"/>
  <c r="C1020" i="4"/>
  <c r="D1020" i="4"/>
  <c r="E1020" i="4"/>
  <c r="F1020" i="4"/>
  <c r="G1020" i="4"/>
  <c r="H1020" i="4"/>
  <c r="I1020" i="4"/>
  <c r="J1020" i="4"/>
  <c r="K1020" i="4"/>
  <c r="B1021" i="4"/>
  <c r="C1021" i="4"/>
  <c r="D1021" i="4"/>
  <c r="E1021" i="4"/>
  <c r="F1021" i="4"/>
  <c r="G1021" i="4"/>
  <c r="H1021" i="4"/>
  <c r="I1021" i="4"/>
  <c r="J1021" i="4"/>
  <c r="K1021" i="4"/>
  <c r="B1022" i="4"/>
  <c r="C1022" i="4"/>
  <c r="D1022" i="4"/>
  <c r="E1022" i="4"/>
  <c r="F1022" i="4"/>
  <c r="G1022" i="4"/>
  <c r="H1022" i="4"/>
  <c r="I1022" i="4"/>
  <c r="J1022" i="4"/>
  <c r="K1022" i="4"/>
  <c r="B1023" i="4"/>
  <c r="C1023" i="4"/>
  <c r="D1023" i="4"/>
  <c r="E1023" i="4"/>
  <c r="F1023" i="4"/>
  <c r="G1023" i="4"/>
  <c r="H1023" i="4"/>
  <c r="I1023" i="4"/>
  <c r="J1023" i="4"/>
  <c r="K1023" i="4"/>
  <c r="B1024" i="4"/>
  <c r="C1024" i="4"/>
  <c r="D1024" i="4"/>
  <c r="E1024" i="4"/>
  <c r="F1024" i="4"/>
  <c r="G1024" i="4"/>
  <c r="H1024" i="4"/>
  <c r="I1024" i="4"/>
  <c r="J1024" i="4"/>
  <c r="K1024" i="4"/>
  <c r="B1025" i="4"/>
  <c r="C1025" i="4"/>
  <c r="D1025" i="4"/>
  <c r="E1025" i="4"/>
  <c r="F1025" i="4"/>
  <c r="G1025" i="4"/>
  <c r="H1025" i="4"/>
  <c r="I1025" i="4"/>
  <c r="J1025" i="4"/>
  <c r="K1025" i="4"/>
  <c r="B1026" i="4"/>
  <c r="C1026" i="4"/>
  <c r="D1026" i="4"/>
  <c r="E1026" i="4"/>
  <c r="F1026" i="4"/>
  <c r="G1026" i="4"/>
  <c r="H1026" i="4"/>
  <c r="I1026" i="4"/>
  <c r="J1026" i="4"/>
  <c r="K1026" i="4"/>
  <c r="B1027" i="4"/>
  <c r="C1027" i="4"/>
  <c r="D1027" i="4"/>
  <c r="E1027" i="4"/>
  <c r="F1027" i="4"/>
  <c r="G1027" i="4"/>
  <c r="H1027" i="4"/>
  <c r="I1027" i="4"/>
  <c r="J1027" i="4"/>
  <c r="K1027" i="4"/>
  <c r="B1028" i="4"/>
  <c r="C1028" i="4"/>
  <c r="D1028" i="4"/>
  <c r="E1028" i="4"/>
  <c r="F1028" i="4"/>
  <c r="G1028" i="4"/>
  <c r="H1028" i="4"/>
  <c r="I1028" i="4"/>
  <c r="J1028" i="4"/>
  <c r="K1028" i="4"/>
  <c r="B1029" i="4"/>
  <c r="C1029" i="4"/>
  <c r="D1029" i="4"/>
  <c r="E1029" i="4"/>
  <c r="F1029" i="4"/>
  <c r="G1029" i="4"/>
  <c r="H1029" i="4"/>
  <c r="I1029" i="4"/>
  <c r="J1029" i="4"/>
  <c r="K1029" i="4"/>
  <c r="B1030" i="4"/>
  <c r="C1030" i="4"/>
  <c r="D1030" i="4"/>
  <c r="E1030" i="4"/>
  <c r="F1030" i="4"/>
  <c r="G1030" i="4"/>
  <c r="H1030" i="4"/>
  <c r="I1030" i="4"/>
  <c r="J1030" i="4"/>
  <c r="K1030" i="4"/>
  <c r="B1031" i="4"/>
  <c r="C1031" i="4"/>
  <c r="D1031" i="4"/>
  <c r="E1031" i="4"/>
  <c r="F1031" i="4"/>
  <c r="G1031" i="4"/>
  <c r="H1031" i="4"/>
  <c r="I1031" i="4"/>
  <c r="J1031" i="4"/>
  <c r="K1031" i="4"/>
  <c r="B1032" i="4"/>
  <c r="C1032" i="4"/>
  <c r="D1032" i="4"/>
  <c r="E1032" i="4"/>
  <c r="F1032" i="4"/>
  <c r="G1032" i="4"/>
  <c r="H1032" i="4"/>
  <c r="I1032" i="4"/>
  <c r="J1032" i="4"/>
  <c r="K1032" i="4"/>
  <c r="B1033" i="4"/>
  <c r="C1033" i="4"/>
  <c r="D1033" i="4"/>
  <c r="E1033" i="4"/>
  <c r="F1033" i="4"/>
  <c r="G1033" i="4"/>
  <c r="H1033" i="4"/>
  <c r="I1033" i="4"/>
  <c r="J1033" i="4"/>
  <c r="K1033" i="4"/>
  <c r="B1034" i="4"/>
  <c r="C1034" i="4"/>
  <c r="D1034" i="4"/>
  <c r="E1034" i="4"/>
  <c r="F1034" i="4"/>
  <c r="G1034" i="4"/>
  <c r="H1034" i="4"/>
  <c r="I1034" i="4"/>
  <c r="J1034" i="4"/>
  <c r="K1034" i="4"/>
  <c r="B1035" i="4"/>
  <c r="C1035" i="4"/>
  <c r="D1035" i="4"/>
  <c r="E1035" i="4"/>
  <c r="F1035" i="4"/>
  <c r="G1035" i="4"/>
  <c r="H1035" i="4"/>
  <c r="I1035" i="4"/>
  <c r="J1035" i="4"/>
  <c r="K1035" i="4"/>
  <c r="B1036" i="4"/>
  <c r="C1036" i="4"/>
  <c r="D1036" i="4"/>
  <c r="E1036" i="4"/>
  <c r="F1036" i="4"/>
  <c r="G1036" i="4"/>
  <c r="H1036" i="4"/>
  <c r="I1036" i="4"/>
  <c r="J1036" i="4"/>
  <c r="K1036" i="4"/>
  <c r="B1037" i="4"/>
  <c r="C1037" i="4"/>
  <c r="D1037" i="4"/>
  <c r="E1037" i="4"/>
  <c r="F1037" i="4"/>
  <c r="G1037" i="4"/>
  <c r="H1037" i="4"/>
  <c r="I1037" i="4"/>
  <c r="J1037" i="4"/>
  <c r="K1037" i="4"/>
  <c r="B1038" i="4"/>
  <c r="C1038" i="4"/>
  <c r="D1038" i="4"/>
  <c r="E1038" i="4"/>
  <c r="F1038" i="4"/>
  <c r="G1038" i="4"/>
  <c r="H1038" i="4"/>
  <c r="I1038" i="4"/>
  <c r="J1038" i="4"/>
  <c r="K1038" i="4"/>
  <c r="B1039" i="4"/>
  <c r="C1039" i="4"/>
  <c r="D1039" i="4"/>
  <c r="E1039" i="4"/>
  <c r="F1039" i="4"/>
  <c r="G1039" i="4"/>
  <c r="H1039" i="4"/>
  <c r="I1039" i="4"/>
  <c r="J1039" i="4"/>
  <c r="K1039" i="4"/>
  <c r="B1040" i="4"/>
  <c r="C1040" i="4"/>
  <c r="D1040" i="4"/>
  <c r="E1040" i="4"/>
  <c r="F1040" i="4"/>
  <c r="G1040" i="4"/>
  <c r="H1040" i="4"/>
  <c r="I1040" i="4"/>
  <c r="J1040" i="4"/>
  <c r="K1040" i="4"/>
  <c r="B1041" i="4"/>
  <c r="C1041" i="4"/>
  <c r="D1041" i="4"/>
  <c r="E1041" i="4"/>
  <c r="F1041" i="4"/>
  <c r="G1041" i="4"/>
  <c r="H1041" i="4"/>
  <c r="I1041" i="4"/>
  <c r="J1041" i="4"/>
  <c r="K1041" i="4"/>
  <c r="B1042" i="4"/>
  <c r="C1042" i="4"/>
  <c r="D1042" i="4"/>
  <c r="E1042" i="4"/>
  <c r="F1042" i="4"/>
  <c r="G1042" i="4"/>
  <c r="H1042" i="4"/>
  <c r="I1042" i="4"/>
  <c r="J1042" i="4"/>
  <c r="K1042" i="4"/>
  <c r="B1043" i="4"/>
  <c r="C1043" i="4"/>
  <c r="D1043" i="4"/>
  <c r="E1043" i="4"/>
  <c r="F1043" i="4"/>
  <c r="G1043" i="4"/>
  <c r="H1043" i="4"/>
  <c r="I1043" i="4"/>
  <c r="J1043" i="4"/>
  <c r="K1043" i="4"/>
  <c r="C13" i="3"/>
  <c r="E13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6" i="3"/>
  <c r="C126" i="3"/>
  <c r="D126" i="3"/>
  <c r="E126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B138" i="3"/>
  <c r="C138" i="3"/>
  <c r="D138" i="3"/>
  <c r="E138" i="3"/>
  <c r="B139" i="3"/>
  <c r="C139" i="3"/>
  <c r="D139" i="3"/>
  <c r="E139" i="3"/>
  <c r="B140" i="3"/>
  <c r="C140" i="3"/>
  <c r="D140" i="3"/>
  <c r="E140" i="3"/>
  <c r="B141" i="3"/>
  <c r="C141" i="3"/>
  <c r="D141" i="3"/>
  <c r="E141" i="3"/>
  <c r="B142" i="3"/>
  <c r="C142" i="3"/>
  <c r="D142" i="3"/>
  <c r="E142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7" i="3"/>
  <c r="C147" i="3"/>
  <c r="D147" i="3"/>
  <c r="E147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1" i="3"/>
  <c r="C161" i="3"/>
  <c r="D161" i="3"/>
  <c r="E161" i="3"/>
  <c r="B162" i="3"/>
  <c r="C162" i="3"/>
  <c r="D162" i="3"/>
  <c r="E162" i="3"/>
  <c r="B163" i="3"/>
  <c r="C163" i="3"/>
  <c r="D163" i="3"/>
  <c r="E163" i="3"/>
  <c r="B164" i="3"/>
  <c r="C164" i="3"/>
  <c r="D164" i="3"/>
  <c r="E164" i="3"/>
  <c r="B165" i="3"/>
  <c r="C165" i="3"/>
  <c r="D165" i="3"/>
  <c r="E165" i="3"/>
  <c r="B166" i="3"/>
  <c r="C166" i="3"/>
  <c r="D166" i="3"/>
  <c r="E166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B175" i="3"/>
  <c r="C175" i="3"/>
  <c r="D175" i="3"/>
  <c r="E175" i="3"/>
  <c r="B176" i="3"/>
  <c r="C176" i="3"/>
  <c r="D176" i="3"/>
  <c r="E176" i="3"/>
  <c r="B177" i="3"/>
  <c r="C177" i="3"/>
  <c r="D177" i="3"/>
  <c r="E177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2" i="3"/>
  <c r="C182" i="3"/>
  <c r="D182" i="3"/>
  <c r="E182" i="3"/>
  <c r="B183" i="3"/>
  <c r="C183" i="3"/>
  <c r="D183" i="3"/>
  <c r="E183" i="3"/>
  <c r="B184" i="3"/>
  <c r="C184" i="3"/>
  <c r="D184" i="3"/>
  <c r="E184" i="3"/>
  <c r="B185" i="3"/>
  <c r="C185" i="3"/>
  <c r="D185" i="3"/>
  <c r="E185" i="3"/>
  <c r="B186" i="3"/>
  <c r="C186" i="3"/>
  <c r="D186" i="3"/>
  <c r="E186" i="3"/>
  <c r="B187" i="3"/>
  <c r="C187" i="3"/>
  <c r="D187" i="3"/>
  <c r="E187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E196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1" i="3"/>
  <c r="C201" i="3"/>
  <c r="D201" i="3"/>
  <c r="E201" i="3"/>
  <c r="B202" i="3"/>
  <c r="C202" i="3"/>
  <c r="D202" i="3"/>
  <c r="E202" i="3"/>
  <c r="B203" i="3"/>
  <c r="C203" i="3"/>
  <c r="D203" i="3"/>
  <c r="E203" i="3"/>
  <c r="B204" i="3"/>
  <c r="C204" i="3"/>
  <c r="D204" i="3"/>
  <c r="E204" i="3"/>
  <c r="B205" i="3"/>
  <c r="C205" i="3"/>
  <c r="D205" i="3"/>
  <c r="E205" i="3"/>
  <c r="B206" i="3"/>
  <c r="C206" i="3"/>
  <c r="D206" i="3"/>
  <c r="E206" i="3"/>
  <c r="B207" i="3"/>
  <c r="C207" i="3"/>
  <c r="D207" i="3"/>
  <c r="E207" i="3"/>
  <c r="B208" i="3"/>
  <c r="C208" i="3"/>
  <c r="D208" i="3"/>
  <c r="E208" i="3"/>
  <c r="B209" i="3"/>
  <c r="C209" i="3"/>
  <c r="D209" i="3"/>
  <c r="E209" i="3"/>
  <c r="B210" i="3"/>
  <c r="C210" i="3"/>
  <c r="D210" i="3"/>
  <c r="E210" i="3"/>
  <c r="B211" i="3"/>
  <c r="C211" i="3"/>
  <c r="D211" i="3"/>
  <c r="E211" i="3"/>
  <c r="B212" i="3"/>
  <c r="C212" i="3"/>
  <c r="D212" i="3"/>
  <c r="E212" i="3"/>
  <c r="B213" i="3"/>
  <c r="C213" i="3"/>
  <c r="D213" i="3"/>
  <c r="E21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B232" i="3"/>
  <c r="C232" i="3"/>
  <c r="D232" i="3"/>
  <c r="E232" i="3"/>
  <c r="B233" i="3"/>
  <c r="C233" i="3"/>
  <c r="D233" i="3"/>
  <c r="E233" i="3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B244" i="3"/>
  <c r="C244" i="3"/>
  <c r="D244" i="3"/>
  <c r="E244" i="3"/>
  <c r="B245" i="3"/>
  <c r="C245" i="3"/>
  <c r="D245" i="3"/>
  <c r="E245" i="3"/>
  <c r="B246" i="3"/>
  <c r="C246" i="3"/>
  <c r="D246" i="3"/>
  <c r="E246" i="3"/>
  <c r="B247" i="3"/>
  <c r="C247" i="3"/>
  <c r="D247" i="3"/>
  <c r="E247" i="3"/>
  <c r="B248" i="3"/>
  <c r="C248" i="3"/>
  <c r="D248" i="3"/>
  <c r="E248" i="3"/>
  <c r="B249" i="3"/>
  <c r="C249" i="3"/>
  <c r="D249" i="3"/>
  <c r="E249" i="3"/>
  <c r="B250" i="3"/>
  <c r="C250" i="3"/>
  <c r="D250" i="3"/>
  <c r="E250" i="3"/>
  <c r="B251" i="3"/>
  <c r="C251" i="3"/>
  <c r="D251" i="3"/>
  <c r="E251" i="3"/>
  <c r="B252" i="3"/>
  <c r="C252" i="3"/>
  <c r="D252" i="3"/>
  <c r="E252" i="3"/>
  <c r="B253" i="3"/>
  <c r="C253" i="3"/>
  <c r="D253" i="3"/>
  <c r="E253" i="3"/>
  <c r="B254" i="3"/>
  <c r="C254" i="3"/>
  <c r="D254" i="3"/>
  <c r="E254" i="3"/>
  <c r="B255" i="3"/>
  <c r="C255" i="3"/>
  <c r="D255" i="3"/>
  <c r="E255" i="3"/>
  <c r="B256" i="3"/>
  <c r="C256" i="3"/>
  <c r="D256" i="3"/>
  <c r="E256" i="3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B272" i="3"/>
  <c r="C272" i="3"/>
  <c r="D272" i="3"/>
  <c r="E272" i="3"/>
  <c r="B273" i="3"/>
  <c r="C273" i="3"/>
  <c r="D273" i="3"/>
  <c r="E273" i="3"/>
  <c r="B274" i="3"/>
  <c r="C274" i="3"/>
  <c r="D274" i="3"/>
  <c r="E274" i="3"/>
  <c r="B275" i="3"/>
  <c r="C275" i="3"/>
  <c r="D275" i="3"/>
  <c r="E275" i="3"/>
  <c r="B276" i="3"/>
  <c r="C276" i="3"/>
  <c r="D276" i="3"/>
  <c r="E276" i="3"/>
  <c r="B277" i="3"/>
  <c r="C277" i="3"/>
  <c r="D277" i="3"/>
  <c r="E277" i="3"/>
  <c r="B278" i="3"/>
  <c r="C278" i="3"/>
  <c r="D278" i="3"/>
  <c r="E278" i="3"/>
  <c r="B279" i="3"/>
  <c r="C279" i="3"/>
  <c r="D279" i="3"/>
  <c r="E279" i="3"/>
  <c r="B280" i="3"/>
  <c r="C280" i="3"/>
  <c r="D280" i="3"/>
  <c r="E280" i="3"/>
  <c r="B281" i="3"/>
  <c r="C281" i="3"/>
  <c r="D281" i="3"/>
  <c r="E281" i="3"/>
  <c r="B282" i="3"/>
  <c r="C282" i="3"/>
  <c r="D282" i="3"/>
  <c r="E282" i="3"/>
  <c r="B283" i="3"/>
  <c r="C283" i="3"/>
  <c r="D283" i="3"/>
  <c r="E283" i="3"/>
  <c r="B284" i="3"/>
  <c r="C284" i="3"/>
  <c r="D284" i="3"/>
  <c r="E284" i="3"/>
  <c r="B285" i="3"/>
  <c r="C285" i="3"/>
  <c r="D285" i="3"/>
  <c r="E285" i="3"/>
  <c r="B286" i="3"/>
  <c r="C286" i="3"/>
  <c r="D286" i="3"/>
  <c r="E286" i="3"/>
  <c r="B287" i="3"/>
  <c r="C287" i="3"/>
  <c r="D287" i="3"/>
  <c r="E287" i="3"/>
  <c r="B288" i="3"/>
  <c r="C288" i="3"/>
  <c r="D288" i="3"/>
  <c r="E288" i="3"/>
  <c r="B289" i="3"/>
  <c r="C289" i="3"/>
  <c r="D289" i="3"/>
  <c r="E289" i="3"/>
  <c r="B290" i="3"/>
  <c r="C290" i="3"/>
  <c r="D290" i="3"/>
  <c r="E290" i="3"/>
  <c r="B291" i="3"/>
  <c r="C291" i="3"/>
  <c r="D291" i="3"/>
  <c r="E291" i="3"/>
  <c r="B292" i="3"/>
  <c r="C292" i="3"/>
  <c r="D292" i="3"/>
  <c r="E292" i="3"/>
  <c r="B293" i="3"/>
  <c r="C293" i="3"/>
  <c r="D293" i="3"/>
  <c r="E293" i="3"/>
  <c r="B294" i="3"/>
  <c r="C294" i="3"/>
  <c r="D294" i="3"/>
  <c r="E294" i="3"/>
  <c r="B295" i="3"/>
  <c r="C295" i="3"/>
  <c r="D295" i="3"/>
  <c r="E295" i="3"/>
  <c r="B296" i="3"/>
  <c r="C296" i="3"/>
  <c r="D296" i="3"/>
  <c r="E296" i="3"/>
  <c r="B297" i="3"/>
  <c r="C297" i="3"/>
  <c r="D297" i="3"/>
  <c r="E297" i="3"/>
  <c r="B298" i="3"/>
  <c r="C298" i="3"/>
  <c r="D298" i="3"/>
  <c r="E298" i="3"/>
  <c r="B299" i="3"/>
  <c r="C299" i="3"/>
  <c r="D299" i="3"/>
  <c r="E299" i="3"/>
  <c r="B300" i="3"/>
  <c r="C300" i="3"/>
  <c r="D300" i="3"/>
  <c r="E300" i="3"/>
  <c r="B301" i="3"/>
  <c r="C301" i="3"/>
  <c r="D301" i="3"/>
  <c r="E301" i="3"/>
  <c r="B302" i="3"/>
  <c r="C302" i="3"/>
  <c r="D302" i="3"/>
  <c r="E302" i="3"/>
  <c r="B303" i="3"/>
  <c r="C303" i="3"/>
  <c r="D303" i="3"/>
  <c r="E303" i="3"/>
  <c r="B304" i="3"/>
  <c r="C304" i="3"/>
  <c r="D304" i="3"/>
  <c r="E304" i="3"/>
  <c r="B305" i="3"/>
  <c r="C305" i="3"/>
  <c r="D305" i="3"/>
  <c r="E305" i="3"/>
  <c r="B306" i="3"/>
  <c r="C306" i="3"/>
  <c r="D306" i="3"/>
  <c r="E306" i="3"/>
  <c r="B307" i="3"/>
  <c r="C307" i="3"/>
  <c r="D307" i="3"/>
  <c r="E307" i="3"/>
  <c r="B308" i="3"/>
  <c r="C308" i="3"/>
  <c r="D308" i="3"/>
  <c r="E308" i="3"/>
  <c r="B309" i="3"/>
  <c r="C309" i="3"/>
  <c r="D309" i="3"/>
  <c r="E309" i="3"/>
  <c r="B310" i="3"/>
  <c r="C310" i="3"/>
  <c r="D310" i="3"/>
  <c r="E310" i="3"/>
  <c r="B311" i="3"/>
  <c r="C311" i="3"/>
  <c r="D311" i="3"/>
  <c r="E311" i="3"/>
  <c r="B312" i="3"/>
  <c r="C312" i="3"/>
  <c r="D312" i="3"/>
  <c r="E312" i="3"/>
  <c r="B313" i="3"/>
  <c r="C313" i="3"/>
  <c r="D313" i="3"/>
  <c r="E313" i="3"/>
  <c r="B314" i="3"/>
  <c r="C314" i="3"/>
  <c r="D314" i="3"/>
  <c r="E314" i="3"/>
  <c r="B315" i="3"/>
  <c r="C315" i="3"/>
  <c r="D315" i="3"/>
  <c r="E315" i="3"/>
  <c r="B316" i="3"/>
  <c r="C316" i="3"/>
  <c r="D316" i="3"/>
  <c r="E316" i="3"/>
  <c r="B317" i="3"/>
  <c r="C317" i="3"/>
  <c r="D317" i="3"/>
  <c r="E317" i="3"/>
  <c r="B318" i="3"/>
  <c r="C318" i="3"/>
  <c r="D318" i="3"/>
  <c r="E318" i="3"/>
  <c r="B319" i="3"/>
  <c r="C319" i="3"/>
  <c r="D319" i="3"/>
  <c r="E319" i="3"/>
  <c r="B320" i="3"/>
  <c r="C320" i="3"/>
  <c r="D320" i="3"/>
  <c r="E320" i="3"/>
  <c r="B321" i="3"/>
  <c r="C321" i="3"/>
  <c r="D321" i="3"/>
  <c r="E321" i="3"/>
  <c r="B322" i="3"/>
  <c r="C322" i="3"/>
  <c r="D322" i="3"/>
  <c r="E322" i="3"/>
  <c r="B323" i="3"/>
  <c r="C323" i="3"/>
  <c r="D323" i="3"/>
  <c r="E323" i="3"/>
  <c r="B324" i="3"/>
  <c r="C324" i="3"/>
  <c r="D324" i="3"/>
  <c r="E324" i="3"/>
  <c r="B325" i="3"/>
  <c r="C325" i="3"/>
  <c r="D325" i="3"/>
  <c r="E325" i="3"/>
  <c r="B326" i="3"/>
  <c r="C326" i="3"/>
  <c r="D326" i="3"/>
  <c r="E326" i="3"/>
  <c r="B327" i="3"/>
  <c r="C327" i="3"/>
  <c r="D327" i="3"/>
  <c r="E327" i="3"/>
  <c r="B328" i="3"/>
  <c r="C328" i="3"/>
  <c r="D328" i="3"/>
  <c r="E328" i="3"/>
  <c r="B329" i="3"/>
  <c r="C329" i="3"/>
  <c r="D329" i="3"/>
  <c r="E329" i="3"/>
  <c r="B330" i="3"/>
  <c r="C330" i="3"/>
  <c r="D330" i="3"/>
  <c r="E330" i="3"/>
  <c r="B331" i="3"/>
  <c r="C331" i="3"/>
  <c r="D331" i="3"/>
  <c r="E331" i="3"/>
  <c r="B332" i="3"/>
  <c r="C332" i="3"/>
  <c r="D332" i="3"/>
  <c r="E332" i="3"/>
  <c r="B333" i="3"/>
  <c r="C333" i="3"/>
  <c r="D333" i="3"/>
  <c r="E333" i="3"/>
  <c r="B334" i="3"/>
  <c r="C334" i="3"/>
  <c r="D334" i="3"/>
  <c r="E334" i="3"/>
  <c r="B335" i="3"/>
  <c r="C335" i="3"/>
  <c r="D335" i="3"/>
  <c r="E335" i="3"/>
  <c r="B336" i="3"/>
  <c r="C336" i="3"/>
  <c r="D336" i="3"/>
  <c r="E336" i="3"/>
  <c r="B337" i="3"/>
  <c r="C337" i="3"/>
  <c r="D337" i="3"/>
  <c r="E337" i="3"/>
  <c r="B338" i="3"/>
  <c r="C338" i="3"/>
  <c r="D338" i="3"/>
  <c r="E338" i="3"/>
  <c r="B339" i="3"/>
  <c r="C339" i="3"/>
  <c r="D339" i="3"/>
  <c r="E339" i="3"/>
  <c r="B340" i="3"/>
  <c r="C340" i="3"/>
  <c r="D340" i="3"/>
  <c r="E340" i="3"/>
  <c r="B341" i="3"/>
  <c r="C341" i="3"/>
  <c r="D341" i="3"/>
  <c r="E341" i="3"/>
  <c r="B342" i="3"/>
  <c r="C342" i="3"/>
  <c r="D342" i="3"/>
  <c r="E342" i="3"/>
  <c r="B343" i="3"/>
  <c r="C343" i="3"/>
  <c r="D343" i="3"/>
  <c r="E343" i="3"/>
  <c r="B344" i="3"/>
  <c r="C344" i="3"/>
  <c r="D344" i="3"/>
  <c r="E344" i="3"/>
  <c r="B345" i="3"/>
  <c r="C345" i="3"/>
  <c r="D345" i="3"/>
  <c r="E345" i="3"/>
  <c r="B346" i="3"/>
  <c r="C346" i="3"/>
  <c r="D346" i="3"/>
  <c r="E346" i="3"/>
  <c r="B347" i="3"/>
  <c r="C347" i="3"/>
  <c r="D347" i="3"/>
  <c r="E347" i="3"/>
  <c r="B348" i="3"/>
  <c r="C348" i="3"/>
  <c r="D348" i="3"/>
  <c r="E348" i="3"/>
  <c r="B349" i="3"/>
  <c r="C349" i="3"/>
  <c r="D349" i="3"/>
  <c r="E349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B355" i="3"/>
  <c r="C355" i="3"/>
  <c r="D355" i="3"/>
  <c r="E355" i="3"/>
  <c r="B356" i="3"/>
  <c r="C356" i="3"/>
  <c r="D356" i="3"/>
  <c r="E356" i="3"/>
  <c r="B357" i="3"/>
  <c r="C357" i="3"/>
  <c r="D357" i="3"/>
  <c r="E357" i="3"/>
  <c r="B358" i="3"/>
  <c r="C358" i="3"/>
  <c r="D358" i="3"/>
  <c r="E358" i="3"/>
  <c r="B359" i="3"/>
  <c r="C359" i="3"/>
  <c r="D359" i="3"/>
  <c r="E359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B363" i="3"/>
  <c r="C363" i="3"/>
  <c r="D363" i="3"/>
  <c r="E363" i="3"/>
  <c r="B364" i="3"/>
  <c r="C364" i="3"/>
  <c r="D364" i="3"/>
  <c r="E364" i="3"/>
  <c r="B365" i="3"/>
  <c r="C365" i="3"/>
  <c r="D365" i="3"/>
  <c r="E365" i="3"/>
  <c r="B366" i="3"/>
  <c r="C366" i="3"/>
  <c r="D366" i="3"/>
  <c r="E366" i="3"/>
  <c r="B367" i="3"/>
  <c r="C367" i="3"/>
  <c r="D367" i="3"/>
  <c r="E367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B371" i="3"/>
  <c r="C371" i="3"/>
  <c r="D371" i="3"/>
  <c r="E371" i="3"/>
  <c r="B372" i="3"/>
  <c r="C372" i="3"/>
  <c r="D372" i="3"/>
  <c r="E372" i="3"/>
  <c r="B373" i="3"/>
  <c r="C373" i="3"/>
  <c r="D373" i="3"/>
  <c r="E373" i="3"/>
  <c r="B374" i="3"/>
  <c r="C374" i="3"/>
  <c r="D374" i="3"/>
  <c r="E374" i="3"/>
  <c r="B375" i="3"/>
  <c r="C375" i="3"/>
  <c r="D375" i="3"/>
  <c r="E375" i="3"/>
  <c r="B376" i="3"/>
  <c r="C376" i="3"/>
  <c r="D376" i="3"/>
  <c r="E376" i="3"/>
  <c r="B377" i="3"/>
  <c r="C377" i="3"/>
  <c r="D377" i="3"/>
  <c r="E377" i="3"/>
  <c r="B378" i="3"/>
  <c r="C378" i="3"/>
  <c r="D378" i="3"/>
  <c r="E378" i="3"/>
  <c r="B379" i="3"/>
  <c r="C379" i="3"/>
  <c r="D379" i="3"/>
  <c r="E379" i="3"/>
  <c r="B380" i="3"/>
  <c r="C380" i="3"/>
  <c r="D380" i="3"/>
  <c r="E380" i="3"/>
  <c r="B381" i="3"/>
  <c r="C381" i="3"/>
  <c r="D381" i="3"/>
  <c r="E381" i="3"/>
  <c r="B382" i="3"/>
  <c r="C382" i="3"/>
  <c r="D382" i="3"/>
  <c r="E382" i="3"/>
  <c r="B383" i="3"/>
  <c r="C383" i="3"/>
  <c r="D383" i="3"/>
  <c r="E383" i="3"/>
  <c r="B384" i="3"/>
  <c r="C384" i="3"/>
  <c r="D384" i="3"/>
  <c r="E384" i="3"/>
  <c r="B385" i="3"/>
  <c r="C385" i="3"/>
  <c r="D385" i="3"/>
  <c r="E385" i="3"/>
  <c r="B386" i="3"/>
  <c r="C386" i="3"/>
  <c r="D386" i="3"/>
  <c r="E386" i="3"/>
  <c r="B387" i="3"/>
  <c r="C387" i="3"/>
  <c r="D387" i="3"/>
  <c r="E387" i="3"/>
  <c r="B388" i="3"/>
  <c r="C388" i="3"/>
  <c r="D388" i="3"/>
  <c r="E388" i="3"/>
  <c r="B389" i="3"/>
  <c r="C389" i="3"/>
  <c r="D389" i="3"/>
  <c r="E389" i="3"/>
  <c r="B390" i="3"/>
  <c r="C390" i="3"/>
  <c r="D390" i="3"/>
  <c r="E390" i="3"/>
  <c r="B391" i="3"/>
  <c r="C391" i="3"/>
  <c r="D391" i="3"/>
  <c r="E391" i="3"/>
  <c r="B392" i="3"/>
  <c r="C392" i="3"/>
  <c r="D392" i="3"/>
  <c r="E392" i="3"/>
  <c r="B393" i="3"/>
  <c r="C393" i="3"/>
  <c r="D393" i="3"/>
  <c r="E393" i="3"/>
  <c r="B394" i="3"/>
  <c r="C394" i="3"/>
  <c r="D394" i="3"/>
  <c r="E394" i="3"/>
  <c r="B395" i="3"/>
  <c r="C395" i="3"/>
  <c r="D395" i="3"/>
  <c r="E395" i="3"/>
  <c r="B396" i="3"/>
  <c r="C396" i="3"/>
  <c r="D396" i="3"/>
  <c r="E396" i="3"/>
  <c r="B397" i="3"/>
  <c r="C397" i="3"/>
  <c r="D397" i="3"/>
  <c r="E397" i="3"/>
  <c r="B398" i="3"/>
  <c r="C398" i="3"/>
  <c r="D398" i="3"/>
  <c r="E398" i="3"/>
  <c r="B399" i="3"/>
  <c r="C399" i="3"/>
  <c r="D399" i="3"/>
  <c r="E399" i="3"/>
  <c r="B400" i="3"/>
  <c r="C400" i="3"/>
  <c r="D400" i="3"/>
  <c r="E400" i="3"/>
  <c r="B401" i="3"/>
  <c r="C401" i="3"/>
  <c r="D401" i="3"/>
  <c r="E401" i="3"/>
  <c r="B402" i="3"/>
  <c r="C402" i="3"/>
  <c r="D402" i="3"/>
  <c r="E402" i="3"/>
  <c r="B403" i="3"/>
  <c r="C403" i="3"/>
  <c r="D403" i="3"/>
  <c r="E403" i="3"/>
  <c r="B404" i="3"/>
  <c r="C404" i="3"/>
  <c r="D404" i="3"/>
  <c r="E404" i="3"/>
  <c r="B405" i="3"/>
  <c r="C405" i="3"/>
  <c r="D405" i="3"/>
  <c r="E405" i="3"/>
  <c r="B406" i="3"/>
  <c r="C406" i="3"/>
  <c r="D406" i="3"/>
  <c r="E406" i="3"/>
  <c r="B407" i="3"/>
  <c r="C407" i="3"/>
  <c r="D407" i="3"/>
  <c r="E407" i="3"/>
  <c r="B408" i="3"/>
  <c r="C408" i="3"/>
  <c r="D408" i="3"/>
  <c r="E408" i="3"/>
  <c r="B409" i="3"/>
  <c r="C409" i="3"/>
  <c r="D409" i="3"/>
  <c r="E409" i="3"/>
  <c r="B410" i="3"/>
  <c r="C410" i="3"/>
  <c r="D410" i="3"/>
  <c r="E410" i="3"/>
  <c r="B411" i="3"/>
  <c r="C411" i="3"/>
  <c r="D411" i="3"/>
  <c r="E411" i="3"/>
  <c r="B412" i="3"/>
  <c r="C412" i="3"/>
  <c r="D412" i="3"/>
  <c r="E412" i="3"/>
  <c r="B413" i="3"/>
  <c r="C413" i="3"/>
  <c r="D413" i="3"/>
  <c r="E413" i="3"/>
  <c r="B414" i="3"/>
  <c r="C414" i="3"/>
  <c r="D414" i="3"/>
  <c r="E414" i="3"/>
  <c r="B415" i="3"/>
  <c r="C415" i="3"/>
  <c r="D415" i="3"/>
  <c r="E415" i="3"/>
  <c r="B416" i="3"/>
  <c r="C416" i="3"/>
  <c r="D416" i="3"/>
  <c r="E416" i="3"/>
  <c r="B417" i="3"/>
  <c r="C417" i="3"/>
  <c r="D417" i="3"/>
  <c r="E417" i="3"/>
  <c r="B418" i="3"/>
  <c r="C418" i="3"/>
  <c r="D418" i="3"/>
  <c r="E418" i="3"/>
  <c r="B419" i="3"/>
  <c r="C419" i="3"/>
  <c r="D419" i="3"/>
  <c r="E419" i="3"/>
  <c r="B420" i="3"/>
  <c r="C420" i="3"/>
  <c r="D420" i="3"/>
  <c r="E420" i="3"/>
  <c r="B421" i="3"/>
  <c r="C421" i="3"/>
  <c r="D421" i="3"/>
  <c r="E421" i="3"/>
  <c r="B422" i="3"/>
  <c r="C422" i="3"/>
  <c r="D422" i="3"/>
  <c r="E422" i="3"/>
  <c r="B423" i="3"/>
  <c r="C423" i="3"/>
  <c r="D423" i="3"/>
  <c r="E423" i="3"/>
  <c r="B424" i="3"/>
  <c r="C424" i="3"/>
  <c r="D424" i="3"/>
  <c r="E424" i="3"/>
  <c r="B425" i="3"/>
  <c r="C425" i="3"/>
  <c r="D425" i="3"/>
  <c r="E425" i="3"/>
  <c r="B426" i="3"/>
  <c r="C426" i="3"/>
  <c r="D426" i="3"/>
  <c r="E426" i="3"/>
  <c r="B427" i="3"/>
  <c r="C427" i="3"/>
  <c r="D427" i="3"/>
  <c r="E427" i="3"/>
  <c r="B428" i="3"/>
  <c r="C428" i="3"/>
  <c r="D428" i="3"/>
  <c r="E428" i="3"/>
  <c r="B429" i="3"/>
  <c r="C429" i="3"/>
  <c r="D429" i="3"/>
  <c r="E429" i="3"/>
  <c r="B430" i="3"/>
  <c r="C430" i="3"/>
  <c r="D430" i="3"/>
  <c r="E430" i="3"/>
  <c r="B431" i="3"/>
  <c r="C431" i="3"/>
  <c r="D431" i="3"/>
  <c r="E431" i="3"/>
  <c r="B432" i="3"/>
  <c r="C432" i="3"/>
  <c r="D432" i="3"/>
  <c r="E432" i="3"/>
  <c r="B433" i="3"/>
  <c r="C433" i="3"/>
  <c r="D433" i="3"/>
  <c r="E433" i="3"/>
  <c r="B434" i="3"/>
  <c r="C434" i="3"/>
  <c r="D434" i="3"/>
  <c r="E434" i="3"/>
  <c r="B435" i="3"/>
  <c r="C435" i="3"/>
  <c r="D435" i="3"/>
  <c r="E435" i="3"/>
  <c r="B436" i="3"/>
  <c r="C436" i="3"/>
  <c r="D436" i="3"/>
  <c r="E436" i="3"/>
  <c r="B437" i="3"/>
  <c r="C437" i="3"/>
  <c r="D437" i="3"/>
  <c r="E437" i="3"/>
  <c r="B438" i="3"/>
  <c r="C438" i="3"/>
  <c r="D438" i="3"/>
  <c r="E438" i="3"/>
  <c r="B439" i="3"/>
  <c r="C439" i="3"/>
  <c r="D439" i="3"/>
  <c r="E439" i="3"/>
  <c r="B440" i="3"/>
  <c r="C440" i="3"/>
  <c r="D440" i="3"/>
  <c r="E440" i="3"/>
  <c r="B441" i="3"/>
  <c r="C441" i="3"/>
  <c r="D441" i="3"/>
  <c r="E441" i="3"/>
  <c r="B442" i="3"/>
  <c r="C442" i="3"/>
  <c r="D442" i="3"/>
  <c r="E442" i="3"/>
  <c r="B443" i="3"/>
  <c r="C443" i="3"/>
  <c r="D443" i="3"/>
  <c r="E443" i="3"/>
  <c r="B444" i="3"/>
  <c r="C444" i="3"/>
  <c r="D444" i="3"/>
  <c r="E444" i="3"/>
  <c r="B445" i="3"/>
  <c r="C445" i="3"/>
  <c r="D445" i="3"/>
  <c r="E445" i="3"/>
  <c r="B446" i="3"/>
  <c r="C446" i="3"/>
  <c r="D446" i="3"/>
  <c r="E446" i="3"/>
  <c r="B447" i="3"/>
  <c r="C447" i="3"/>
  <c r="D447" i="3"/>
  <c r="E447" i="3"/>
  <c r="B448" i="3"/>
  <c r="C448" i="3"/>
  <c r="D448" i="3"/>
  <c r="E448" i="3"/>
  <c r="B449" i="3"/>
  <c r="C449" i="3"/>
  <c r="D449" i="3"/>
  <c r="E449" i="3"/>
  <c r="B450" i="3"/>
  <c r="C450" i="3"/>
  <c r="D450" i="3"/>
  <c r="E450" i="3"/>
  <c r="B451" i="3"/>
  <c r="C451" i="3"/>
  <c r="D451" i="3"/>
  <c r="E451" i="3"/>
  <c r="B452" i="3"/>
  <c r="C452" i="3"/>
  <c r="D452" i="3"/>
  <c r="E452" i="3"/>
  <c r="B453" i="3"/>
  <c r="C453" i="3"/>
  <c r="D453" i="3"/>
  <c r="E453" i="3"/>
  <c r="B454" i="3"/>
  <c r="C454" i="3"/>
  <c r="D454" i="3"/>
  <c r="E454" i="3"/>
  <c r="B455" i="3"/>
  <c r="C455" i="3"/>
  <c r="D455" i="3"/>
  <c r="E455" i="3"/>
  <c r="B456" i="3"/>
  <c r="C456" i="3"/>
  <c r="D456" i="3"/>
  <c r="E456" i="3"/>
  <c r="B457" i="3"/>
  <c r="C457" i="3"/>
  <c r="D457" i="3"/>
  <c r="E457" i="3"/>
  <c r="B458" i="3"/>
  <c r="C458" i="3"/>
  <c r="D458" i="3"/>
  <c r="E458" i="3"/>
  <c r="B459" i="3"/>
  <c r="C459" i="3"/>
  <c r="D459" i="3"/>
  <c r="E459" i="3"/>
  <c r="B460" i="3"/>
  <c r="C460" i="3"/>
  <c r="D460" i="3"/>
  <c r="E460" i="3"/>
  <c r="B461" i="3"/>
  <c r="C461" i="3"/>
  <c r="D461" i="3"/>
  <c r="E461" i="3"/>
  <c r="B462" i="3"/>
  <c r="C462" i="3"/>
  <c r="D462" i="3"/>
  <c r="E462" i="3"/>
  <c r="B463" i="3"/>
  <c r="C463" i="3"/>
  <c r="D463" i="3"/>
  <c r="E463" i="3"/>
  <c r="B464" i="3"/>
  <c r="C464" i="3"/>
  <c r="D464" i="3"/>
  <c r="E464" i="3"/>
  <c r="B465" i="3"/>
  <c r="C465" i="3"/>
  <c r="D465" i="3"/>
  <c r="E465" i="3"/>
  <c r="B466" i="3"/>
  <c r="C466" i="3"/>
  <c r="D466" i="3"/>
  <c r="E466" i="3"/>
  <c r="B467" i="3"/>
  <c r="C467" i="3"/>
  <c r="D467" i="3"/>
  <c r="E467" i="3"/>
  <c r="B468" i="3"/>
  <c r="C468" i="3"/>
  <c r="D468" i="3"/>
  <c r="E468" i="3"/>
  <c r="B469" i="3"/>
  <c r="C469" i="3"/>
  <c r="D469" i="3"/>
  <c r="E469" i="3"/>
  <c r="B470" i="3"/>
  <c r="C470" i="3"/>
  <c r="D470" i="3"/>
  <c r="E470" i="3"/>
  <c r="B471" i="3"/>
  <c r="C471" i="3"/>
  <c r="D471" i="3"/>
  <c r="E471" i="3"/>
  <c r="B472" i="3"/>
  <c r="C472" i="3"/>
  <c r="D472" i="3"/>
  <c r="E472" i="3"/>
  <c r="B473" i="3"/>
  <c r="C473" i="3"/>
  <c r="D473" i="3"/>
  <c r="E473" i="3"/>
  <c r="B474" i="3"/>
  <c r="C474" i="3"/>
  <c r="D474" i="3"/>
  <c r="E474" i="3"/>
  <c r="B475" i="3"/>
  <c r="C475" i="3"/>
  <c r="D475" i="3"/>
  <c r="E475" i="3"/>
  <c r="B476" i="3"/>
  <c r="C476" i="3"/>
  <c r="D476" i="3"/>
  <c r="E476" i="3"/>
  <c r="B477" i="3"/>
  <c r="C477" i="3"/>
  <c r="D477" i="3"/>
  <c r="E477" i="3"/>
  <c r="B478" i="3"/>
  <c r="C478" i="3"/>
  <c r="D478" i="3"/>
  <c r="E478" i="3"/>
  <c r="B479" i="3"/>
  <c r="C479" i="3"/>
  <c r="D479" i="3"/>
  <c r="E479" i="3"/>
  <c r="B480" i="3"/>
  <c r="C480" i="3"/>
  <c r="D480" i="3"/>
  <c r="E480" i="3"/>
  <c r="B481" i="3"/>
  <c r="C481" i="3"/>
  <c r="D481" i="3"/>
  <c r="E481" i="3"/>
  <c r="B482" i="3"/>
  <c r="C482" i="3"/>
  <c r="D482" i="3"/>
  <c r="E482" i="3"/>
  <c r="B483" i="3"/>
  <c r="C483" i="3"/>
  <c r="D483" i="3"/>
  <c r="E483" i="3"/>
  <c r="B484" i="3"/>
  <c r="C484" i="3"/>
  <c r="D484" i="3"/>
  <c r="E484" i="3"/>
  <c r="B485" i="3"/>
  <c r="C485" i="3"/>
  <c r="D485" i="3"/>
  <c r="E485" i="3"/>
  <c r="B486" i="3"/>
  <c r="C486" i="3"/>
  <c r="D486" i="3"/>
  <c r="E486" i="3"/>
  <c r="B487" i="3"/>
  <c r="C487" i="3"/>
  <c r="D487" i="3"/>
  <c r="E487" i="3"/>
  <c r="B488" i="3"/>
  <c r="C488" i="3"/>
  <c r="D488" i="3"/>
  <c r="E488" i="3"/>
  <c r="B489" i="3"/>
  <c r="C489" i="3"/>
  <c r="D489" i="3"/>
  <c r="E489" i="3"/>
  <c r="B490" i="3"/>
  <c r="C490" i="3"/>
  <c r="D490" i="3"/>
  <c r="E490" i="3"/>
  <c r="B491" i="3"/>
  <c r="C491" i="3"/>
  <c r="D491" i="3"/>
  <c r="E491" i="3"/>
  <c r="B492" i="3"/>
  <c r="C492" i="3"/>
  <c r="D492" i="3"/>
  <c r="E492" i="3"/>
  <c r="B493" i="3"/>
  <c r="C493" i="3"/>
  <c r="D493" i="3"/>
  <c r="E493" i="3"/>
  <c r="B494" i="3"/>
  <c r="C494" i="3"/>
  <c r="D494" i="3"/>
  <c r="E494" i="3"/>
  <c r="B495" i="3"/>
  <c r="C495" i="3"/>
  <c r="D495" i="3"/>
  <c r="E495" i="3"/>
  <c r="B496" i="3"/>
  <c r="C496" i="3"/>
  <c r="D496" i="3"/>
  <c r="E496" i="3"/>
  <c r="B497" i="3"/>
  <c r="C497" i="3"/>
  <c r="D497" i="3"/>
  <c r="E497" i="3"/>
  <c r="B498" i="3"/>
  <c r="C498" i="3"/>
  <c r="D498" i="3"/>
  <c r="E498" i="3"/>
  <c r="B499" i="3"/>
  <c r="C499" i="3"/>
  <c r="D499" i="3"/>
  <c r="E499" i="3"/>
  <c r="B500" i="3"/>
  <c r="C500" i="3"/>
  <c r="D500" i="3"/>
  <c r="E500" i="3"/>
  <c r="B501" i="3"/>
  <c r="C501" i="3"/>
  <c r="D501" i="3"/>
  <c r="E501" i="3"/>
  <c r="B502" i="3"/>
  <c r="C502" i="3"/>
  <c r="D502" i="3"/>
  <c r="E502" i="3"/>
  <c r="B503" i="3"/>
  <c r="C503" i="3"/>
  <c r="D503" i="3"/>
  <c r="E503" i="3"/>
  <c r="B504" i="3"/>
  <c r="C504" i="3"/>
  <c r="D504" i="3"/>
  <c r="E504" i="3"/>
  <c r="B505" i="3"/>
  <c r="C505" i="3"/>
  <c r="D505" i="3"/>
  <c r="E505" i="3"/>
  <c r="B506" i="3"/>
  <c r="C506" i="3"/>
  <c r="D506" i="3"/>
  <c r="E506" i="3"/>
  <c r="B507" i="3"/>
  <c r="C507" i="3"/>
  <c r="D507" i="3"/>
  <c r="E507" i="3"/>
  <c r="B508" i="3"/>
  <c r="C508" i="3"/>
  <c r="D508" i="3"/>
  <c r="E508" i="3"/>
  <c r="B509" i="3"/>
  <c r="C509" i="3"/>
  <c r="D509" i="3"/>
  <c r="E509" i="3"/>
  <c r="B510" i="3"/>
  <c r="C510" i="3"/>
  <c r="D510" i="3"/>
  <c r="E510" i="3"/>
  <c r="B511" i="3"/>
  <c r="C511" i="3"/>
  <c r="D511" i="3"/>
  <c r="E511" i="3"/>
  <c r="B512" i="3"/>
  <c r="C512" i="3"/>
  <c r="D512" i="3"/>
  <c r="E512" i="3"/>
  <c r="B513" i="3"/>
  <c r="C513" i="3"/>
  <c r="D513" i="3"/>
  <c r="E513" i="3"/>
  <c r="B514" i="3"/>
  <c r="C514" i="3"/>
  <c r="D514" i="3"/>
  <c r="E514" i="3"/>
  <c r="B515" i="3"/>
  <c r="C515" i="3"/>
  <c r="D515" i="3"/>
  <c r="E515" i="3"/>
  <c r="B516" i="3"/>
  <c r="C516" i="3"/>
  <c r="D516" i="3"/>
  <c r="E516" i="3"/>
  <c r="B517" i="3"/>
  <c r="C517" i="3"/>
  <c r="D517" i="3"/>
  <c r="E517" i="3"/>
  <c r="B518" i="3"/>
  <c r="C518" i="3"/>
  <c r="D518" i="3"/>
  <c r="E518" i="3"/>
  <c r="B519" i="3"/>
  <c r="C519" i="3"/>
  <c r="D519" i="3"/>
  <c r="E519" i="3"/>
  <c r="B520" i="3"/>
  <c r="C520" i="3"/>
  <c r="D520" i="3"/>
  <c r="E520" i="3"/>
  <c r="B521" i="3"/>
  <c r="C521" i="3"/>
  <c r="D521" i="3"/>
  <c r="E521" i="3"/>
  <c r="B522" i="3"/>
  <c r="C522" i="3"/>
  <c r="D522" i="3"/>
  <c r="E522" i="3"/>
  <c r="B523" i="3"/>
  <c r="C523" i="3"/>
  <c r="D523" i="3"/>
  <c r="E523" i="3"/>
  <c r="B524" i="3"/>
  <c r="C524" i="3"/>
  <c r="D524" i="3"/>
  <c r="E524" i="3"/>
  <c r="B525" i="3"/>
  <c r="C525" i="3"/>
  <c r="D525" i="3"/>
  <c r="E525" i="3"/>
  <c r="B526" i="3"/>
  <c r="C526" i="3"/>
  <c r="D526" i="3"/>
  <c r="E526" i="3"/>
  <c r="B527" i="3"/>
  <c r="C527" i="3"/>
  <c r="D527" i="3"/>
  <c r="E527" i="3"/>
  <c r="B528" i="3"/>
  <c r="C528" i="3"/>
  <c r="D528" i="3"/>
  <c r="E528" i="3"/>
  <c r="B529" i="3"/>
  <c r="C529" i="3"/>
  <c r="D529" i="3"/>
  <c r="E529" i="3"/>
  <c r="B530" i="3"/>
  <c r="C530" i="3"/>
  <c r="D530" i="3"/>
  <c r="E530" i="3"/>
  <c r="B531" i="3"/>
  <c r="C531" i="3"/>
  <c r="D531" i="3"/>
  <c r="E531" i="3"/>
  <c r="B532" i="3"/>
  <c r="C532" i="3"/>
  <c r="D532" i="3"/>
  <c r="E532" i="3"/>
  <c r="B533" i="3"/>
  <c r="C533" i="3"/>
  <c r="D533" i="3"/>
  <c r="E533" i="3"/>
  <c r="B534" i="3"/>
  <c r="C534" i="3"/>
  <c r="D534" i="3"/>
  <c r="E534" i="3"/>
  <c r="B535" i="3"/>
  <c r="C535" i="3"/>
  <c r="D535" i="3"/>
  <c r="E535" i="3"/>
  <c r="B536" i="3"/>
  <c r="C536" i="3"/>
  <c r="D536" i="3"/>
  <c r="E536" i="3"/>
  <c r="B537" i="3"/>
  <c r="C537" i="3"/>
  <c r="D537" i="3"/>
  <c r="E537" i="3"/>
  <c r="B538" i="3"/>
  <c r="C538" i="3"/>
  <c r="D538" i="3"/>
  <c r="E538" i="3"/>
  <c r="B539" i="3"/>
  <c r="C539" i="3"/>
  <c r="D539" i="3"/>
  <c r="E539" i="3"/>
  <c r="B540" i="3"/>
  <c r="C540" i="3"/>
  <c r="D540" i="3"/>
  <c r="E540" i="3"/>
  <c r="B541" i="3"/>
  <c r="C541" i="3"/>
  <c r="D541" i="3"/>
  <c r="E541" i="3"/>
  <c r="B542" i="3"/>
  <c r="C542" i="3"/>
  <c r="D542" i="3"/>
  <c r="E542" i="3"/>
  <c r="B543" i="3"/>
  <c r="C543" i="3"/>
  <c r="D543" i="3"/>
  <c r="E543" i="3"/>
  <c r="B544" i="3"/>
  <c r="C544" i="3"/>
  <c r="D544" i="3"/>
  <c r="E544" i="3"/>
  <c r="B545" i="3"/>
  <c r="C545" i="3"/>
  <c r="D545" i="3"/>
  <c r="E545" i="3"/>
  <c r="B546" i="3"/>
  <c r="C546" i="3"/>
  <c r="D546" i="3"/>
  <c r="E546" i="3"/>
  <c r="B547" i="3"/>
  <c r="C547" i="3"/>
  <c r="D547" i="3"/>
  <c r="E547" i="3"/>
  <c r="B548" i="3"/>
  <c r="C548" i="3"/>
  <c r="D548" i="3"/>
  <c r="E548" i="3"/>
  <c r="B549" i="3"/>
  <c r="C549" i="3"/>
  <c r="D549" i="3"/>
  <c r="E549" i="3"/>
  <c r="B550" i="3"/>
  <c r="C550" i="3"/>
  <c r="D550" i="3"/>
  <c r="E550" i="3"/>
  <c r="B551" i="3"/>
  <c r="C551" i="3"/>
  <c r="D551" i="3"/>
  <c r="E551" i="3"/>
  <c r="B552" i="3"/>
  <c r="C552" i="3"/>
  <c r="D552" i="3"/>
  <c r="E552" i="3"/>
  <c r="B553" i="3"/>
  <c r="C553" i="3"/>
  <c r="D553" i="3"/>
  <c r="E553" i="3"/>
  <c r="B554" i="3"/>
  <c r="C554" i="3"/>
  <c r="D554" i="3"/>
  <c r="E554" i="3"/>
  <c r="B555" i="3"/>
  <c r="C555" i="3"/>
  <c r="D555" i="3"/>
  <c r="E555" i="3"/>
  <c r="B556" i="3"/>
  <c r="C556" i="3"/>
  <c r="D556" i="3"/>
  <c r="E556" i="3"/>
  <c r="B557" i="3"/>
  <c r="C557" i="3"/>
  <c r="D557" i="3"/>
  <c r="E557" i="3"/>
  <c r="B558" i="3"/>
  <c r="C558" i="3"/>
  <c r="D558" i="3"/>
  <c r="E558" i="3"/>
  <c r="B559" i="3"/>
  <c r="C559" i="3"/>
  <c r="D559" i="3"/>
  <c r="E559" i="3"/>
  <c r="B560" i="3"/>
  <c r="C560" i="3"/>
  <c r="D560" i="3"/>
  <c r="E560" i="3"/>
  <c r="B561" i="3"/>
  <c r="C561" i="3"/>
  <c r="D561" i="3"/>
  <c r="E561" i="3"/>
  <c r="B562" i="3"/>
  <c r="C562" i="3"/>
  <c r="D562" i="3"/>
  <c r="E562" i="3"/>
  <c r="B563" i="3"/>
  <c r="C563" i="3"/>
  <c r="D563" i="3"/>
  <c r="E563" i="3"/>
  <c r="B564" i="3"/>
  <c r="C564" i="3"/>
  <c r="D564" i="3"/>
  <c r="E564" i="3"/>
  <c r="B565" i="3"/>
  <c r="C565" i="3"/>
  <c r="D565" i="3"/>
  <c r="E565" i="3"/>
  <c r="B566" i="3"/>
  <c r="C566" i="3"/>
  <c r="D566" i="3"/>
  <c r="E566" i="3"/>
  <c r="B567" i="3"/>
  <c r="C567" i="3"/>
  <c r="D567" i="3"/>
  <c r="E567" i="3"/>
  <c r="B568" i="3"/>
  <c r="C568" i="3"/>
  <c r="D568" i="3"/>
  <c r="E568" i="3"/>
  <c r="B569" i="3"/>
  <c r="C569" i="3"/>
  <c r="D569" i="3"/>
  <c r="E569" i="3"/>
  <c r="B570" i="3"/>
  <c r="C570" i="3"/>
  <c r="D570" i="3"/>
  <c r="E570" i="3"/>
  <c r="B571" i="3"/>
  <c r="C571" i="3"/>
  <c r="D571" i="3"/>
  <c r="E571" i="3"/>
  <c r="B572" i="3"/>
  <c r="C572" i="3"/>
  <c r="D572" i="3"/>
  <c r="E572" i="3"/>
  <c r="B573" i="3"/>
  <c r="C573" i="3"/>
  <c r="D573" i="3"/>
  <c r="E573" i="3"/>
  <c r="B574" i="3"/>
  <c r="C574" i="3"/>
  <c r="D574" i="3"/>
  <c r="E574" i="3"/>
  <c r="B575" i="3"/>
  <c r="C575" i="3"/>
  <c r="D575" i="3"/>
  <c r="E575" i="3"/>
  <c r="B576" i="3"/>
  <c r="C576" i="3"/>
  <c r="D576" i="3"/>
  <c r="E576" i="3"/>
  <c r="B577" i="3"/>
  <c r="C577" i="3"/>
  <c r="D577" i="3"/>
  <c r="E577" i="3"/>
  <c r="B578" i="3"/>
  <c r="C578" i="3"/>
  <c r="D578" i="3"/>
  <c r="E578" i="3"/>
  <c r="B579" i="3"/>
  <c r="C579" i="3"/>
  <c r="D579" i="3"/>
  <c r="E579" i="3"/>
  <c r="B580" i="3"/>
  <c r="C580" i="3"/>
  <c r="D580" i="3"/>
  <c r="E580" i="3"/>
  <c r="B581" i="3"/>
  <c r="C581" i="3"/>
  <c r="D581" i="3"/>
  <c r="E581" i="3"/>
  <c r="B582" i="3"/>
  <c r="C582" i="3"/>
  <c r="D582" i="3"/>
  <c r="E582" i="3"/>
  <c r="B583" i="3"/>
  <c r="C583" i="3"/>
  <c r="D583" i="3"/>
  <c r="E583" i="3"/>
  <c r="B584" i="3"/>
  <c r="C584" i="3"/>
  <c r="D584" i="3"/>
  <c r="E584" i="3"/>
  <c r="B585" i="3"/>
  <c r="C585" i="3"/>
  <c r="D585" i="3"/>
  <c r="E585" i="3"/>
  <c r="B586" i="3"/>
  <c r="C586" i="3"/>
  <c r="D586" i="3"/>
  <c r="E586" i="3"/>
  <c r="B587" i="3"/>
  <c r="C587" i="3"/>
  <c r="D587" i="3"/>
  <c r="E587" i="3"/>
  <c r="B588" i="3"/>
  <c r="C588" i="3"/>
  <c r="D588" i="3"/>
  <c r="E588" i="3"/>
  <c r="B589" i="3"/>
  <c r="C589" i="3"/>
  <c r="D589" i="3"/>
  <c r="E589" i="3"/>
  <c r="B590" i="3"/>
  <c r="C590" i="3"/>
  <c r="D590" i="3"/>
  <c r="E590" i="3"/>
  <c r="B591" i="3"/>
  <c r="C591" i="3"/>
  <c r="D591" i="3"/>
  <c r="E591" i="3"/>
  <c r="B592" i="3"/>
  <c r="C592" i="3"/>
  <c r="D592" i="3"/>
  <c r="E592" i="3"/>
  <c r="B593" i="3"/>
  <c r="C593" i="3"/>
  <c r="D593" i="3"/>
  <c r="E593" i="3"/>
  <c r="B594" i="3"/>
  <c r="C594" i="3"/>
  <c r="D594" i="3"/>
  <c r="E594" i="3"/>
  <c r="B595" i="3"/>
  <c r="C595" i="3"/>
  <c r="D595" i="3"/>
  <c r="E595" i="3"/>
  <c r="B596" i="3"/>
  <c r="C596" i="3"/>
  <c r="D596" i="3"/>
  <c r="E596" i="3"/>
  <c r="B597" i="3"/>
  <c r="C597" i="3"/>
  <c r="D597" i="3"/>
  <c r="E597" i="3"/>
  <c r="B598" i="3"/>
  <c r="C598" i="3"/>
  <c r="D598" i="3"/>
  <c r="E598" i="3"/>
  <c r="B599" i="3"/>
  <c r="C599" i="3"/>
  <c r="D599" i="3"/>
  <c r="E599" i="3"/>
  <c r="B600" i="3"/>
  <c r="C600" i="3"/>
  <c r="D600" i="3"/>
  <c r="E600" i="3"/>
  <c r="B601" i="3"/>
  <c r="C601" i="3"/>
  <c r="D601" i="3"/>
  <c r="E601" i="3"/>
  <c r="B602" i="3"/>
  <c r="C602" i="3"/>
  <c r="D602" i="3"/>
  <c r="E602" i="3"/>
  <c r="B603" i="3"/>
  <c r="C603" i="3"/>
  <c r="D603" i="3"/>
  <c r="E603" i="3"/>
  <c r="B604" i="3"/>
  <c r="C604" i="3"/>
  <c r="D604" i="3"/>
  <c r="E604" i="3"/>
  <c r="B605" i="3"/>
  <c r="C605" i="3"/>
  <c r="D605" i="3"/>
  <c r="E605" i="3"/>
  <c r="B606" i="3"/>
  <c r="C606" i="3"/>
  <c r="D606" i="3"/>
  <c r="E606" i="3"/>
  <c r="B607" i="3"/>
  <c r="C607" i="3"/>
  <c r="D607" i="3"/>
  <c r="E607" i="3"/>
  <c r="B608" i="3"/>
  <c r="C608" i="3"/>
  <c r="D608" i="3"/>
  <c r="E608" i="3"/>
  <c r="B609" i="3"/>
  <c r="C609" i="3"/>
  <c r="D609" i="3"/>
  <c r="E609" i="3"/>
  <c r="B610" i="3"/>
  <c r="C610" i="3"/>
  <c r="D610" i="3"/>
  <c r="E610" i="3"/>
  <c r="B611" i="3"/>
  <c r="C611" i="3"/>
  <c r="D611" i="3"/>
  <c r="E611" i="3"/>
  <c r="B612" i="3"/>
  <c r="C612" i="3"/>
  <c r="D612" i="3"/>
  <c r="E612" i="3"/>
  <c r="B613" i="3"/>
  <c r="C613" i="3"/>
  <c r="D613" i="3"/>
  <c r="E613" i="3"/>
  <c r="B614" i="3"/>
  <c r="C614" i="3"/>
  <c r="D614" i="3"/>
  <c r="E614" i="3"/>
  <c r="B615" i="3"/>
  <c r="C615" i="3"/>
  <c r="D615" i="3"/>
  <c r="E615" i="3"/>
  <c r="B616" i="3"/>
  <c r="C616" i="3"/>
  <c r="D616" i="3"/>
  <c r="E616" i="3"/>
  <c r="B617" i="3"/>
  <c r="C617" i="3"/>
  <c r="D617" i="3"/>
  <c r="E617" i="3"/>
  <c r="B618" i="3"/>
  <c r="C618" i="3"/>
  <c r="D618" i="3"/>
  <c r="E618" i="3"/>
  <c r="B619" i="3"/>
  <c r="C619" i="3"/>
  <c r="D619" i="3"/>
  <c r="E619" i="3"/>
  <c r="B620" i="3"/>
  <c r="C620" i="3"/>
  <c r="D620" i="3"/>
  <c r="E620" i="3"/>
  <c r="B621" i="3"/>
  <c r="C621" i="3"/>
  <c r="D621" i="3"/>
  <c r="E621" i="3"/>
  <c r="B622" i="3"/>
  <c r="C622" i="3"/>
  <c r="D622" i="3"/>
  <c r="E622" i="3"/>
  <c r="B623" i="3"/>
  <c r="C623" i="3"/>
  <c r="D623" i="3"/>
  <c r="E623" i="3"/>
  <c r="B624" i="3"/>
  <c r="C624" i="3"/>
  <c r="D624" i="3"/>
  <c r="E624" i="3"/>
  <c r="B625" i="3"/>
  <c r="C625" i="3"/>
  <c r="D625" i="3"/>
  <c r="E625" i="3"/>
  <c r="B626" i="3"/>
  <c r="C626" i="3"/>
  <c r="D626" i="3"/>
  <c r="E626" i="3"/>
  <c r="B627" i="3"/>
  <c r="C627" i="3"/>
  <c r="D627" i="3"/>
  <c r="E627" i="3"/>
  <c r="B628" i="3"/>
  <c r="C628" i="3"/>
  <c r="D628" i="3"/>
  <c r="E628" i="3"/>
  <c r="B629" i="3"/>
  <c r="C629" i="3"/>
  <c r="D629" i="3"/>
  <c r="E629" i="3"/>
  <c r="B630" i="3"/>
  <c r="C630" i="3"/>
  <c r="D630" i="3"/>
  <c r="E630" i="3"/>
  <c r="B631" i="3"/>
  <c r="C631" i="3"/>
  <c r="D631" i="3"/>
  <c r="E631" i="3"/>
  <c r="B632" i="3"/>
  <c r="C632" i="3"/>
  <c r="D632" i="3"/>
  <c r="E632" i="3"/>
  <c r="B633" i="3"/>
  <c r="C633" i="3"/>
  <c r="D633" i="3"/>
  <c r="E633" i="3"/>
  <c r="B634" i="3"/>
  <c r="C634" i="3"/>
  <c r="D634" i="3"/>
  <c r="E634" i="3"/>
  <c r="B635" i="3"/>
  <c r="C635" i="3"/>
  <c r="D635" i="3"/>
  <c r="E635" i="3"/>
  <c r="B636" i="3"/>
  <c r="C636" i="3"/>
  <c r="D636" i="3"/>
  <c r="E636" i="3"/>
  <c r="B637" i="3"/>
  <c r="C637" i="3"/>
  <c r="D637" i="3"/>
  <c r="E637" i="3"/>
  <c r="B638" i="3"/>
  <c r="C638" i="3"/>
  <c r="D638" i="3"/>
  <c r="E638" i="3"/>
  <c r="B639" i="3"/>
  <c r="C639" i="3"/>
  <c r="D639" i="3"/>
  <c r="E639" i="3"/>
  <c r="B640" i="3"/>
  <c r="C640" i="3"/>
  <c r="D640" i="3"/>
  <c r="E640" i="3"/>
  <c r="B641" i="3"/>
  <c r="C641" i="3"/>
  <c r="D641" i="3"/>
  <c r="E641" i="3"/>
  <c r="B642" i="3"/>
  <c r="C642" i="3"/>
  <c r="D642" i="3"/>
  <c r="E642" i="3"/>
  <c r="B643" i="3"/>
  <c r="C643" i="3"/>
  <c r="D643" i="3"/>
  <c r="E643" i="3"/>
  <c r="B644" i="3"/>
  <c r="C644" i="3"/>
  <c r="D644" i="3"/>
  <c r="E644" i="3"/>
  <c r="B645" i="3"/>
  <c r="C645" i="3"/>
  <c r="D645" i="3"/>
  <c r="E645" i="3"/>
  <c r="B646" i="3"/>
  <c r="C646" i="3"/>
  <c r="D646" i="3"/>
  <c r="E646" i="3"/>
  <c r="B647" i="3"/>
  <c r="C647" i="3"/>
  <c r="D647" i="3"/>
  <c r="E647" i="3"/>
  <c r="B648" i="3"/>
  <c r="C648" i="3"/>
  <c r="D648" i="3"/>
  <c r="E648" i="3"/>
  <c r="B649" i="3"/>
  <c r="C649" i="3"/>
  <c r="D649" i="3"/>
  <c r="E649" i="3"/>
  <c r="B650" i="3"/>
  <c r="C650" i="3"/>
  <c r="D650" i="3"/>
  <c r="E650" i="3"/>
  <c r="B651" i="3"/>
  <c r="C651" i="3"/>
  <c r="D651" i="3"/>
  <c r="E651" i="3"/>
  <c r="B652" i="3"/>
  <c r="C652" i="3"/>
  <c r="D652" i="3"/>
  <c r="E652" i="3"/>
  <c r="B653" i="3"/>
  <c r="C653" i="3"/>
  <c r="D653" i="3"/>
  <c r="E653" i="3"/>
  <c r="B654" i="3"/>
  <c r="C654" i="3"/>
  <c r="D654" i="3"/>
  <c r="E654" i="3"/>
  <c r="B655" i="3"/>
  <c r="C655" i="3"/>
  <c r="D655" i="3"/>
  <c r="E655" i="3"/>
  <c r="B656" i="3"/>
  <c r="C656" i="3"/>
  <c r="D656" i="3"/>
  <c r="E656" i="3"/>
  <c r="B657" i="3"/>
  <c r="C657" i="3"/>
  <c r="D657" i="3"/>
  <c r="E657" i="3"/>
  <c r="B658" i="3"/>
  <c r="C658" i="3"/>
  <c r="D658" i="3"/>
  <c r="E658" i="3"/>
  <c r="B659" i="3"/>
  <c r="C659" i="3"/>
  <c r="D659" i="3"/>
  <c r="E659" i="3"/>
  <c r="B660" i="3"/>
  <c r="C660" i="3"/>
  <c r="D660" i="3"/>
  <c r="E660" i="3"/>
  <c r="B661" i="3"/>
  <c r="C661" i="3"/>
  <c r="D661" i="3"/>
  <c r="E661" i="3"/>
  <c r="B662" i="3"/>
  <c r="C662" i="3"/>
  <c r="D662" i="3"/>
  <c r="E662" i="3"/>
  <c r="B663" i="3"/>
  <c r="C663" i="3"/>
  <c r="D663" i="3"/>
  <c r="E663" i="3"/>
  <c r="B664" i="3"/>
  <c r="C664" i="3"/>
  <c r="D664" i="3"/>
  <c r="E664" i="3"/>
  <c r="B665" i="3"/>
  <c r="C665" i="3"/>
  <c r="D665" i="3"/>
  <c r="E665" i="3"/>
  <c r="B666" i="3"/>
  <c r="C666" i="3"/>
  <c r="D666" i="3"/>
  <c r="E666" i="3"/>
  <c r="B667" i="3"/>
  <c r="C667" i="3"/>
  <c r="D667" i="3"/>
  <c r="E667" i="3"/>
  <c r="B668" i="3"/>
  <c r="C668" i="3"/>
  <c r="D668" i="3"/>
  <c r="E668" i="3"/>
  <c r="B669" i="3"/>
  <c r="C669" i="3"/>
  <c r="D669" i="3"/>
  <c r="E669" i="3"/>
  <c r="B670" i="3"/>
  <c r="C670" i="3"/>
  <c r="D670" i="3"/>
  <c r="E670" i="3"/>
  <c r="B671" i="3"/>
  <c r="C671" i="3"/>
  <c r="D671" i="3"/>
  <c r="E671" i="3"/>
  <c r="B672" i="3"/>
  <c r="C672" i="3"/>
  <c r="D672" i="3"/>
  <c r="E672" i="3"/>
  <c r="B673" i="3"/>
  <c r="C673" i="3"/>
  <c r="D673" i="3"/>
  <c r="E673" i="3"/>
  <c r="B674" i="3"/>
  <c r="C674" i="3"/>
  <c r="D674" i="3"/>
  <c r="E674" i="3"/>
  <c r="B675" i="3"/>
  <c r="C675" i="3"/>
  <c r="D675" i="3"/>
  <c r="E675" i="3"/>
  <c r="B676" i="3"/>
  <c r="C676" i="3"/>
  <c r="D676" i="3"/>
  <c r="E676" i="3"/>
  <c r="B677" i="3"/>
  <c r="C677" i="3"/>
  <c r="D677" i="3"/>
  <c r="E677" i="3"/>
  <c r="B678" i="3"/>
  <c r="C678" i="3"/>
  <c r="D678" i="3"/>
  <c r="E678" i="3"/>
  <c r="B679" i="3"/>
  <c r="C679" i="3"/>
  <c r="D679" i="3"/>
  <c r="E679" i="3"/>
  <c r="B680" i="3"/>
  <c r="C680" i="3"/>
  <c r="D680" i="3"/>
  <c r="E680" i="3"/>
  <c r="B681" i="3"/>
  <c r="C681" i="3"/>
  <c r="D681" i="3"/>
  <c r="E681" i="3"/>
  <c r="B682" i="3"/>
  <c r="C682" i="3"/>
  <c r="D682" i="3"/>
  <c r="E682" i="3"/>
  <c r="B683" i="3"/>
  <c r="C683" i="3"/>
  <c r="D683" i="3"/>
  <c r="E683" i="3"/>
  <c r="B684" i="3"/>
  <c r="C684" i="3"/>
  <c r="D684" i="3"/>
  <c r="E684" i="3"/>
  <c r="B685" i="3"/>
  <c r="C685" i="3"/>
  <c r="D685" i="3"/>
  <c r="E685" i="3"/>
  <c r="B686" i="3"/>
  <c r="C686" i="3"/>
  <c r="D686" i="3"/>
  <c r="E686" i="3"/>
  <c r="B687" i="3"/>
  <c r="C687" i="3"/>
  <c r="D687" i="3"/>
  <c r="E687" i="3"/>
  <c r="B688" i="3"/>
  <c r="C688" i="3"/>
  <c r="D688" i="3"/>
  <c r="E688" i="3"/>
  <c r="B689" i="3"/>
  <c r="C689" i="3"/>
  <c r="D689" i="3"/>
  <c r="E689" i="3"/>
  <c r="B690" i="3"/>
  <c r="C690" i="3"/>
  <c r="D690" i="3"/>
  <c r="E690" i="3"/>
  <c r="B691" i="3"/>
  <c r="C691" i="3"/>
  <c r="D691" i="3"/>
  <c r="E691" i="3"/>
  <c r="B692" i="3"/>
  <c r="C692" i="3"/>
  <c r="D692" i="3"/>
  <c r="E692" i="3"/>
  <c r="B693" i="3"/>
  <c r="C693" i="3"/>
  <c r="D693" i="3"/>
  <c r="E693" i="3"/>
  <c r="B694" i="3"/>
  <c r="C694" i="3"/>
  <c r="D694" i="3"/>
  <c r="E694" i="3"/>
  <c r="B695" i="3"/>
  <c r="C695" i="3"/>
  <c r="D695" i="3"/>
  <c r="E695" i="3"/>
  <c r="B696" i="3"/>
  <c r="C696" i="3"/>
  <c r="D696" i="3"/>
  <c r="E696" i="3"/>
  <c r="B697" i="3"/>
  <c r="C697" i="3"/>
  <c r="D697" i="3"/>
  <c r="E697" i="3"/>
  <c r="B698" i="3"/>
  <c r="C698" i="3"/>
  <c r="D698" i="3"/>
  <c r="E698" i="3"/>
  <c r="B699" i="3"/>
  <c r="C699" i="3"/>
  <c r="D699" i="3"/>
  <c r="E699" i="3"/>
  <c r="B700" i="3"/>
  <c r="C700" i="3"/>
  <c r="D700" i="3"/>
  <c r="E700" i="3"/>
  <c r="B701" i="3"/>
  <c r="C701" i="3"/>
  <c r="D701" i="3"/>
  <c r="E701" i="3"/>
  <c r="B702" i="3"/>
  <c r="C702" i="3"/>
  <c r="D702" i="3"/>
  <c r="E702" i="3"/>
  <c r="B703" i="3"/>
  <c r="C703" i="3"/>
  <c r="D703" i="3"/>
  <c r="E703" i="3"/>
  <c r="B704" i="3"/>
  <c r="C704" i="3"/>
  <c r="D704" i="3"/>
  <c r="E704" i="3"/>
  <c r="B705" i="3"/>
  <c r="C705" i="3"/>
  <c r="D705" i="3"/>
  <c r="E705" i="3"/>
  <c r="B706" i="3"/>
  <c r="C706" i="3"/>
  <c r="D706" i="3"/>
  <c r="E706" i="3"/>
  <c r="B707" i="3"/>
  <c r="C707" i="3"/>
  <c r="D707" i="3"/>
  <c r="E707" i="3"/>
  <c r="B708" i="3"/>
  <c r="C708" i="3"/>
  <c r="D708" i="3"/>
  <c r="E708" i="3"/>
  <c r="B709" i="3"/>
  <c r="C709" i="3"/>
  <c r="D709" i="3"/>
  <c r="E709" i="3"/>
  <c r="B710" i="3"/>
  <c r="C710" i="3"/>
  <c r="D710" i="3"/>
  <c r="E710" i="3"/>
  <c r="B711" i="3"/>
  <c r="C711" i="3"/>
  <c r="D711" i="3"/>
  <c r="E711" i="3"/>
  <c r="B712" i="3"/>
  <c r="C712" i="3"/>
  <c r="D712" i="3"/>
  <c r="E712" i="3"/>
  <c r="B713" i="3"/>
  <c r="C713" i="3"/>
  <c r="D713" i="3"/>
  <c r="E713" i="3"/>
  <c r="B714" i="3"/>
  <c r="C714" i="3"/>
  <c r="D714" i="3"/>
  <c r="E714" i="3"/>
  <c r="B715" i="3"/>
  <c r="C715" i="3"/>
  <c r="D715" i="3"/>
  <c r="E715" i="3"/>
  <c r="B716" i="3"/>
  <c r="C716" i="3"/>
  <c r="D716" i="3"/>
  <c r="E716" i="3"/>
  <c r="B717" i="3"/>
  <c r="C717" i="3"/>
  <c r="D717" i="3"/>
  <c r="E717" i="3"/>
  <c r="B718" i="3"/>
  <c r="C718" i="3"/>
  <c r="D718" i="3"/>
  <c r="E718" i="3"/>
  <c r="B719" i="3"/>
  <c r="C719" i="3"/>
  <c r="D719" i="3"/>
  <c r="E719" i="3"/>
  <c r="B720" i="3"/>
  <c r="C720" i="3"/>
  <c r="D720" i="3"/>
  <c r="E720" i="3"/>
  <c r="B721" i="3"/>
  <c r="C721" i="3"/>
  <c r="D721" i="3"/>
  <c r="E721" i="3"/>
  <c r="B722" i="3"/>
  <c r="C722" i="3"/>
  <c r="D722" i="3"/>
  <c r="E722" i="3"/>
  <c r="B723" i="3"/>
  <c r="C723" i="3"/>
  <c r="D723" i="3"/>
  <c r="E723" i="3"/>
  <c r="B724" i="3"/>
  <c r="C724" i="3"/>
  <c r="D724" i="3"/>
  <c r="E724" i="3"/>
  <c r="B725" i="3"/>
  <c r="C725" i="3"/>
  <c r="D725" i="3"/>
  <c r="E725" i="3"/>
  <c r="B726" i="3"/>
  <c r="C726" i="3"/>
  <c r="D726" i="3"/>
  <c r="E726" i="3"/>
  <c r="B727" i="3"/>
  <c r="C727" i="3"/>
  <c r="D727" i="3"/>
  <c r="E727" i="3"/>
  <c r="B728" i="3"/>
  <c r="C728" i="3"/>
  <c r="D728" i="3"/>
  <c r="E728" i="3"/>
  <c r="B729" i="3"/>
  <c r="C729" i="3"/>
  <c r="D729" i="3"/>
  <c r="E729" i="3"/>
  <c r="B730" i="3"/>
  <c r="C730" i="3"/>
  <c r="D730" i="3"/>
  <c r="E730" i="3"/>
  <c r="B731" i="3"/>
  <c r="C731" i="3"/>
  <c r="D731" i="3"/>
  <c r="E731" i="3"/>
  <c r="B732" i="3"/>
  <c r="C732" i="3"/>
  <c r="D732" i="3"/>
  <c r="E732" i="3"/>
  <c r="B733" i="3"/>
  <c r="C733" i="3"/>
  <c r="D733" i="3"/>
  <c r="E733" i="3"/>
  <c r="B734" i="3"/>
  <c r="C734" i="3"/>
  <c r="D734" i="3"/>
  <c r="E734" i="3"/>
  <c r="B735" i="3"/>
  <c r="C735" i="3"/>
  <c r="D735" i="3"/>
  <c r="E735" i="3"/>
  <c r="B736" i="3"/>
  <c r="C736" i="3"/>
  <c r="D736" i="3"/>
  <c r="E736" i="3"/>
  <c r="B737" i="3"/>
  <c r="C737" i="3"/>
  <c r="D737" i="3"/>
  <c r="E737" i="3"/>
  <c r="B738" i="3"/>
  <c r="C738" i="3"/>
  <c r="D738" i="3"/>
  <c r="E738" i="3"/>
  <c r="B739" i="3"/>
  <c r="C739" i="3"/>
  <c r="D739" i="3"/>
  <c r="E739" i="3"/>
  <c r="B740" i="3"/>
  <c r="C740" i="3"/>
  <c r="D740" i="3"/>
  <c r="E740" i="3"/>
  <c r="B741" i="3"/>
  <c r="C741" i="3"/>
  <c r="D741" i="3"/>
  <c r="E741" i="3"/>
  <c r="B742" i="3"/>
  <c r="C742" i="3"/>
  <c r="D742" i="3"/>
  <c r="E742" i="3"/>
  <c r="B743" i="3"/>
  <c r="C743" i="3"/>
  <c r="D743" i="3"/>
  <c r="E743" i="3"/>
  <c r="B744" i="3"/>
  <c r="C744" i="3"/>
  <c r="D744" i="3"/>
  <c r="E744" i="3"/>
  <c r="B745" i="3"/>
  <c r="C745" i="3"/>
  <c r="D745" i="3"/>
  <c r="E745" i="3"/>
  <c r="B746" i="3"/>
  <c r="C746" i="3"/>
  <c r="D746" i="3"/>
  <c r="E746" i="3"/>
  <c r="B747" i="3"/>
  <c r="C747" i="3"/>
  <c r="D747" i="3"/>
  <c r="E747" i="3"/>
  <c r="B748" i="3"/>
  <c r="C748" i="3"/>
  <c r="D748" i="3"/>
  <c r="E748" i="3"/>
  <c r="B749" i="3"/>
  <c r="C749" i="3"/>
  <c r="D749" i="3"/>
  <c r="E749" i="3"/>
  <c r="B750" i="3"/>
  <c r="C750" i="3"/>
  <c r="D750" i="3"/>
  <c r="E750" i="3"/>
  <c r="B751" i="3"/>
  <c r="C751" i="3"/>
  <c r="D751" i="3"/>
  <c r="E751" i="3"/>
  <c r="B752" i="3"/>
  <c r="C752" i="3"/>
  <c r="D752" i="3"/>
  <c r="E752" i="3"/>
  <c r="B753" i="3"/>
  <c r="C753" i="3"/>
  <c r="D753" i="3"/>
  <c r="E753" i="3"/>
  <c r="B754" i="3"/>
  <c r="C754" i="3"/>
  <c r="D754" i="3"/>
  <c r="E754" i="3"/>
  <c r="B755" i="3"/>
  <c r="C755" i="3"/>
  <c r="D755" i="3"/>
  <c r="E755" i="3"/>
  <c r="B756" i="3"/>
  <c r="C756" i="3"/>
  <c r="D756" i="3"/>
  <c r="E756" i="3"/>
  <c r="B757" i="3"/>
  <c r="C757" i="3"/>
  <c r="D757" i="3"/>
  <c r="E757" i="3"/>
  <c r="B758" i="3"/>
  <c r="C758" i="3"/>
  <c r="D758" i="3"/>
  <c r="E758" i="3"/>
  <c r="B759" i="3"/>
  <c r="C759" i="3"/>
  <c r="D759" i="3"/>
  <c r="E759" i="3"/>
  <c r="B760" i="3"/>
  <c r="C760" i="3"/>
  <c r="D760" i="3"/>
  <c r="E760" i="3"/>
  <c r="B761" i="3"/>
  <c r="C761" i="3"/>
  <c r="D761" i="3"/>
  <c r="E761" i="3"/>
  <c r="B762" i="3"/>
  <c r="C762" i="3"/>
  <c r="D762" i="3"/>
  <c r="E762" i="3"/>
  <c r="B763" i="3"/>
  <c r="C763" i="3"/>
  <c r="D763" i="3"/>
  <c r="E763" i="3"/>
  <c r="B764" i="3"/>
  <c r="C764" i="3"/>
  <c r="D764" i="3"/>
  <c r="E764" i="3"/>
  <c r="B765" i="3"/>
  <c r="C765" i="3"/>
  <c r="D765" i="3"/>
  <c r="E765" i="3"/>
  <c r="B766" i="3"/>
  <c r="C766" i="3"/>
  <c r="D766" i="3"/>
  <c r="E766" i="3"/>
  <c r="B767" i="3"/>
  <c r="C767" i="3"/>
  <c r="D767" i="3"/>
  <c r="E767" i="3"/>
  <c r="B768" i="3"/>
  <c r="C768" i="3"/>
  <c r="D768" i="3"/>
  <c r="E768" i="3"/>
  <c r="B769" i="3"/>
  <c r="C769" i="3"/>
  <c r="D769" i="3"/>
  <c r="E769" i="3"/>
  <c r="B770" i="3"/>
  <c r="C770" i="3"/>
  <c r="D770" i="3"/>
  <c r="E770" i="3"/>
  <c r="B771" i="3"/>
  <c r="C771" i="3"/>
  <c r="D771" i="3"/>
  <c r="E771" i="3"/>
  <c r="B772" i="3"/>
  <c r="C772" i="3"/>
  <c r="D772" i="3"/>
  <c r="E772" i="3"/>
  <c r="B773" i="3"/>
  <c r="C773" i="3"/>
  <c r="D773" i="3"/>
  <c r="E773" i="3"/>
  <c r="B774" i="3"/>
  <c r="C774" i="3"/>
  <c r="D774" i="3"/>
  <c r="E774" i="3"/>
  <c r="B775" i="3"/>
  <c r="C775" i="3"/>
  <c r="D775" i="3"/>
  <c r="E775" i="3"/>
  <c r="B776" i="3"/>
  <c r="C776" i="3"/>
  <c r="D776" i="3"/>
  <c r="E776" i="3"/>
  <c r="B777" i="3"/>
  <c r="C777" i="3"/>
  <c r="D777" i="3"/>
  <c r="E777" i="3"/>
  <c r="B778" i="3"/>
  <c r="C778" i="3"/>
  <c r="D778" i="3"/>
  <c r="E778" i="3"/>
  <c r="B779" i="3"/>
  <c r="C779" i="3"/>
  <c r="D779" i="3"/>
  <c r="E779" i="3"/>
  <c r="B780" i="3"/>
  <c r="C780" i="3"/>
  <c r="D780" i="3"/>
  <c r="E780" i="3"/>
  <c r="B781" i="3"/>
  <c r="C781" i="3"/>
  <c r="D781" i="3"/>
  <c r="E781" i="3"/>
  <c r="B782" i="3"/>
  <c r="C782" i="3"/>
  <c r="D782" i="3"/>
  <c r="E782" i="3"/>
  <c r="B783" i="3"/>
  <c r="C783" i="3"/>
  <c r="D783" i="3"/>
  <c r="E783" i="3"/>
  <c r="B784" i="3"/>
  <c r="C784" i="3"/>
  <c r="D784" i="3"/>
  <c r="E784" i="3"/>
  <c r="B785" i="3"/>
  <c r="C785" i="3"/>
  <c r="D785" i="3"/>
  <c r="E785" i="3"/>
  <c r="B786" i="3"/>
  <c r="C786" i="3"/>
  <c r="D786" i="3"/>
  <c r="E786" i="3"/>
  <c r="B787" i="3"/>
  <c r="C787" i="3"/>
  <c r="D787" i="3"/>
  <c r="E787" i="3"/>
  <c r="B788" i="3"/>
  <c r="C788" i="3"/>
  <c r="D788" i="3"/>
  <c r="E788" i="3"/>
  <c r="B789" i="3"/>
  <c r="C789" i="3"/>
  <c r="D789" i="3"/>
  <c r="E789" i="3"/>
  <c r="B790" i="3"/>
  <c r="C790" i="3"/>
  <c r="D790" i="3"/>
  <c r="E790" i="3"/>
  <c r="B791" i="3"/>
  <c r="C791" i="3"/>
  <c r="D791" i="3"/>
  <c r="E791" i="3"/>
  <c r="B792" i="3"/>
  <c r="C792" i="3"/>
  <c r="D792" i="3"/>
  <c r="E792" i="3"/>
  <c r="B793" i="3"/>
  <c r="C793" i="3"/>
  <c r="D793" i="3"/>
  <c r="E793" i="3"/>
  <c r="B794" i="3"/>
  <c r="C794" i="3"/>
  <c r="D794" i="3"/>
  <c r="E794" i="3"/>
  <c r="B795" i="3"/>
  <c r="C795" i="3"/>
  <c r="D795" i="3"/>
  <c r="E795" i="3"/>
  <c r="B796" i="3"/>
  <c r="C796" i="3"/>
  <c r="D796" i="3"/>
  <c r="E796" i="3"/>
  <c r="B797" i="3"/>
  <c r="C797" i="3"/>
  <c r="D797" i="3"/>
  <c r="E797" i="3"/>
  <c r="B798" i="3"/>
  <c r="C798" i="3"/>
  <c r="D798" i="3"/>
  <c r="E798" i="3"/>
  <c r="B799" i="3"/>
  <c r="C799" i="3"/>
  <c r="D799" i="3"/>
  <c r="E799" i="3"/>
  <c r="B800" i="3"/>
  <c r="C800" i="3"/>
  <c r="D800" i="3"/>
  <c r="E800" i="3"/>
  <c r="B801" i="3"/>
  <c r="C801" i="3"/>
  <c r="D801" i="3"/>
  <c r="E801" i="3"/>
  <c r="B802" i="3"/>
  <c r="C802" i="3"/>
  <c r="D802" i="3"/>
  <c r="E802" i="3"/>
  <c r="B803" i="3"/>
  <c r="C803" i="3"/>
  <c r="D803" i="3"/>
  <c r="E803" i="3"/>
  <c r="B804" i="3"/>
  <c r="C804" i="3"/>
  <c r="D804" i="3"/>
  <c r="E804" i="3"/>
  <c r="B805" i="3"/>
  <c r="C805" i="3"/>
  <c r="D805" i="3"/>
  <c r="E805" i="3"/>
  <c r="B806" i="3"/>
  <c r="C806" i="3"/>
  <c r="D806" i="3"/>
  <c r="E806" i="3"/>
  <c r="B807" i="3"/>
  <c r="C807" i="3"/>
  <c r="D807" i="3"/>
  <c r="E807" i="3"/>
  <c r="B808" i="3"/>
  <c r="C808" i="3"/>
  <c r="D808" i="3"/>
  <c r="E808" i="3"/>
  <c r="B809" i="3"/>
  <c r="C809" i="3"/>
  <c r="D809" i="3"/>
  <c r="E809" i="3"/>
  <c r="B810" i="3"/>
  <c r="C810" i="3"/>
  <c r="D810" i="3"/>
  <c r="E810" i="3"/>
  <c r="B811" i="3"/>
  <c r="C811" i="3"/>
  <c r="D811" i="3"/>
  <c r="E811" i="3"/>
  <c r="B812" i="3"/>
  <c r="C812" i="3"/>
  <c r="D812" i="3"/>
  <c r="E812" i="3"/>
  <c r="B813" i="3"/>
  <c r="C813" i="3"/>
  <c r="D813" i="3"/>
  <c r="E813" i="3"/>
  <c r="B814" i="3"/>
  <c r="C814" i="3"/>
  <c r="D814" i="3"/>
  <c r="E814" i="3"/>
  <c r="B815" i="3"/>
  <c r="C815" i="3"/>
  <c r="D815" i="3"/>
  <c r="E815" i="3"/>
  <c r="B816" i="3"/>
  <c r="C816" i="3"/>
  <c r="D816" i="3"/>
  <c r="E816" i="3"/>
  <c r="B817" i="3"/>
  <c r="C817" i="3"/>
  <c r="D817" i="3"/>
  <c r="E817" i="3"/>
  <c r="B818" i="3"/>
  <c r="C818" i="3"/>
  <c r="D818" i="3"/>
  <c r="E818" i="3"/>
  <c r="B819" i="3"/>
  <c r="C819" i="3"/>
  <c r="D819" i="3"/>
  <c r="E819" i="3"/>
  <c r="B820" i="3"/>
  <c r="C820" i="3"/>
  <c r="D820" i="3"/>
  <c r="E820" i="3"/>
  <c r="B821" i="3"/>
  <c r="C821" i="3"/>
  <c r="D821" i="3"/>
  <c r="E821" i="3"/>
  <c r="B822" i="3"/>
  <c r="C822" i="3"/>
  <c r="D822" i="3"/>
  <c r="E822" i="3"/>
  <c r="B823" i="3"/>
  <c r="C823" i="3"/>
  <c r="D823" i="3"/>
  <c r="E823" i="3"/>
  <c r="B824" i="3"/>
  <c r="C824" i="3"/>
  <c r="D824" i="3"/>
  <c r="E824" i="3"/>
  <c r="B825" i="3"/>
  <c r="C825" i="3"/>
  <c r="D825" i="3"/>
  <c r="E825" i="3"/>
  <c r="B826" i="3"/>
  <c r="C826" i="3"/>
  <c r="D826" i="3"/>
  <c r="E826" i="3"/>
  <c r="B827" i="3"/>
  <c r="C827" i="3"/>
  <c r="D827" i="3"/>
  <c r="E827" i="3"/>
  <c r="B828" i="3"/>
  <c r="C828" i="3"/>
  <c r="D828" i="3"/>
  <c r="E828" i="3"/>
  <c r="B829" i="3"/>
  <c r="C829" i="3"/>
  <c r="D829" i="3"/>
  <c r="E829" i="3"/>
  <c r="B830" i="3"/>
  <c r="C830" i="3"/>
  <c r="D830" i="3"/>
  <c r="E830" i="3"/>
  <c r="B831" i="3"/>
  <c r="C831" i="3"/>
  <c r="D831" i="3"/>
  <c r="E831" i="3"/>
  <c r="B832" i="3"/>
  <c r="C832" i="3"/>
  <c r="D832" i="3"/>
  <c r="E832" i="3"/>
  <c r="B833" i="3"/>
  <c r="C833" i="3"/>
  <c r="D833" i="3"/>
  <c r="E833" i="3"/>
  <c r="B834" i="3"/>
  <c r="C834" i="3"/>
  <c r="D834" i="3"/>
  <c r="E834" i="3"/>
  <c r="B835" i="3"/>
  <c r="C835" i="3"/>
  <c r="D835" i="3"/>
  <c r="E835" i="3"/>
  <c r="B836" i="3"/>
  <c r="C836" i="3"/>
  <c r="D836" i="3"/>
  <c r="E836" i="3"/>
  <c r="B837" i="3"/>
  <c r="C837" i="3"/>
  <c r="D837" i="3"/>
  <c r="E837" i="3"/>
  <c r="B838" i="3"/>
  <c r="C838" i="3"/>
  <c r="D838" i="3"/>
  <c r="E838" i="3"/>
  <c r="B839" i="3"/>
  <c r="C839" i="3"/>
  <c r="D839" i="3"/>
  <c r="E839" i="3"/>
  <c r="B840" i="3"/>
  <c r="C840" i="3"/>
  <c r="D840" i="3"/>
  <c r="E840" i="3"/>
  <c r="B841" i="3"/>
  <c r="C841" i="3"/>
  <c r="D841" i="3"/>
  <c r="E841" i="3"/>
  <c r="B842" i="3"/>
  <c r="C842" i="3"/>
  <c r="D842" i="3"/>
  <c r="E842" i="3"/>
  <c r="B843" i="3"/>
  <c r="C843" i="3"/>
  <c r="D843" i="3"/>
  <c r="E843" i="3"/>
  <c r="B844" i="3"/>
  <c r="C844" i="3"/>
  <c r="D844" i="3"/>
  <c r="E844" i="3"/>
  <c r="B845" i="3"/>
  <c r="C845" i="3"/>
  <c r="D845" i="3"/>
  <c r="E845" i="3"/>
  <c r="B846" i="3"/>
  <c r="C846" i="3"/>
  <c r="D846" i="3"/>
  <c r="E846" i="3"/>
  <c r="B847" i="3"/>
  <c r="C847" i="3"/>
  <c r="D847" i="3"/>
  <c r="E847" i="3"/>
  <c r="B848" i="3"/>
  <c r="C848" i="3"/>
  <c r="D848" i="3"/>
  <c r="E848" i="3"/>
  <c r="B849" i="3"/>
  <c r="C849" i="3"/>
  <c r="D849" i="3"/>
  <c r="E849" i="3"/>
  <c r="B850" i="3"/>
  <c r="C850" i="3"/>
  <c r="D850" i="3"/>
  <c r="E850" i="3"/>
  <c r="B851" i="3"/>
  <c r="C851" i="3"/>
  <c r="D851" i="3"/>
  <c r="E851" i="3"/>
  <c r="B852" i="3"/>
  <c r="C852" i="3"/>
  <c r="D852" i="3"/>
  <c r="E852" i="3"/>
  <c r="B853" i="3"/>
  <c r="C853" i="3"/>
  <c r="D853" i="3"/>
  <c r="E853" i="3"/>
  <c r="B854" i="3"/>
  <c r="C854" i="3"/>
  <c r="D854" i="3"/>
  <c r="E854" i="3"/>
  <c r="B855" i="3"/>
  <c r="C855" i="3"/>
  <c r="D855" i="3"/>
  <c r="E855" i="3"/>
  <c r="B856" i="3"/>
  <c r="C856" i="3"/>
  <c r="D856" i="3"/>
  <c r="E856" i="3"/>
  <c r="B857" i="3"/>
  <c r="C857" i="3"/>
  <c r="D857" i="3"/>
  <c r="E857" i="3"/>
  <c r="B858" i="3"/>
  <c r="C858" i="3"/>
  <c r="D858" i="3"/>
  <c r="E858" i="3"/>
  <c r="B859" i="3"/>
  <c r="C859" i="3"/>
  <c r="D859" i="3"/>
  <c r="E859" i="3"/>
  <c r="B860" i="3"/>
  <c r="C860" i="3"/>
  <c r="D860" i="3"/>
  <c r="E860" i="3"/>
  <c r="B861" i="3"/>
  <c r="C861" i="3"/>
  <c r="D861" i="3"/>
  <c r="E861" i="3"/>
  <c r="B862" i="3"/>
  <c r="C862" i="3"/>
  <c r="D862" i="3"/>
  <c r="E862" i="3"/>
  <c r="B863" i="3"/>
  <c r="C863" i="3"/>
  <c r="D863" i="3"/>
  <c r="E863" i="3"/>
  <c r="B864" i="3"/>
  <c r="C864" i="3"/>
  <c r="D864" i="3"/>
  <c r="E864" i="3"/>
  <c r="B865" i="3"/>
  <c r="C865" i="3"/>
  <c r="D865" i="3"/>
  <c r="E865" i="3"/>
  <c r="B866" i="3"/>
  <c r="C866" i="3"/>
  <c r="D866" i="3"/>
  <c r="E866" i="3"/>
  <c r="B867" i="3"/>
  <c r="C867" i="3"/>
  <c r="D867" i="3"/>
  <c r="E867" i="3"/>
  <c r="B868" i="3"/>
  <c r="C868" i="3"/>
  <c r="D868" i="3"/>
  <c r="E868" i="3"/>
  <c r="B869" i="3"/>
  <c r="C869" i="3"/>
  <c r="D869" i="3"/>
  <c r="E869" i="3"/>
  <c r="B870" i="3"/>
  <c r="C870" i="3"/>
  <c r="D870" i="3"/>
  <c r="E870" i="3"/>
  <c r="B871" i="3"/>
  <c r="C871" i="3"/>
  <c r="D871" i="3"/>
  <c r="E871" i="3"/>
  <c r="B872" i="3"/>
  <c r="C872" i="3"/>
  <c r="D872" i="3"/>
  <c r="E872" i="3"/>
  <c r="B873" i="3"/>
  <c r="C873" i="3"/>
  <c r="D873" i="3"/>
  <c r="E873" i="3"/>
  <c r="B874" i="3"/>
  <c r="C874" i="3"/>
  <c r="D874" i="3"/>
  <c r="E874" i="3"/>
  <c r="B875" i="3"/>
  <c r="C875" i="3"/>
  <c r="D875" i="3"/>
  <c r="E875" i="3"/>
  <c r="B876" i="3"/>
  <c r="C876" i="3"/>
  <c r="D876" i="3"/>
  <c r="E876" i="3"/>
  <c r="B877" i="3"/>
  <c r="C877" i="3"/>
  <c r="D877" i="3"/>
  <c r="E877" i="3"/>
  <c r="B878" i="3"/>
  <c r="C878" i="3"/>
  <c r="D878" i="3"/>
  <c r="E878" i="3"/>
  <c r="B879" i="3"/>
  <c r="C879" i="3"/>
  <c r="D879" i="3"/>
  <c r="E879" i="3"/>
  <c r="B880" i="3"/>
  <c r="C880" i="3"/>
  <c r="D880" i="3"/>
  <c r="E880" i="3"/>
  <c r="B881" i="3"/>
  <c r="C881" i="3"/>
  <c r="D881" i="3"/>
  <c r="E881" i="3"/>
  <c r="B882" i="3"/>
  <c r="C882" i="3"/>
  <c r="D882" i="3"/>
  <c r="E882" i="3"/>
  <c r="B883" i="3"/>
  <c r="C883" i="3"/>
  <c r="D883" i="3"/>
  <c r="E883" i="3"/>
  <c r="B884" i="3"/>
  <c r="C884" i="3"/>
  <c r="D884" i="3"/>
  <c r="E884" i="3"/>
  <c r="B885" i="3"/>
  <c r="C885" i="3"/>
  <c r="D885" i="3"/>
  <c r="E885" i="3"/>
  <c r="B886" i="3"/>
  <c r="C886" i="3"/>
  <c r="D886" i="3"/>
  <c r="E886" i="3"/>
  <c r="B887" i="3"/>
  <c r="C887" i="3"/>
  <c r="D887" i="3"/>
  <c r="E887" i="3"/>
  <c r="B888" i="3"/>
  <c r="C888" i="3"/>
  <c r="D888" i="3"/>
  <c r="E888" i="3"/>
  <c r="B889" i="3"/>
  <c r="C889" i="3"/>
  <c r="D889" i="3"/>
  <c r="E889" i="3"/>
  <c r="B890" i="3"/>
  <c r="C890" i="3"/>
  <c r="D890" i="3"/>
  <c r="E890" i="3"/>
  <c r="B891" i="3"/>
  <c r="C891" i="3"/>
  <c r="D891" i="3"/>
  <c r="E891" i="3"/>
  <c r="B892" i="3"/>
  <c r="C892" i="3"/>
  <c r="D892" i="3"/>
  <c r="E892" i="3"/>
  <c r="B893" i="3"/>
  <c r="C893" i="3"/>
  <c r="D893" i="3"/>
  <c r="E893" i="3"/>
  <c r="B894" i="3"/>
  <c r="C894" i="3"/>
  <c r="D894" i="3"/>
  <c r="E894" i="3"/>
  <c r="B895" i="3"/>
  <c r="C895" i="3"/>
  <c r="D895" i="3"/>
  <c r="E895" i="3"/>
  <c r="B896" i="3"/>
  <c r="C896" i="3"/>
  <c r="D896" i="3"/>
  <c r="E896" i="3"/>
  <c r="B897" i="3"/>
  <c r="C897" i="3"/>
  <c r="D897" i="3"/>
  <c r="E897" i="3"/>
  <c r="B898" i="3"/>
  <c r="C898" i="3"/>
  <c r="D898" i="3"/>
  <c r="E898" i="3"/>
  <c r="B899" i="3"/>
  <c r="C899" i="3"/>
  <c r="D899" i="3"/>
  <c r="E899" i="3"/>
  <c r="B900" i="3"/>
  <c r="C900" i="3"/>
  <c r="D900" i="3"/>
  <c r="E900" i="3"/>
  <c r="B901" i="3"/>
  <c r="C901" i="3"/>
  <c r="D901" i="3"/>
  <c r="E901" i="3"/>
  <c r="B902" i="3"/>
  <c r="C902" i="3"/>
  <c r="D902" i="3"/>
  <c r="E902" i="3"/>
  <c r="B903" i="3"/>
  <c r="C903" i="3"/>
  <c r="D903" i="3"/>
  <c r="E903" i="3"/>
  <c r="B904" i="3"/>
  <c r="C904" i="3"/>
  <c r="D904" i="3"/>
  <c r="E904" i="3"/>
  <c r="B905" i="3"/>
  <c r="C905" i="3"/>
  <c r="D905" i="3"/>
  <c r="E905" i="3"/>
  <c r="B906" i="3"/>
  <c r="C906" i="3"/>
  <c r="D906" i="3"/>
  <c r="E906" i="3"/>
  <c r="B907" i="3"/>
  <c r="C907" i="3"/>
  <c r="D907" i="3"/>
  <c r="E907" i="3"/>
  <c r="B908" i="3"/>
  <c r="C908" i="3"/>
  <c r="D908" i="3"/>
  <c r="E908" i="3"/>
  <c r="B909" i="3"/>
  <c r="C909" i="3"/>
  <c r="D909" i="3"/>
  <c r="E909" i="3"/>
  <c r="B910" i="3"/>
  <c r="C910" i="3"/>
  <c r="D910" i="3"/>
  <c r="E910" i="3"/>
  <c r="B911" i="3"/>
  <c r="C911" i="3"/>
  <c r="D911" i="3"/>
  <c r="E911" i="3"/>
  <c r="B912" i="3"/>
  <c r="C912" i="3"/>
  <c r="D912" i="3"/>
  <c r="E912" i="3"/>
  <c r="B913" i="3"/>
  <c r="C913" i="3"/>
  <c r="D913" i="3"/>
  <c r="E913" i="3"/>
  <c r="B914" i="3"/>
  <c r="C914" i="3"/>
  <c r="D914" i="3"/>
  <c r="E914" i="3"/>
  <c r="B915" i="3"/>
  <c r="C915" i="3"/>
  <c r="D915" i="3"/>
  <c r="E915" i="3"/>
  <c r="B916" i="3"/>
  <c r="C916" i="3"/>
  <c r="D916" i="3"/>
  <c r="E916" i="3"/>
  <c r="B917" i="3"/>
  <c r="C917" i="3"/>
  <c r="D917" i="3"/>
  <c r="E917" i="3"/>
  <c r="B918" i="3"/>
  <c r="C918" i="3"/>
  <c r="D918" i="3"/>
  <c r="E918" i="3"/>
  <c r="B919" i="3"/>
  <c r="C919" i="3"/>
  <c r="D919" i="3"/>
  <c r="E919" i="3"/>
  <c r="B920" i="3"/>
  <c r="C920" i="3"/>
  <c r="D920" i="3"/>
  <c r="E920" i="3"/>
  <c r="B921" i="3"/>
  <c r="C921" i="3"/>
  <c r="D921" i="3"/>
  <c r="E921" i="3"/>
  <c r="B922" i="3"/>
  <c r="C922" i="3"/>
  <c r="D922" i="3"/>
  <c r="E922" i="3"/>
  <c r="B923" i="3"/>
  <c r="C923" i="3"/>
  <c r="D923" i="3"/>
  <c r="E923" i="3"/>
  <c r="B924" i="3"/>
  <c r="C924" i="3"/>
  <c r="D924" i="3"/>
  <c r="E924" i="3"/>
  <c r="B925" i="3"/>
  <c r="C925" i="3"/>
  <c r="D925" i="3"/>
  <c r="E925" i="3"/>
  <c r="B926" i="3"/>
  <c r="C926" i="3"/>
  <c r="D926" i="3"/>
  <c r="E926" i="3"/>
  <c r="B927" i="3"/>
  <c r="C927" i="3"/>
  <c r="D927" i="3"/>
  <c r="E927" i="3"/>
  <c r="B928" i="3"/>
  <c r="C928" i="3"/>
  <c r="D928" i="3"/>
  <c r="E928" i="3"/>
  <c r="B929" i="3"/>
  <c r="C929" i="3"/>
  <c r="D929" i="3"/>
  <c r="E929" i="3"/>
  <c r="B930" i="3"/>
  <c r="C930" i="3"/>
  <c r="D930" i="3"/>
  <c r="E930" i="3"/>
  <c r="B931" i="3"/>
  <c r="C931" i="3"/>
  <c r="D931" i="3"/>
  <c r="E931" i="3"/>
  <c r="B932" i="3"/>
  <c r="C932" i="3"/>
  <c r="D932" i="3"/>
  <c r="E932" i="3"/>
  <c r="B933" i="3"/>
  <c r="C933" i="3"/>
  <c r="D933" i="3"/>
  <c r="E933" i="3"/>
  <c r="B934" i="3"/>
  <c r="C934" i="3"/>
  <c r="D934" i="3"/>
  <c r="E934" i="3"/>
  <c r="B935" i="3"/>
  <c r="C935" i="3"/>
  <c r="D935" i="3"/>
  <c r="E935" i="3"/>
  <c r="B936" i="3"/>
  <c r="C936" i="3"/>
  <c r="D936" i="3"/>
  <c r="E936" i="3"/>
  <c r="B937" i="3"/>
  <c r="C937" i="3"/>
  <c r="D937" i="3"/>
  <c r="E937" i="3"/>
  <c r="B938" i="3"/>
  <c r="C938" i="3"/>
  <c r="D938" i="3"/>
  <c r="E938" i="3"/>
  <c r="B939" i="3"/>
  <c r="C939" i="3"/>
  <c r="D939" i="3"/>
  <c r="E939" i="3"/>
  <c r="B940" i="3"/>
  <c r="C940" i="3"/>
  <c r="D940" i="3"/>
  <c r="E940" i="3"/>
  <c r="B941" i="3"/>
  <c r="C941" i="3"/>
  <c r="D941" i="3"/>
  <c r="E941" i="3"/>
  <c r="B942" i="3"/>
  <c r="C942" i="3"/>
  <c r="D942" i="3"/>
  <c r="E942" i="3"/>
  <c r="B943" i="3"/>
  <c r="C943" i="3"/>
  <c r="D943" i="3"/>
  <c r="E943" i="3"/>
  <c r="B944" i="3"/>
  <c r="C944" i="3"/>
  <c r="D944" i="3"/>
  <c r="E944" i="3"/>
  <c r="B945" i="3"/>
  <c r="C945" i="3"/>
  <c r="D945" i="3"/>
  <c r="E945" i="3"/>
  <c r="B946" i="3"/>
  <c r="C946" i="3"/>
  <c r="D946" i="3"/>
  <c r="E946" i="3"/>
  <c r="B947" i="3"/>
  <c r="C947" i="3"/>
  <c r="D947" i="3"/>
  <c r="E947" i="3"/>
  <c r="B948" i="3"/>
  <c r="C948" i="3"/>
  <c r="D948" i="3"/>
  <c r="E948" i="3"/>
  <c r="B949" i="3"/>
  <c r="C949" i="3"/>
  <c r="D949" i="3"/>
  <c r="E949" i="3"/>
  <c r="B950" i="3"/>
  <c r="C950" i="3"/>
  <c r="D950" i="3"/>
  <c r="E950" i="3"/>
  <c r="B951" i="3"/>
  <c r="C951" i="3"/>
  <c r="D951" i="3"/>
  <c r="E951" i="3"/>
  <c r="B952" i="3"/>
  <c r="C952" i="3"/>
  <c r="D952" i="3"/>
  <c r="E952" i="3"/>
  <c r="B953" i="3"/>
  <c r="C953" i="3"/>
  <c r="D953" i="3"/>
  <c r="E953" i="3"/>
  <c r="B954" i="3"/>
  <c r="C954" i="3"/>
  <c r="D954" i="3"/>
  <c r="E954" i="3"/>
  <c r="B955" i="3"/>
  <c r="C955" i="3"/>
  <c r="D955" i="3"/>
  <c r="E955" i="3"/>
  <c r="B956" i="3"/>
  <c r="C956" i="3"/>
  <c r="D956" i="3"/>
  <c r="E956" i="3"/>
  <c r="B957" i="3"/>
  <c r="C957" i="3"/>
  <c r="D957" i="3"/>
  <c r="E957" i="3"/>
  <c r="B958" i="3"/>
  <c r="C958" i="3"/>
  <c r="D958" i="3"/>
  <c r="E958" i="3"/>
  <c r="B959" i="3"/>
  <c r="C959" i="3"/>
  <c r="D959" i="3"/>
  <c r="E959" i="3"/>
  <c r="B960" i="3"/>
  <c r="C960" i="3"/>
  <c r="D960" i="3"/>
  <c r="E960" i="3"/>
  <c r="B961" i="3"/>
  <c r="C961" i="3"/>
  <c r="D961" i="3"/>
  <c r="E961" i="3"/>
  <c r="B962" i="3"/>
  <c r="C962" i="3"/>
  <c r="D962" i="3"/>
  <c r="E962" i="3"/>
  <c r="B963" i="3"/>
  <c r="C963" i="3"/>
  <c r="D963" i="3"/>
  <c r="E963" i="3"/>
  <c r="B964" i="3"/>
  <c r="C964" i="3"/>
  <c r="D964" i="3"/>
  <c r="E964" i="3"/>
  <c r="B965" i="3"/>
  <c r="C965" i="3"/>
  <c r="D965" i="3"/>
  <c r="E965" i="3"/>
  <c r="B966" i="3"/>
  <c r="C966" i="3"/>
  <c r="D966" i="3"/>
  <c r="E966" i="3"/>
  <c r="B967" i="3"/>
  <c r="C967" i="3"/>
  <c r="D967" i="3"/>
  <c r="E967" i="3"/>
  <c r="B968" i="3"/>
  <c r="C968" i="3"/>
  <c r="D968" i="3"/>
  <c r="E968" i="3"/>
  <c r="B969" i="3"/>
  <c r="C969" i="3"/>
  <c r="D969" i="3"/>
  <c r="E969" i="3"/>
  <c r="B970" i="3"/>
  <c r="C970" i="3"/>
  <c r="D970" i="3"/>
  <c r="E970" i="3"/>
  <c r="B971" i="3"/>
  <c r="C971" i="3"/>
  <c r="D971" i="3"/>
  <c r="E971" i="3"/>
  <c r="B972" i="3"/>
  <c r="C972" i="3"/>
  <c r="D972" i="3"/>
  <c r="E972" i="3"/>
  <c r="B973" i="3"/>
  <c r="C973" i="3"/>
  <c r="D973" i="3"/>
  <c r="E973" i="3"/>
  <c r="B974" i="3"/>
  <c r="C974" i="3"/>
  <c r="D974" i="3"/>
  <c r="E974" i="3"/>
  <c r="B975" i="3"/>
  <c r="C975" i="3"/>
  <c r="D975" i="3"/>
  <c r="E975" i="3"/>
  <c r="B976" i="3"/>
  <c r="C976" i="3"/>
  <c r="D976" i="3"/>
  <c r="E976" i="3"/>
  <c r="B977" i="3"/>
  <c r="C977" i="3"/>
  <c r="D977" i="3"/>
  <c r="E977" i="3"/>
  <c r="B978" i="3"/>
  <c r="C978" i="3"/>
  <c r="D978" i="3"/>
  <c r="E978" i="3"/>
  <c r="B979" i="3"/>
  <c r="C979" i="3"/>
  <c r="D979" i="3"/>
  <c r="E979" i="3"/>
  <c r="B980" i="3"/>
  <c r="C980" i="3"/>
  <c r="D980" i="3"/>
  <c r="E980" i="3"/>
  <c r="B981" i="3"/>
  <c r="C981" i="3"/>
  <c r="D981" i="3"/>
  <c r="E981" i="3"/>
  <c r="B982" i="3"/>
  <c r="C982" i="3"/>
  <c r="D982" i="3"/>
  <c r="E982" i="3"/>
  <c r="B983" i="3"/>
  <c r="C983" i="3"/>
  <c r="D983" i="3"/>
  <c r="E983" i="3"/>
  <c r="B984" i="3"/>
  <c r="C984" i="3"/>
  <c r="D984" i="3"/>
  <c r="E984" i="3"/>
  <c r="B985" i="3"/>
  <c r="C985" i="3"/>
  <c r="D985" i="3"/>
  <c r="E985" i="3"/>
  <c r="B986" i="3"/>
  <c r="C986" i="3"/>
  <c r="D986" i="3"/>
  <c r="E986" i="3"/>
  <c r="B987" i="3"/>
  <c r="C987" i="3"/>
  <c r="D987" i="3"/>
  <c r="E987" i="3"/>
  <c r="B988" i="3"/>
  <c r="C988" i="3"/>
  <c r="D988" i="3"/>
  <c r="E988" i="3"/>
  <c r="B989" i="3"/>
  <c r="C989" i="3"/>
  <c r="D989" i="3"/>
  <c r="E989" i="3"/>
  <c r="B990" i="3"/>
  <c r="C990" i="3"/>
  <c r="D990" i="3"/>
  <c r="E990" i="3"/>
  <c r="B991" i="3"/>
  <c r="C991" i="3"/>
  <c r="D991" i="3"/>
  <c r="E991" i="3"/>
  <c r="B992" i="3"/>
  <c r="C992" i="3"/>
  <c r="D992" i="3"/>
  <c r="E992" i="3"/>
  <c r="B993" i="3"/>
  <c r="C993" i="3"/>
  <c r="D993" i="3"/>
  <c r="E993" i="3"/>
  <c r="B994" i="3"/>
  <c r="C994" i="3"/>
  <c r="D994" i="3"/>
  <c r="E994" i="3"/>
  <c r="B995" i="3"/>
  <c r="C995" i="3"/>
  <c r="D995" i="3"/>
  <c r="E995" i="3"/>
  <c r="B996" i="3"/>
  <c r="C996" i="3"/>
  <c r="D996" i="3"/>
  <c r="E996" i="3"/>
  <c r="B997" i="3"/>
  <c r="C997" i="3"/>
  <c r="D997" i="3"/>
  <c r="E997" i="3"/>
  <c r="B998" i="3"/>
  <c r="C998" i="3"/>
  <c r="D998" i="3"/>
  <c r="E998" i="3"/>
  <c r="B999" i="3"/>
  <c r="C999" i="3"/>
  <c r="D999" i="3"/>
  <c r="E999" i="3"/>
  <c r="B1000" i="3"/>
  <c r="C1000" i="3"/>
  <c r="D1000" i="3"/>
  <c r="E1000" i="3"/>
  <c r="B1001" i="3"/>
  <c r="C1001" i="3"/>
  <c r="D1001" i="3"/>
  <c r="E1001" i="3"/>
  <c r="B1002" i="3"/>
  <c r="C1002" i="3"/>
  <c r="D1002" i="3"/>
  <c r="E1002" i="3"/>
  <c r="B1003" i="3"/>
  <c r="C1003" i="3"/>
  <c r="D1003" i="3"/>
  <c r="E1003" i="3"/>
  <c r="B1004" i="3"/>
  <c r="C1004" i="3"/>
  <c r="D1004" i="3"/>
  <c r="E1004" i="3"/>
  <c r="B1005" i="3"/>
  <c r="C1005" i="3"/>
  <c r="D1005" i="3"/>
  <c r="E1005" i="3"/>
  <c r="B1006" i="3"/>
  <c r="C1006" i="3"/>
  <c r="D1006" i="3"/>
  <c r="E1006" i="3"/>
  <c r="B1007" i="3"/>
  <c r="C1007" i="3"/>
  <c r="D1007" i="3"/>
  <c r="E1007" i="3"/>
  <c r="B1008" i="3"/>
  <c r="C1008" i="3"/>
  <c r="D1008" i="3"/>
  <c r="E1008" i="3"/>
  <c r="B1009" i="3"/>
  <c r="C1009" i="3"/>
  <c r="D1009" i="3"/>
  <c r="E1009" i="3"/>
  <c r="B1010" i="3"/>
  <c r="C1010" i="3"/>
  <c r="D1010" i="3"/>
  <c r="E1010" i="3"/>
  <c r="B1011" i="3"/>
  <c r="C1011" i="3"/>
  <c r="D1011" i="3"/>
  <c r="E1011" i="3"/>
  <c r="B1012" i="3"/>
  <c r="C1012" i="3"/>
  <c r="D1012" i="3"/>
  <c r="E1012" i="3"/>
  <c r="B1013" i="3"/>
  <c r="C1013" i="3"/>
  <c r="D1013" i="3"/>
  <c r="E1013" i="3"/>
  <c r="B1014" i="3"/>
  <c r="C1014" i="3"/>
  <c r="D1014" i="3"/>
  <c r="E1014" i="3"/>
  <c r="B1015" i="3"/>
  <c r="C1015" i="3"/>
  <c r="D1015" i="3"/>
  <c r="E1015" i="3"/>
  <c r="B1016" i="3"/>
  <c r="C1016" i="3"/>
  <c r="D1016" i="3"/>
  <c r="E1016" i="3"/>
  <c r="B1017" i="3"/>
  <c r="C1017" i="3"/>
  <c r="D1017" i="3"/>
  <c r="E1017" i="3"/>
  <c r="B1018" i="3"/>
  <c r="C1018" i="3"/>
  <c r="D1018" i="3"/>
  <c r="E1018" i="3"/>
  <c r="B1019" i="3"/>
  <c r="C1019" i="3"/>
  <c r="D1019" i="3"/>
  <c r="E1019" i="3"/>
  <c r="B1020" i="3"/>
  <c r="C1020" i="3"/>
  <c r="D1020" i="3"/>
  <c r="E1020" i="3"/>
  <c r="B1021" i="3"/>
  <c r="C1021" i="3"/>
  <c r="D1021" i="3"/>
  <c r="E1021" i="3"/>
  <c r="B1022" i="3"/>
  <c r="C1022" i="3"/>
  <c r="D1022" i="3"/>
  <c r="E1022" i="3"/>
  <c r="B1023" i="3"/>
  <c r="C1023" i="3"/>
  <c r="D1023" i="3"/>
  <c r="E1023" i="3"/>
  <c r="B1024" i="3"/>
  <c r="C1024" i="3"/>
  <c r="D1024" i="3"/>
  <c r="E1024" i="3"/>
  <c r="B1025" i="3"/>
  <c r="C1025" i="3"/>
  <c r="D1025" i="3"/>
  <c r="E1025" i="3"/>
  <c r="B1026" i="3"/>
  <c r="C1026" i="3"/>
  <c r="D1026" i="3"/>
  <c r="E1026" i="3"/>
  <c r="B1027" i="3"/>
  <c r="C1027" i="3"/>
  <c r="D1027" i="3"/>
  <c r="E1027" i="3"/>
  <c r="B1028" i="3"/>
  <c r="C1028" i="3"/>
  <c r="D1028" i="3"/>
  <c r="E1028" i="3"/>
  <c r="B1029" i="3"/>
  <c r="C1029" i="3"/>
  <c r="D1029" i="3"/>
  <c r="E1029" i="3"/>
  <c r="B1030" i="3"/>
  <c r="C1030" i="3"/>
  <c r="D1030" i="3"/>
  <c r="E1030" i="3"/>
  <c r="B1031" i="3"/>
  <c r="C1031" i="3"/>
  <c r="D1031" i="3"/>
  <c r="E1031" i="3"/>
  <c r="B1032" i="3"/>
  <c r="C1032" i="3"/>
  <c r="D1032" i="3"/>
  <c r="E1032" i="3"/>
  <c r="B1033" i="3"/>
  <c r="C1033" i="3"/>
  <c r="D1033" i="3"/>
  <c r="E1033" i="3"/>
  <c r="B1034" i="3"/>
  <c r="C1034" i="3"/>
  <c r="D1034" i="3"/>
  <c r="E1034" i="3"/>
  <c r="B1035" i="3"/>
  <c r="C1035" i="3"/>
  <c r="D1035" i="3"/>
  <c r="E1035" i="3"/>
  <c r="B1036" i="3"/>
  <c r="C1036" i="3"/>
  <c r="D1036" i="3"/>
  <c r="E1036" i="3"/>
  <c r="B1037" i="3"/>
  <c r="C1037" i="3"/>
  <c r="D1037" i="3"/>
  <c r="E1037" i="3"/>
  <c r="B1038" i="3"/>
  <c r="C1038" i="3"/>
  <c r="D1038" i="3"/>
  <c r="E1038" i="3"/>
  <c r="B1039" i="3"/>
  <c r="C1039" i="3"/>
  <c r="D1039" i="3"/>
  <c r="E1039" i="3"/>
  <c r="B1040" i="3"/>
  <c r="C1040" i="3"/>
  <c r="D1040" i="3"/>
  <c r="E1040" i="3"/>
  <c r="B1041" i="3"/>
  <c r="C1041" i="3"/>
  <c r="D1041" i="3"/>
  <c r="E1041" i="3"/>
  <c r="B1042" i="3"/>
  <c r="C1042" i="3"/>
  <c r="D1042" i="3"/>
  <c r="E1042" i="3"/>
  <c r="B1043" i="3"/>
  <c r="C1043" i="3"/>
  <c r="D1043" i="3"/>
  <c r="E1043" i="3"/>
  <c r="B1044" i="3"/>
  <c r="C1044" i="3"/>
  <c r="D1044" i="3"/>
  <c r="E1044" i="3"/>
  <c r="B1045" i="3"/>
  <c r="C1045" i="3"/>
  <c r="D1045" i="3"/>
  <c r="E1045" i="3"/>
  <c r="B1046" i="3"/>
  <c r="C1046" i="3"/>
  <c r="D1046" i="3"/>
  <c r="E1046" i="3"/>
  <c r="B1047" i="3"/>
  <c r="C1047" i="3"/>
  <c r="D1047" i="3"/>
  <c r="E1047" i="3"/>
  <c r="B1048" i="3"/>
  <c r="C1048" i="3"/>
  <c r="D1048" i="3"/>
  <c r="E1048" i="3"/>
  <c r="C1050" i="3"/>
  <c r="B1051" i="3"/>
  <c r="D1051" i="3"/>
  <c r="E1051" i="3"/>
  <c r="D1053" i="3"/>
  <c r="E1053" i="3"/>
  <c r="B1054" i="3"/>
  <c r="C1054" i="3"/>
  <c r="D1055" i="3"/>
  <c r="E1055" i="3"/>
  <c r="B1056" i="3"/>
  <c r="B1057" i="3"/>
  <c r="D1057" i="3"/>
  <c r="E1057" i="3"/>
  <c r="C1059" i="3"/>
  <c r="D1059" i="3"/>
  <c r="E1059" i="3"/>
  <c r="D1061" i="3"/>
  <c r="E1061" i="3"/>
  <c r="D1063" i="3"/>
  <c r="E1063" i="3"/>
  <c r="B1064" i="3"/>
  <c r="C1064" i="3"/>
  <c r="B1065" i="3"/>
  <c r="D1065" i="3"/>
  <c r="E1065" i="3"/>
  <c r="B1067" i="3"/>
  <c r="C1067" i="3"/>
  <c r="D1067" i="3"/>
  <c r="E1067" i="3"/>
  <c r="D1069" i="3"/>
  <c r="E1069" i="3"/>
  <c r="B1070" i="3"/>
  <c r="C1070" i="3"/>
  <c r="D1071" i="3"/>
  <c r="E1071" i="3"/>
  <c r="B1072" i="3"/>
  <c r="A1073" i="3"/>
  <c r="D1073" i="3"/>
  <c r="E1073" i="3"/>
  <c r="A1074" i="3"/>
  <c r="D1074" i="3"/>
  <c r="E1074" i="3"/>
  <c r="A1075" i="3"/>
  <c r="A1076" i="3" s="1"/>
  <c r="A1077" i="3" s="1"/>
  <c r="A1078" i="3" s="1"/>
  <c r="A1079" i="3" s="1"/>
  <c r="A1080" i="3" s="1"/>
  <c r="A1081" i="3" s="1"/>
  <c r="A1082" i="3" s="1"/>
  <c r="D1075" i="3"/>
  <c r="C1076" i="3"/>
  <c r="D1076" i="3"/>
  <c r="E1076" i="3"/>
  <c r="B1077" i="3"/>
  <c r="D1077" i="3"/>
  <c r="E1077" i="3"/>
  <c r="B1078" i="3"/>
  <c r="C1078" i="3"/>
  <c r="D1078" i="3"/>
  <c r="E1078" i="3"/>
  <c r="D1079" i="3"/>
  <c r="E1079" i="3"/>
  <c r="C1080" i="3"/>
  <c r="D1080" i="3"/>
  <c r="E1080" i="3"/>
  <c r="B1081" i="3"/>
  <c r="D1081" i="3"/>
  <c r="E1081" i="3"/>
  <c r="D1082" i="3"/>
  <c r="E1082" i="3"/>
  <c r="A1083" i="3"/>
  <c r="A1084" i="3" s="1"/>
  <c r="B1083" i="3"/>
  <c r="C1083" i="3"/>
  <c r="D1083" i="3"/>
  <c r="E1083" i="3"/>
  <c r="D1084" i="3"/>
  <c r="E1084" i="3"/>
  <c r="A1085" i="3"/>
  <c r="A1086" i="3" s="1"/>
  <c r="A1087" i="3" s="1"/>
  <c r="B1085" i="3"/>
  <c r="D1085" i="3"/>
  <c r="E1085" i="3"/>
  <c r="D1086" i="3"/>
  <c r="E1086" i="3"/>
  <c r="D1087" i="3"/>
  <c r="E1087" i="3"/>
  <c r="A1088" i="3"/>
  <c r="A1089" i="3" s="1"/>
  <c r="A1090" i="3" s="1"/>
  <c r="A1091" i="3" s="1"/>
  <c r="A1092" i="3" s="1"/>
  <c r="A1093" i="3" s="1"/>
  <c r="A1094" i="3" s="1"/>
  <c r="A1095" i="3" s="1"/>
  <c r="A1096" i="3" s="1"/>
  <c r="A1097" i="3" s="1"/>
  <c r="B1097" i="3" s="1"/>
  <c r="D1088" i="3"/>
  <c r="E1088" i="3"/>
  <c r="B1089" i="3"/>
  <c r="D1089" i="3"/>
  <c r="E1089" i="3"/>
  <c r="D1090" i="3"/>
  <c r="E1090" i="3"/>
  <c r="B1091" i="3"/>
  <c r="D1091" i="3"/>
  <c r="E1091" i="3"/>
  <c r="D1092" i="3"/>
  <c r="E1092" i="3"/>
  <c r="B1093" i="3"/>
  <c r="D1093" i="3"/>
  <c r="E1093" i="3"/>
  <c r="D1094" i="3"/>
  <c r="E1094" i="3"/>
  <c r="D1095" i="3"/>
  <c r="E1095" i="3"/>
  <c r="B1096" i="3"/>
  <c r="D1096" i="3"/>
  <c r="E1096" i="3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50" i="2"/>
  <c r="C1050" i="2"/>
  <c r="D1050" i="2"/>
  <c r="E1050" i="2"/>
  <c r="F1050" i="2"/>
  <c r="G1050" i="2"/>
  <c r="I1050" i="2"/>
  <c r="J1050" i="2"/>
  <c r="B1051" i="2"/>
  <c r="C1051" i="2"/>
  <c r="D1051" i="2"/>
  <c r="E1051" i="2"/>
  <c r="F1051" i="2"/>
  <c r="G1051" i="2"/>
  <c r="I1051" i="2"/>
  <c r="J1051" i="2"/>
  <c r="B1052" i="2"/>
  <c r="C1052" i="2"/>
  <c r="D1052" i="2"/>
  <c r="E1052" i="2"/>
  <c r="F1052" i="2"/>
  <c r="G1052" i="2"/>
  <c r="H1052" i="2"/>
  <c r="I1052" i="2"/>
  <c r="J1052" i="2"/>
  <c r="B1053" i="2"/>
  <c r="C1053" i="2"/>
  <c r="D1053" i="2"/>
  <c r="E1053" i="2"/>
  <c r="F1053" i="2"/>
  <c r="G1053" i="2"/>
  <c r="H1053" i="2"/>
  <c r="I1053" i="2"/>
  <c r="J1053" i="2"/>
  <c r="B1054" i="2"/>
  <c r="C1054" i="2"/>
  <c r="D1054" i="2"/>
  <c r="E1054" i="2"/>
  <c r="F1054" i="2"/>
  <c r="G1054" i="2"/>
  <c r="H1054" i="2"/>
  <c r="I1054" i="2"/>
  <c r="J1054" i="2"/>
  <c r="B1055" i="2"/>
  <c r="C1055" i="2"/>
  <c r="D1055" i="2"/>
  <c r="E1055" i="2"/>
  <c r="F1055" i="2"/>
  <c r="G1055" i="2"/>
  <c r="H1055" i="2"/>
  <c r="I1055" i="2"/>
  <c r="J1055" i="2"/>
  <c r="B1056" i="2"/>
  <c r="C1056" i="2"/>
  <c r="D1056" i="2"/>
  <c r="E1056" i="2"/>
  <c r="F1056" i="2"/>
  <c r="G1056" i="2"/>
  <c r="H1056" i="2"/>
  <c r="I1056" i="2"/>
  <c r="J1056" i="2"/>
  <c r="B1057" i="2"/>
  <c r="C1057" i="2"/>
  <c r="D1057" i="2"/>
  <c r="E1057" i="2"/>
  <c r="F1057" i="2"/>
  <c r="G1057" i="2"/>
  <c r="H1057" i="2"/>
  <c r="I1057" i="2"/>
  <c r="J1057" i="2"/>
  <c r="B1058" i="2"/>
  <c r="C1058" i="2"/>
  <c r="D1058" i="2"/>
  <c r="E1058" i="2"/>
  <c r="F1058" i="2"/>
  <c r="G1058" i="2"/>
  <c r="H1058" i="2"/>
  <c r="I1058" i="2"/>
  <c r="J1058" i="2"/>
  <c r="B1059" i="2"/>
  <c r="C1059" i="2"/>
  <c r="D1059" i="2"/>
  <c r="E1059" i="2"/>
  <c r="F1059" i="2"/>
  <c r="G1059" i="2"/>
  <c r="H1059" i="2"/>
  <c r="I1059" i="2"/>
  <c r="J1059" i="2"/>
  <c r="B1060" i="2"/>
  <c r="C1060" i="2"/>
  <c r="D1060" i="2"/>
  <c r="E1060" i="2"/>
  <c r="F1060" i="2"/>
  <c r="G1060" i="2"/>
  <c r="H1060" i="2"/>
  <c r="I1060" i="2"/>
  <c r="J1060" i="2"/>
  <c r="B1061" i="2"/>
  <c r="C1061" i="2"/>
  <c r="D1061" i="2"/>
  <c r="E1061" i="2"/>
  <c r="F1061" i="2"/>
  <c r="G1061" i="2"/>
  <c r="H1061" i="2"/>
  <c r="I1061" i="2"/>
  <c r="J1061" i="2"/>
  <c r="B1062" i="2"/>
  <c r="C1062" i="2"/>
  <c r="D1062" i="2"/>
  <c r="E1062" i="2"/>
  <c r="F1062" i="2"/>
  <c r="G1062" i="2"/>
  <c r="H1062" i="2"/>
  <c r="I1062" i="2"/>
  <c r="J1062" i="2"/>
  <c r="B1063" i="2"/>
  <c r="C1063" i="2"/>
  <c r="D1063" i="2"/>
  <c r="E1063" i="2"/>
  <c r="F1063" i="2"/>
  <c r="G1063" i="2"/>
  <c r="H1063" i="2"/>
  <c r="I1063" i="2"/>
  <c r="J1063" i="2"/>
  <c r="B1064" i="2"/>
  <c r="C1064" i="2"/>
  <c r="D1064" i="2"/>
  <c r="E1064" i="2"/>
  <c r="F1064" i="2"/>
  <c r="G1064" i="2"/>
  <c r="H1064" i="2"/>
  <c r="I1064" i="2"/>
  <c r="J1064" i="2"/>
  <c r="B1065" i="2"/>
  <c r="C1065" i="2"/>
  <c r="D1065" i="2"/>
  <c r="E1065" i="2"/>
  <c r="F1065" i="2"/>
  <c r="G1065" i="2"/>
  <c r="H1065" i="2"/>
  <c r="I1065" i="2"/>
  <c r="J1065" i="2"/>
  <c r="B1066" i="2"/>
  <c r="C1066" i="2"/>
  <c r="D1066" i="2"/>
  <c r="E1066" i="2"/>
  <c r="F1066" i="2"/>
  <c r="G1066" i="2"/>
  <c r="H1066" i="2"/>
  <c r="I1066" i="2"/>
  <c r="J1066" i="2"/>
  <c r="B1067" i="2"/>
  <c r="C1067" i="2"/>
  <c r="D1067" i="2"/>
  <c r="E1067" i="2"/>
  <c r="F1067" i="2"/>
  <c r="G1067" i="2"/>
  <c r="H1067" i="2"/>
  <c r="I1067" i="2"/>
  <c r="J1067" i="2"/>
  <c r="B1068" i="2"/>
  <c r="C1068" i="2"/>
  <c r="D1068" i="2"/>
  <c r="E1068" i="2"/>
  <c r="F1068" i="2"/>
  <c r="G1068" i="2"/>
  <c r="H1068" i="2"/>
  <c r="I1068" i="2"/>
  <c r="J1068" i="2"/>
  <c r="B1069" i="2"/>
  <c r="C1069" i="2"/>
  <c r="D1069" i="2"/>
  <c r="E1069" i="2"/>
  <c r="F1069" i="2"/>
  <c r="G1069" i="2"/>
  <c r="H1069" i="2"/>
  <c r="I1069" i="2"/>
  <c r="J1069" i="2"/>
  <c r="B1070" i="2"/>
  <c r="C1070" i="2"/>
  <c r="D1070" i="2"/>
  <c r="E1070" i="2"/>
  <c r="F1070" i="2"/>
  <c r="G1070" i="2"/>
  <c r="H1070" i="2"/>
  <c r="I1070" i="2"/>
  <c r="J1070" i="2"/>
  <c r="B1071" i="2"/>
  <c r="C1071" i="2"/>
  <c r="D1071" i="2"/>
  <c r="E1071" i="2"/>
  <c r="F1071" i="2"/>
  <c r="G1071" i="2"/>
  <c r="H1071" i="2"/>
  <c r="I1071" i="2"/>
  <c r="J1071" i="2"/>
  <c r="B1072" i="2"/>
  <c r="C1072" i="2"/>
  <c r="D1072" i="2"/>
  <c r="E1072" i="2"/>
  <c r="F1072" i="2"/>
  <c r="G1072" i="2"/>
  <c r="H1072" i="2"/>
  <c r="I1072" i="2"/>
  <c r="J1072" i="2"/>
  <c r="A1073" i="2"/>
  <c r="A1074" i="2" s="1"/>
  <c r="C1073" i="2"/>
  <c r="D1073" i="2"/>
  <c r="E1073" i="2"/>
  <c r="F1073" i="2"/>
  <c r="G1073" i="2"/>
  <c r="H1073" i="2"/>
  <c r="I1073" i="2"/>
  <c r="J1073" i="2"/>
  <c r="C1074" i="2"/>
  <c r="D1074" i="2"/>
  <c r="E1074" i="2"/>
  <c r="F1074" i="2"/>
  <c r="G1074" i="2"/>
  <c r="H1074" i="2"/>
  <c r="I1074" i="2"/>
  <c r="J1074" i="2"/>
  <c r="C1075" i="2"/>
  <c r="D1075" i="2"/>
  <c r="E1075" i="2"/>
  <c r="F1075" i="2"/>
  <c r="G1075" i="2"/>
  <c r="H1075" i="2"/>
  <c r="I1075" i="2"/>
  <c r="J1075" i="2"/>
  <c r="C1076" i="2"/>
  <c r="D1076" i="2"/>
  <c r="E1076" i="2"/>
  <c r="F1076" i="2"/>
  <c r="G1076" i="2"/>
  <c r="H1076" i="2"/>
  <c r="I1076" i="2"/>
  <c r="J1076" i="2"/>
  <c r="C1077" i="2"/>
  <c r="D1077" i="2"/>
  <c r="E1077" i="2"/>
  <c r="F1077" i="2"/>
  <c r="G1077" i="2"/>
  <c r="H1077" i="2"/>
  <c r="I1077" i="2"/>
  <c r="J1077" i="2"/>
  <c r="C1078" i="2"/>
  <c r="D1078" i="2"/>
  <c r="E1078" i="2"/>
  <c r="F1078" i="2"/>
  <c r="G1078" i="2"/>
  <c r="H1078" i="2"/>
  <c r="I1078" i="2"/>
  <c r="J1078" i="2"/>
  <c r="C1079" i="2"/>
  <c r="D1079" i="2"/>
  <c r="E1079" i="2"/>
  <c r="F1079" i="2"/>
  <c r="G1079" i="2"/>
  <c r="H1079" i="2"/>
  <c r="I1079" i="2"/>
  <c r="J1079" i="2"/>
  <c r="C1080" i="2"/>
  <c r="D1080" i="2"/>
  <c r="E1080" i="2"/>
  <c r="F1080" i="2"/>
  <c r="G1080" i="2"/>
  <c r="H1080" i="2"/>
  <c r="I1080" i="2"/>
  <c r="J1080" i="2"/>
  <c r="C1081" i="2"/>
  <c r="D1081" i="2"/>
  <c r="E1081" i="2"/>
  <c r="F1081" i="2"/>
  <c r="G1081" i="2"/>
  <c r="H1081" i="2"/>
  <c r="I1081" i="2"/>
  <c r="J1081" i="2"/>
  <c r="C1082" i="2"/>
  <c r="D1082" i="2"/>
  <c r="E1082" i="2"/>
  <c r="F1082" i="2"/>
  <c r="G1082" i="2"/>
  <c r="H1082" i="2"/>
  <c r="I1082" i="2"/>
  <c r="J1082" i="2"/>
  <c r="C1083" i="2"/>
  <c r="D1083" i="2"/>
  <c r="E1083" i="2"/>
  <c r="F1083" i="2"/>
  <c r="G1083" i="2"/>
  <c r="H1083" i="2"/>
  <c r="I1083" i="2"/>
  <c r="J1083" i="2"/>
  <c r="C1084" i="2"/>
  <c r="D1084" i="2"/>
  <c r="E1084" i="2"/>
  <c r="F1084" i="2"/>
  <c r="G1084" i="2"/>
  <c r="H1084" i="2"/>
  <c r="I1084" i="2"/>
  <c r="J1084" i="2"/>
  <c r="C1085" i="2"/>
  <c r="D1085" i="2"/>
  <c r="E1085" i="2"/>
  <c r="F1085" i="2"/>
  <c r="G1085" i="2"/>
  <c r="H1085" i="2"/>
  <c r="I1085" i="2"/>
  <c r="J1085" i="2"/>
  <c r="C1086" i="2"/>
  <c r="D1086" i="2"/>
  <c r="E1086" i="2"/>
  <c r="F1086" i="2"/>
  <c r="G1086" i="2"/>
  <c r="H1086" i="2"/>
  <c r="I1086" i="2"/>
  <c r="J1086" i="2"/>
  <c r="C1087" i="2"/>
  <c r="D1087" i="2"/>
  <c r="E1087" i="2"/>
  <c r="F1087" i="2"/>
  <c r="G1087" i="2"/>
  <c r="H1087" i="2"/>
  <c r="I1087" i="2"/>
  <c r="J1087" i="2"/>
  <c r="C1088" i="2"/>
  <c r="D1088" i="2"/>
  <c r="E1088" i="2"/>
  <c r="F1088" i="2"/>
  <c r="G1088" i="2"/>
  <c r="H1088" i="2"/>
  <c r="I1088" i="2"/>
  <c r="J1088" i="2"/>
  <c r="C1089" i="2"/>
  <c r="D1089" i="2"/>
  <c r="E1089" i="2"/>
  <c r="F1089" i="2"/>
  <c r="G1089" i="2"/>
  <c r="H1089" i="2"/>
  <c r="I1089" i="2"/>
  <c r="J1089" i="2"/>
  <c r="C1090" i="2"/>
  <c r="D1090" i="2"/>
  <c r="E1090" i="2"/>
  <c r="F1090" i="2"/>
  <c r="G1090" i="2"/>
  <c r="H1090" i="2"/>
  <c r="I1090" i="2"/>
  <c r="J1090" i="2"/>
  <c r="C1091" i="2"/>
  <c r="D1091" i="2"/>
  <c r="E1091" i="2"/>
  <c r="F1091" i="2"/>
  <c r="G1091" i="2"/>
  <c r="H1091" i="2"/>
  <c r="I1091" i="2"/>
  <c r="J1091" i="2"/>
  <c r="C1092" i="2"/>
  <c r="D1092" i="2"/>
  <c r="E1092" i="2"/>
  <c r="F1092" i="2"/>
  <c r="G1092" i="2"/>
  <c r="H1092" i="2"/>
  <c r="I1092" i="2"/>
  <c r="J1092" i="2"/>
  <c r="C1093" i="2"/>
  <c r="D1093" i="2"/>
  <c r="E1093" i="2"/>
  <c r="F1093" i="2"/>
  <c r="G1093" i="2"/>
  <c r="H1093" i="2"/>
  <c r="I1093" i="2"/>
  <c r="J1093" i="2"/>
  <c r="C1094" i="2"/>
  <c r="D1094" i="2"/>
  <c r="E1094" i="2"/>
  <c r="F1094" i="2"/>
  <c r="G1094" i="2"/>
  <c r="H1094" i="2"/>
  <c r="I1094" i="2"/>
  <c r="J1094" i="2"/>
  <c r="C1095" i="2"/>
  <c r="D1095" i="2"/>
  <c r="E1095" i="2"/>
  <c r="F1095" i="2"/>
  <c r="G1095" i="2"/>
  <c r="H1095" i="2"/>
  <c r="I1095" i="2"/>
  <c r="J1095" i="2"/>
  <c r="C1096" i="2"/>
  <c r="D1096" i="2"/>
  <c r="E1096" i="2"/>
  <c r="F1096" i="2"/>
  <c r="G1096" i="2"/>
  <c r="H1096" i="2"/>
  <c r="I1096" i="2"/>
  <c r="J1096" i="2"/>
  <c r="D11" i="1"/>
  <c r="F11" i="1"/>
  <c r="B17" i="1"/>
  <c r="C17" i="1"/>
  <c r="D17" i="1"/>
  <c r="E17" i="1"/>
  <c r="F17" i="1"/>
  <c r="G17" i="1"/>
  <c r="H17" i="1"/>
  <c r="I17" i="1"/>
  <c r="J17" i="1"/>
  <c r="K17" i="1"/>
  <c r="R17" i="1"/>
  <c r="B18" i="1"/>
  <c r="C18" i="1"/>
  <c r="D18" i="1"/>
  <c r="E18" i="1"/>
  <c r="F18" i="1"/>
  <c r="G18" i="1"/>
  <c r="H18" i="1"/>
  <c r="I18" i="1"/>
  <c r="J18" i="1"/>
  <c r="K18" i="1"/>
  <c r="R18" i="1"/>
  <c r="B19" i="1"/>
  <c r="C19" i="1"/>
  <c r="D19" i="1"/>
  <c r="E19" i="1"/>
  <c r="F19" i="1"/>
  <c r="G19" i="1"/>
  <c r="H19" i="1"/>
  <c r="I19" i="1"/>
  <c r="J19" i="1"/>
  <c r="K19" i="1"/>
  <c r="R19" i="1"/>
  <c r="B20" i="1"/>
  <c r="C20" i="1"/>
  <c r="D20" i="1"/>
  <c r="E20" i="1"/>
  <c r="F20" i="1"/>
  <c r="G20" i="1"/>
  <c r="H20" i="1"/>
  <c r="I20" i="1"/>
  <c r="J20" i="1"/>
  <c r="K20" i="1"/>
  <c r="R20" i="1"/>
  <c r="B21" i="1"/>
  <c r="C21" i="1"/>
  <c r="D21" i="1"/>
  <c r="E21" i="1"/>
  <c r="F21" i="1"/>
  <c r="G21" i="1"/>
  <c r="H21" i="1"/>
  <c r="I21" i="1"/>
  <c r="J21" i="1"/>
  <c r="K21" i="1"/>
  <c r="R21" i="1"/>
  <c r="B22" i="1"/>
  <c r="C22" i="1"/>
  <c r="D22" i="1"/>
  <c r="E22" i="1"/>
  <c r="F22" i="1"/>
  <c r="G22" i="1"/>
  <c r="H22" i="1"/>
  <c r="I22" i="1"/>
  <c r="J22" i="1"/>
  <c r="K22" i="1"/>
  <c r="R22" i="1"/>
  <c r="B23" i="1"/>
  <c r="C23" i="1"/>
  <c r="D23" i="1"/>
  <c r="E23" i="1"/>
  <c r="F23" i="1"/>
  <c r="G23" i="1"/>
  <c r="H23" i="1"/>
  <c r="I23" i="1"/>
  <c r="J23" i="1"/>
  <c r="K23" i="1"/>
  <c r="R23" i="1"/>
  <c r="B24" i="1"/>
  <c r="C24" i="1"/>
  <c r="D24" i="1"/>
  <c r="E24" i="1"/>
  <c r="F24" i="1"/>
  <c r="G24" i="1"/>
  <c r="H24" i="1"/>
  <c r="I24" i="1"/>
  <c r="J24" i="1"/>
  <c r="K24" i="1"/>
  <c r="R24" i="1"/>
  <c r="B25" i="1"/>
  <c r="C25" i="1"/>
  <c r="D25" i="1"/>
  <c r="E25" i="1"/>
  <c r="F25" i="1"/>
  <c r="G25" i="1"/>
  <c r="H25" i="1"/>
  <c r="I25" i="1"/>
  <c r="J25" i="1"/>
  <c r="K25" i="1"/>
  <c r="R25" i="1"/>
  <c r="B26" i="1"/>
  <c r="C26" i="1"/>
  <c r="D26" i="1"/>
  <c r="E26" i="1"/>
  <c r="F26" i="1"/>
  <c r="G26" i="1"/>
  <c r="H26" i="1"/>
  <c r="I26" i="1"/>
  <c r="J26" i="1"/>
  <c r="K26" i="1"/>
  <c r="R26" i="1"/>
  <c r="B27" i="1"/>
  <c r="C27" i="1"/>
  <c r="D27" i="1"/>
  <c r="E27" i="1"/>
  <c r="F27" i="1"/>
  <c r="G27" i="1"/>
  <c r="H27" i="1"/>
  <c r="I27" i="1"/>
  <c r="J27" i="1"/>
  <c r="K27" i="1"/>
  <c r="R27" i="1"/>
  <c r="B28" i="1"/>
  <c r="C28" i="1"/>
  <c r="D28" i="1"/>
  <c r="E28" i="1"/>
  <c r="F28" i="1"/>
  <c r="G28" i="1"/>
  <c r="H28" i="1"/>
  <c r="I28" i="1"/>
  <c r="J28" i="1"/>
  <c r="K28" i="1"/>
  <c r="R28" i="1"/>
  <c r="B29" i="1"/>
  <c r="C29" i="1"/>
  <c r="D29" i="1"/>
  <c r="E29" i="1"/>
  <c r="F29" i="1"/>
  <c r="G29" i="1"/>
  <c r="H29" i="1"/>
  <c r="I29" i="1"/>
  <c r="J29" i="1"/>
  <c r="R29" i="1"/>
  <c r="B30" i="1"/>
  <c r="C30" i="1"/>
  <c r="D30" i="1"/>
  <c r="E30" i="1"/>
  <c r="F30" i="1"/>
  <c r="G30" i="1"/>
  <c r="H30" i="1"/>
  <c r="I30" i="1"/>
  <c r="J30" i="1"/>
  <c r="R30" i="1"/>
  <c r="B31" i="1"/>
  <c r="C31" i="1"/>
  <c r="D31" i="1"/>
  <c r="E31" i="1"/>
  <c r="F31" i="1"/>
  <c r="G31" i="1"/>
  <c r="H31" i="1"/>
  <c r="I31" i="1"/>
  <c r="J31" i="1"/>
  <c r="R31" i="1"/>
  <c r="B32" i="1"/>
  <c r="C32" i="1"/>
  <c r="D32" i="1"/>
  <c r="E32" i="1"/>
  <c r="F32" i="1"/>
  <c r="G32" i="1"/>
  <c r="H32" i="1"/>
  <c r="I32" i="1"/>
  <c r="J32" i="1"/>
  <c r="R32" i="1"/>
  <c r="B33" i="1"/>
  <c r="C33" i="1"/>
  <c r="D33" i="1"/>
  <c r="E33" i="1"/>
  <c r="F33" i="1"/>
  <c r="G33" i="1"/>
  <c r="H33" i="1"/>
  <c r="I33" i="1"/>
  <c r="J33" i="1"/>
  <c r="R33" i="1"/>
  <c r="B34" i="1"/>
  <c r="C34" i="1"/>
  <c r="D34" i="1"/>
  <c r="E34" i="1"/>
  <c r="F34" i="1"/>
  <c r="G34" i="1"/>
  <c r="H34" i="1"/>
  <c r="I34" i="1"/>
  <c r="J34" i="1"/>
  <c r="R34" i="1"/>
  <c r="B35" i="1"/>
  <c r="C35" i="1"/>
  <c r="D35" i="1"/>
  <c r="E35" i="1"/>
  <c r="F35" i="1"/>
  <c r="G35" i="1"/>
  <c r="H35" i="1"/>
  <c r="I35" i="1"/>
  <c r="J35" i="1"/>
  <c r="R35" i="1"/>
  <c r="B36" i="1"/>
  <c r="C36" i="1"/>
  <c r="D36" i="1"/>
  <c r="E36" i="1"/>
  <c r="F36" i="1"/>
  <c r="G36" i="1"/>
  <c r="H36" i="1"/>
  <c r="I36" i="1"/>
  <c r="J36" i="1"/>
  <c r="R36" i="1"/>
  <c r="B37" i="1"/>
  <c r="C37" i="1"/>
  <c r="D37" i="1"/>
  <c r="E37" i="1"/>
  <c r="F37" i="1"/>
  <c r="G37" i="1"/>
  <c r="H37" i="1"/>
  <c r="I37" i="1"/>
  <c r="J37" i="1"/>
  <c r="R37" i="1"/>
  <c r="B38" i="1"/>
  <c r="C38" i="1"/>
  <c r="D38" i="1"/>
  <c r="E38" i="1"/>
  <c r="F38" i="1"/>
  <c r="G38" i="1"/>
  <c r="H38" i="1"/>
  <c r="I38" i="1"/>
  <c r="J38" i="1"/>
  <c r="R38" i="1"/>
  <c r="B39" i="1"/>
  <c r="C39" i="1"/>
  <c r="D39" i="1"/>
  <c r="E39" i="1"/>
  <c r="F39" i="1"/>
  <c r="G39" i="1"/>
  <c r="H39" i="1"/>
  <c r="I39" i="1"/>
  <c r="J39" i="1"/>
  <c r="R39" i="1"/>
  <c r="B40" i="1"/>
  <c r="C40" i="1"/>
  <c r="D40" i="1"/>
  <c r="E40" i="1"/>
  <c r="F40" i="1"/>
  <c r="G40" i="1"/>
  <c r="H40" i="1"/>
  <c r="I40" i="1"/>
  <c r="J40" i="1"/>
  <c r="R40" i="1"/>
  <c r="B41" i="1"/>
  <c r="C41" i="1"/>
  <c r="D41" i="1"/>
  <c r="E41" i="1"/>
  <c r="F41" i="1"/>
  <c r="G41" i="1"/>
  <c r="H41" i="1"/>
  <c r="I41" i="1"/>
  <c r="J41" i="1"/>
  <c r="R41" i="1"/>
  <c r="B42" i="1"/>
  <c r="C42" i="1"/>
  <c r="D42" i="1"/>
  <c r="E42" i="1"/>
  <c r="F42" i="1"/>
  <c r="G42" i="1"/>
  <c r="H42" i="1"/>
  <c r="I42" i="1"/>
  <c r="J42" i="1"/>
  <c r="R42" i="1"/>
  <c r="B43" i="1"/>
  <c r="C43" i="1"/>
  <c r="D43" i="1"/>
  <c r="E43" i="1"/>
  <c r="F43" i="1"/>
  <c r="G43" i="1"/>
  <c r="H43" i="1"/>
  <c r="I43" i="1"/>
  <c r="J43" i="1"/>
  <c r="R43" i="1"/>
  <c r="B44" i="1"/>
  <c r="C44" i="1"/>
  <c r="D44" i="1"/>
  <c r="E44" i="1"/>
  <c r="F44" i="1"/>
  <c r="G44" i="1"/>
  <c r="H44" i="1"/>
  <c r="I44" i="1"/>
  <c r="J44" i="1"/>
  <c r="R44" i="1"/>
  <c r="B45" i="1"/>
  <c r="C45" i="1"/>
  <c r="D45" i="1"/>
  <c r="E45" i="1"/>
  <c r="F45" i="1"/>
  <c r="G45" i="1"/>
  <c r="H45" i="1"/>
  <c r="I45" i="1"/>
  <c r="J45" i="1"/>
  <c r="B46" i="1"/>
  <c r="C46" i="1"/>
  <c r="D46" i="1"/>
  <c r="E46" i="1"/>
  <c r="F46" i="1"/>
  <c r="G46" i="1"/>
  <c r="H46" i="1"/>
  <c r="I46" i="1"/>
  <c r="J46" i="1"/>
  <c r="B47" i="1"/>
  <c r="C47" i="1"/>
  <c r="D47" i="1"/>
  <c r="E47" i="1"/>
  <c r="F47" i="1"/>
  <c r="G47" i="1"/>
  <c r="H47" i="1"/>
  <c r="I47" i="1"/>
  <c r="J47" i="1"/>
  <c r="B48" i="1"/>
  <c r="C48" i="1"/>
  <c r="D48" i="1"/>
  <c r="E48" i="1"/>
  <c r="F48" i="1"/>
  <c r="G48" i="1"/>
  <c r="H48" i="1"/>
  <c r="I48" i="1"/>
  <c r="J48" i="1"/>
  <c r="B49" i="1"/>
  <c r="C49" i="1"/>
  <c r="D49" i="1"/>
  <c r="E49" i="1"/>
  <c r="F49" i="1"/>
  <c r="G49" i="1"/>
  <c r="H49" i="1"/>
  <c r="I49" i="1"/>
  <c r="J49" i="1"/>
  <c r="B50" i="1"/>
  <c r="C50" i="1"/>
  <c r="D50" i="1"/>
  <c r="E50" i="1"/>
  <c r="F50" i="1"/>
  <c r="G50" i="1"/>
  <c r="H50" i="1"/>
  <c r="I50" i="1"/>
  <c r="J50" i="1"/>
  <c r="B51" i="1"/>
  <c r="C51" i="1"/>
  <c r="D51" i="1"/>
  <c r="E51" i="1"/>
  <c r="F51" i="1"/>
  <c r="G51" i="1"/>
  <c r="H51" i="1"/>
  <c r="I51" i="1"/>
  <c r="J51" i="1"/>
  <c r="B52" i="1"/>
  <c r="C52" i="1"/>
  <c r="D52" i="1"/>
  <c r="E52" i="1"/>
  <c r="F52" i="1"/>
  <c r="G52" i="1"/>
  <c r="H52" i="1"/>
  <c r="I52" i="1"/>
  <c r="J52" i="1"/>
  <c r="B53" i="1"/>
  <c r="C53" i="1"/>
  <c r="D53" i="1"/>
  <c r="E53" i="1"/>
  <c r="F53" i="1"/>
  <c r="G53" i="1"/>
  <c r="H53" i="1"/>
  <c r="I53" i="1"/>
  <c r="J53" i="1"/>
  <c r="B54" i="1"/>
  <c r="C54" i="1"/>
  <c r="D54" i="1"/>
  <c r="E54" i="1"/>
  <c r="F54" i="1"/>
  <c r="G54" i="1"/>
  <c r="H54" i="1"/>
  <c r="I54" i="1"/>
  <c r="J54" i="1"/>
  <c r="B55" i="1"/>
  <c r="C55" i="1"/>
  <c r="D55" i="1"/>
  <c r="E55" i="1"/>
  <c r="F55" i="1"/>
  <c r="G55" i="1"/>
  <c r="H55" i="1"/>
  <c r="I55" i="1"/>
  <c r="J55" i="1"/>
  <c r="B56" i="1"/>
  <c r="C56" i="1"/>
  <c r="D56" i="1"/>
  <c r="E56" i="1"/>
  <c r="F56" i="1"/>
  <c r="G56" i="1"/>
  <c r="H56" i="1"/>
  <c r="I56" i="1"/>
  <c r="J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F74" i="1"/>
  <c r="G74" i="1"/>
  <c r="H74" i="1"/>
  <c r="I74" i="1"/>
  <c r="J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J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J78" i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5" i="1"/>
  <c r="C85" i="1"/>
  <c r="D85" i="1"/>
  <c r="E85" i="1"/>
  <c r="F85" i="1"/>
  <c r="G85" i="1"/>
  <c r="H85" i="1"/>
  <c r="I85" i="1"/>
  <c r="J85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B89" i="1"/>
  <c r="C89" i="1"/>
  <c r="D89" i="1"/>
  <c r="E89" i="1"/>
  <c r="F89" i="1"/>
  <c r="G89" i="1"/>
  <c r="H89" i="1"/>
  <c r="I89" i="1"/>
  <c r="J89" i="1"/>
  <c r="B90" i="1"/>
  <c r="C90" i="1"/>
  <c r="D90" i="1"/>
  <c r="E90" i="1"/>
  <c r="F90" i="1"/>
  <c r="G90" i="1"/>
  <c r="H90" i="1"/>
  <c r="I90" i="1"/>
  <c r="J90" i="1"/>
  <c r="B91" i="1"/>
  <c r="C91" i="1"/>
  <c r="D91" i="1"/>
  <c r="E91" i="1"/>
  <c r="F91" i="1"/>
  <c r="G91" i="1"/>
  <c r="H91" i="1"/>
  <c r="I91" i="1"/>
  <c r="J91" i="1"/>
  <c r="B92" i="1"/>
  <c r="C92" i="1"/>
  <c r="D92" i="1"/>
  <c r="E92" i="1"/>
  <c r="F92" i="1"/>
  <c r="G92" i="1"/>
  <c r="H92" i="1"/>
  <c r="I92" i="1"/>
  <c r="J92" i="1"/>
  <c r="B93" i="1"/>
  <c r="C93" i="1"/>
  <c r="D93" i="1"/>
  <c r="E93" i="1"/>
  <c r="F93" i="1"/>
  <c r="G93" i="1"/>
  <c r="H93" i="1"/>
  <c r="I93" i="1"/>
  <c r="J93" i="1"/>
  <c r="B94" i="1"/>
  <c r="C94" i="1"/>
  <c r="D94" i="1"/>
  <c r="E94" i="1"/>
  <c r="F94" i="1"/>
  <c r="G94" i="1"/>
  <c r="H94" i="1"/>
  <c r="I94" i="1"/>
  <c r="J94" i="1"/>
  <c r="B95" i="1"/>
  <c r="C95" i="1"/>
  <c r="D95" i="1"/>
  <c r="E95" i="1"/>
  <c r="F95" i="1"/>
  <c r="G95" i="1"/>
  <c r="H95" i="1"/>
  <c r="I95" i="1"/>
  <c r="J95" i="1"/>
  <c r="B96" i="1"/>
  <c r="C96" i="1"/>
  <c r="D96" i="1"/>
  <c r="E96" i="1"/>
  <c r="F96" i="1"/>
  <c r="G96" i="1"/>
  <c r="H96" i="1"/>
  <c r="I96" i="1"/>
  <c r="J96" i="1"/>
  <c r="B97" i="1"/>
  <c r="C97" i="1"/>
  <c r="D97" i="1"/>
  <c r="E97" i="1"/>
  <c r="F97" i="1"/>
  <c r="G97" i="1"/>
  <c r="H97" i="1"/>
  <c r="I97" i="1"/>
  <c r="J97" i="1"/>
  <c r="B98" i="1"/>
  <c r="C98" i="1"/>
  <c r="D98" i="1"/>
  <c r="E98" i="1"/>
  <c r="F98" i="1"/>
  <c r="G98" i="1"/>
  <c r="H98" i="1"/>
  <c r="I98" i="1"/>
  <c r="J98" i="1"/>
  <c r="B99" i="1"/>
  <c r="C99" i="1"/>
  <c r="D99" i="1"/>
  <c r="E99" i="1"/>
  <c r="F99" i="1"/>
  <c r="G99" i="1"/>
  <c r="H99" i="1"/>
  <c r="I99" i="1"/>
  <c r="J99" i="1"/>
  <c r="B100" i="1"/>
  <c r="C100" i="1"/>
  <c r="D100" i="1"/>
  <c r="E100" i="1"/>
  <c r="F100" i="1"/>
  <c r="G100" i="1"/>
  <c r="H100" i="1"/>
  <c r="I100" i="1"/>
  <c r="J100" i="1"/>
  <c r="B101" i="1"/>
  <c r="C101" i="1"/>
  <c r="D101" i="1"/>
  <c r="E101" i="1"/>
  <c r="F101" i="1"/>
  <c r="G101" i="1"/>
  <c r="H101" i="1"/>
  <c r="I101" i="1"/>
  <c r="J101" i="1"/>
  <c r="B102" i="1"/>
  <c r="C102" i="1"/>
  <c r="D102" i="1"/>
  <c r="E102" i="1"/>
  <c r="F102" i="1"/>
  <c r="G102" i="1"/>
  <c r="H102" i="1"/>
  <c r="I102" i="1"/>
  <c r="J102" i="1"/>
  <c r="B103" i="1"/>
  <c r="C103" i="1"/>
  <c r="D103" i="1"/>
  <c r="E103" i="1"/>
  <c r="F103" i="1"/>
  <c r="G103" i="1"/>
  <c r="H103" i="1"/>
  <c r="I103" i="1"/>
  <c r="J103" i="1"/>
  <c r="B104" i="1"/>
  <c r="C104" i="1"/>
  <c r="D104" i="1"/>
  <c r="E104" i="1"/>
  <c r="F104" i="1"/>
  <c r="G104" i="1"/>
  <c r="H104" i="1"/>
  <c r="I104" i="1"/>
  <c r="J104" i="1"/>
  <c r="B105" i="1"/>
  <c r="C105" i="1"/>
  <c r="D105" i="1"/>
  <c r="E105" i="1"/>
  <c r="F105" i="1"/>
  <c r="G105" i="1"/>
  <c r="H105" i="1"/>
  <c r="I105" i="1"/>
  <c r="J105" i="1"/>
  <c r="B106" i="1"/>
  <c r="C106" i="1"/>
  <c r="D106" i="1"/>
  <c r="E106" i="1"/>
  <c r="F106" i="1"/>
  <c r="G106" i="1"/>
  <c r="H106" i="1"/>
  <c r="I106" i="1"/>
  <c r="J106" i="1"/>
  <c r="B107" i="1"/>
  <c r="C107" i="1"/>
  <c r="D107" i="1"/>
  <c r="E107" i="1"/>
  <c r="F107" i="1"/>
  <c r="G107" i="1"/>
  <c r="H107" i="1"/>
  <c r="I107" i="1"/>
  <c r="J107" i="1"/>
  <c r="B108" i="1"/>
  <c r="C108" i="1"/>
  <c r="D108" i="1"/>
  <c r="E108" i="1"/>
  <c r="F108" i="1"/>
  <c r="G108" i="1"/>
  <c r="H108" i="1"/>
  <c r="I108" i="1"/>
  <c r="J108" i="1"/>
  <c r="B109" i="1"/>
  <c r="C109" i="1"/>
  <c r="D109" i="1"/>
  <c r="E109" i="1"/>
  <c r="F109" i="1"/>
  <c r="G109" i="1"/>
  <c r="H109" i="1"/>
  <c r="I109" i="1"/>
  <c r="J109" i="1"/>
  <c r="B110" i="1"/>
  <c r="C110" i="1"/>
  <c r="D110" i="1"/>
  <c r="E110" i="1"/>
  <c r="F110" i="1"/>
  <c r="G110" i="1"/>
  <c r="H110" i="1"/>
  <c r="I110" i="1"/>
  <c r="J110" i="1"/>
  <c r="B111" i="1"/>
  <c r="C111" i="1"/>
  <c r="D111" i="1"/>
  <c r="E111" i="1"/>
  <c r="F111" i="1"/>
  <c r="G111" i="1"/>
  <c r="H111" i="1"/>
  <c r="I111" i="1"/>
  <c r="J111" i="1"/>
  <c r="B112" i="1"/>
  <c r="C112" i="1"/>
  <c r="D112" i="1"/>
  <c r="E112" i="1"/>
  <c r="F112" i="1"/>
  <c r="G112" i="1"/>
  <c r="H112" i="1"/>
  <c r="I112" i="1"/>
  <c r="J112" i="1"/>
  <c r="B113" i="1"/>
  <c r="C113" i="1"/>
  <c r="D113" i="1"/>
  <c r="E113" i="1"/>
  <c r="F113" i="1"/>
  <c r="G113" i="1"/>
  <c r="H113" i="1"/>
  <c r="I113" i="1"/>
  <c r="J113" i="1"/>
  <c r="B114" i="1"/>
  <c r="C114" i="1"/>
  <c r="D114" i="1"/>
  <c r="E114" i="1"/>
  <c r="F114" i="1"/>
  <c r="G114" i="1"/>
  <c r="H114" i="1"/>
  <c r="I114" i="1"/>
  <c r="J114" i="1"/>
  <c r="B115" i="1"/>
  <c r="C115" i="1"/>
  <c r="D115" i="1"/>
  <c r="E115" i="1"/>
  <c r="F115" i="1"/>
  <c r="G115" i="1"/>
  <c r="H115" i="1"/>
  <c r="I115" i="1"/>
  <c r="J115" i="1"/>
  <c r="B116" i="1"/>
  <c r="C116" i="1"/>
  <c r="D116" i="1"/>
  <c r="E116" i="1"/>
  <c r="F116" i="1"/>
  <c r="G116" i="1"/>
  <c r="H116" i="1"/>
  <c r="I116" i="1"/>
  <c r="J116" i="1"/>
  <c r="B117" i="1"/>
  <c r="C117" i="1"/>
  <c r="D117" i="1"/>
  <c r="E117" i="1"/>
  <c r="F117" i="1"/>
  <c r="G117" i="1"/>
  <c r="H117" i="1"/>
  <c r="I117" i="1"/>
  <c r="J117" i="1"/>
  <c r="B118" i="1"/>
  <c r="C118" i="1"/>
  <c r="D118" i="1"/>
  <c r="E118" i="1"/>
  <c r="F118" i="1"/>
  <c r="G118" i="1"/>
  <c r="H118" i="1"/>
  <c r="I118" i="1"/>
  <c r="J118" i="1"/>
  <c r="B119" i="1"/>
  <c r="C119" i="1"/>
  <c r="D119" i="1"/>
  <c r="E119" i="1"/>
  <c r="F119" i="1"/>
  <c r="G119" i="1"/>
  <c r="H119" i="1"/>
  <c r="I119" i="1"/>
  <c r="J119" i="1"/>
  <c r="B120" i="1"/>
  <c r="C120" i="1"/>
  <c r="D120" i="1"/>
  <c r="E120" i="1"/>
  <c r="F120" i="1"/>
  <c r="G120" i="1"/>
  <c r="H120" i="1"/>
  <c r="I120" i="1"/>
  <c r="J120" i="1"/>
  <c r="B121" i="1"/>
  <c r="C121" i="1"/>
  <c r="D121" i="1"/>
  <c r="E121" i="1"/>
  <c r="F121" i="1"/>
  <c r="G121" i="1"/>
  <c r="H121" i="1"/>
  <c r="I121" i="1"/>
  <c r="J121" i="1"/>
  <c r="B122" i="1"/>
  <c r="C122" i="1"/>
  <c r="D122" i="1"/>
  <c r="E122" i="1"/>
  <c r="F122" i="1"/>
  <c r="G122" i="1"/>
  <c r="H122" i="1"/>
  <c r="I122" i="1"/>
  <c r="J122" i="1"/>
  <c r="B123" i="1"/>
  <c r="C123" i="1"/>
  <c r="D123" i="1"/>
  <c r="E123" i="1"/>
  <c r="F123" i="1"/>
  <c r="G123" i="1"/>
  <c r="H123" i="1"/>
  <c r="I123" i="1"/>
  <c r="J123" i="1"/>
  <c r="B124" i="1"/>
  <c r="C124" i="1"/>
  <c r="D124" i="1"/>
  <c r="E124" i="1"/>
  <c r="F124" i="1"/>
  <c r="G124" i="1"/>
  <c r="H124" i="1"/>
  <c r="I124" i="1"/>
  <c r="J124" i="1"/>
  <c r="B125" i="1"/>
  <c r="C125" i="1"/>
  <c r="D125" i="1"/>
  <c r="E125" i="1"/>
  <c r="F125" i="1"/>
  <c r="G125" i="1"/>
  <c r="H125" i="1"/>
  <c r="I125" i="1"/>
  <c r="J125" i="1"/>
  <c r="B126" i="1"/>
  <c r="C126" i="1"/>
  <c r="D126" i="1"/>
  <c r="E126" i="1"/>
  <c r="F126" i="1"/>
  <c r="G126" i="1"/>
  <c r="H126" i="1"/>
  <c r="I126" i="1"/>
  <c r="J126" i="1"/>
  <c r="B127" i="1"/>
  <c r="C127" i="1"/>
  <c r="D127" i="1"/>
  <c r="E127" i="1"/>
  <c r="F127" i="1"/>
  <c r="G127" i="1"/>
  <c r="H127" i="1"/>
  <c r="I127" i="1"/>
  <c r="J127" i="1"/>
  <c r="B128" i="1"/>
  <c r="C128" i="1"/>
  <c r="D128" i="1"/>
  <c r="E128" i="1"/>
  <c r="F128" i="1"/>
  <c r="G128" i="1"/>
  <c r="H128" i="1"/>
  <c r="I128" i="1"/>
  <c r="J128" i="1"/>
  <c r="B129" i="1"/>
  <c r="C129" i="1"/>
  <c r="D129" i="1"/>
  <c r="E129" i="1"/>
  <c r="F129" i="1"/>
  <c r="G129" i="1"/>
  <c r="H129" i="1"/>
  <c r="I129" i="1"/>
  <c r="J129" i="1"/>
  <c r="B130" i="1"/>
  <c r="C130" i="1"/>
  <c r="D130" i="1"/>
  <c r="E130" i="1"/>
  <c r="F130" i="1"/>
  <c r="G130" i="1"/>
  <c r="H130" i="1"/>
  <c r="I130" i="1"/>
  <c r="J130" i="1"/>
  <c r="B131" i="1"/>
  <c r="C131" i="1"/>
  <c r="D131" i="1"/>
  <c r="E131" i="1"/>
  <c r="F131" i="1"/>
  <c r="G131" i="1"/>
  <c r="H131" i="1"/>
  <c r="I131" i="1"/>
  <c r="J131" i="1"/>
  <c r="B132" i="1"/>
  <c r="C132" i="1"/>
  <c r="D132" i="1"/>
  <c r="E132" i="1"/>
  <c r="F132" i="1"/>
  <c r="G132" i="1"/>
  <c r="H132" i="1"/>
  <c r="I132" i="1"/>
  <c r="J132" i="1"/>
  <c r="B133" i="1"/>
  <c r="C133" i="1"/>
  <c r="D133" i="1"/>
  <c r="E133" i="1"/>
  <c r="F133" i="1"/>
  <c r="G133" i="1"/>
  <c r="H133" i="1"/>
  <c r="I133" i="1"/>
  <c r="J133" i="1"/>
  <c r="B134" i="1"/>
  <c r="C134" i="1"/>
  <c r="D134" i="1"/>
  <c r="E134" i="1"/>
  <c r="F134" i="1"/>
  <c r="G134" i="1"/>
  <c r="H134" i="1"/>
  <c r="I134" i="1"/>
  <c r="J134" i="1"/>
  <c r="B135" i="1"/>
  <c r="C135" i="1"/>
  <c r="D135" i="1"/>
  <c r="E135" i="1"/>
  <c r="F135" i="1"/>
  <c r="G135" i="1"/>
  <c r="H135" i="1"/>
  <c r="I135" i="1"/>
  <c r="J135" i="1"/>
  <c r="B136" i="1"/>
  <c r="C136" i="1"/>
  <c r="D136" i="1"/>
  <c r="E136" i="1"/>
  <c r="F136" i="1"/>
  <c r="G136" i="1"/>
  <c r="H136" i="1"/>
  <c r="I136" i="1"/>
  <c r="J136" i="1"/>
  <c r="B137" i="1"/>
  <c r="C137" i="1"/>
  <c r="D137" i="1"/>
  <c r="E137" i="1"/>
  <c r="F137" i="1"/>
  <c r="G137" i="1"/>
  <c r="H137" i="1"/>
  <c r="I137" i="1"/>
  <c r="J137" i="1"/>
  <c r="B138" i="1"/>
  <c r="C138" i="1"/>
  <c r="D138" i="1"/>
  <c r="E138" i="1"/>
  <c r="F138" i="1"/>
  <c r="G138" i="1"/>
  <c r="H138" i="1"/>
  <c r="I138" i="1"/>
  <c r="J138" i="1"/>
  <c r="B139" i="1"/>
  <c r="C139" i="1"/>
  <c r="D139" i="1"/>
  <c r="E139" i="1"/>
  <c r="F139" i="1"/>
  <c r="G139" i="1"/>
  <c r="H139" i="1"/>
  <c r="I139" i="1"/>
  <c r="J139" i="1"/>
  <c r="B140" i="1"/>
  <c r="C140" i="1"/>
  <c r="D140" i="1"/>
  <c r="E140" i="1"/>
  <c r="F140" i="1"/>
  <c r="G140" i="1"/>
  <c r="H140" i="1"/>
  <c r="I140" i="1"/>
  <c r="J140" i="1"/>
  <c r="B141" i="1"/>
  <c r="C141" i="1"/>
  <c r="D141" i="1"/>
  <c r="E141" i="1"/>
  <c r="F141" i="1"/>
  <c r="G141" i="1"/>
  <c r="H141" i="1"/>
  <c r="I141" i="1"/>
  <c r="J141" i="1"/>
  <c r="B142" i="1"/>
  <c r="C142" i="1"/>
  <c r="D142" i="1"/>
  <c r="E142" i="1"/>
  <c r="F142" i="1"/>
  <c r="G142" i="1"/>
  <c r="H142" i="1"/>
  <c r="I142" i="1"/>
  <c r="J142" i="1"/>
  <c r="B143" i="1"/>
  <c r="C143" i="1"/>
  <c r="D143" i="1"/>
  <c r="E143" i="1"/>
  <c r="F143" i="1"/>
  <c r="G143" i="1"/>
  <c r="H143" i="1"/>
  <c r="I143" i="1"/>
  <c r="J143" i="1"/>
  <c r="B144" i="1"/>
  <c r="C144" i="1"/>
  <c r="D144" i="1"/>
  <c r="E144" i="1"/>
  <c r="F144" i="1"/>
  <c r="G144" i="1"/>
  <c r="H144" i="1"/>
  <c r="I144" i="1"/>
  <c r="J144" i="1"/>
  <c r="B145" i="1"/>
  <c r="C145" i="1"/>
  <c r="D145" i="1"/>
  <c r="E145" i="1"/>
  <c r="F145" i="1"/>
  <c r="G145" i="1"/>
  <c r="H145" i="1"/>
  <c r="I145" i="1"/>
  <c r="J145" i="1"/>
  <c r="B146" i="1"/>
  <c r="C146" i="1"/>
  <c r="D146" i="1"/>
  <c r="E146" i="1"/>
  <c r="F146" i="1"/>
  <c r="G146" i="1"/>
  <c r="H146" i="1"/>
  <c r="I146" i="1"/>
  <c r="J146" i="1"/>
  <c r="B147" i="1"/>
  <c r="C147" i="1"/>
  <c r="D147" i="1"/>
  <c r="E147" i="1"/>
  <c r="F147" i="1"/>
  <c r="G147" i="1"/>
  <c r="H147" i="1"/>
  <c r="I147" i="1"/>
  <c r="J147" i="1"/>
  <c r="B148" i="1"/>
  <c r="C148" i="1"/>
  <c r="D148" i="1"/>
  <c r="E148" i="1"/>
  <c r="F148" i="1"/>
  <c r="G148" i="1"/>
  <c r="H148" i="1"/>
  <c r="I148" i="1"/>
  <c r="J148" i="1"/>
  <c r="B149" i="1"/>
  <c r="C149" i="1"/>
  <c r="D149" i="1"/>
  <c r="E149" i="1"/>
  <c r="F149" i="1"/>
  <c r="G149" i="1"/>
  <c r="H149" i="1"/>
  <c r="I149" i="1"/>
  <c r="J149" i="1"/>
  <c r="B150" i="1"/>
  <c r="C150" i="1"/>
  <c r="D150" i="1"/>
  <c r="E150" i="1"/>
  <c r="F150" i="1"/>
  <c r="G150" i="1"/>
  <c r="H150" i="1"/>
  <c r="I150" i="1"/>
  <c r="J150" i="1"/>
  <c r="B151" i="1"/>
  <c r="C151" i="1"/>
  <c r="D151" i="1"/>
  <c r="E151" i="1"/>
  <c r="F151" i="1"/>
  <c r="G151" i="1"/>
  <c r="H151" i="1"/>
  <c r="I151" i="1"/>
  <c r="J151" i="1"/>
  <c r="B152" i="1"/>
  <c r="C152" i="1"/>
  <c r="D152" i="1"/>
  <c r="E152" i="1"/>
  <c r="F152" i="1"/>
  <c r="G152" i="1"/>
  <c r="H152" i="1"/>
  <c r="I152" i="1"/>
  <c r="J152" i="1"/>
  <c r="B153" i="1"/>
  <c r="C153" i="1"/>
  <c r="D153" i="1"/>
  <c r="E153" i="1"/>
  <c r="F153" i="1"/>
  <c r="G153" i="1"/>
  <c r="H153" i="1"/>
  <c r="I153" i="1"/>
  <c r="J153" i="1"/>
  <c r="B154" i="1"/>
  <c r="C154" i="1"/>
  <c r="D154" i="1"/>
  <c r="E154" i="1"/>
  <c r="F154" i="1"/>
  <c r="G154" i="1"/>
  <c r="H154" i="1"/>
  <c r="I154" i="1"/>
  <c r="J154" i="1"/>
  <c r="B155" i="1"/>
  <c r="C155" i="1"/>
  <c r="D155" i="1"/>
  <c r="E155" i="1"/>
  <c r="F155" i="1"/>
  <c r="G155" i="1"/>
  <c r="H155" i="1"/>
  <c r="I155" i="1"/>
  <c r="J155" i="1"/>
  <c r="B156" i="1"/>
  <c r="C156" i="1"/>
  <c r="D156" i="1"/>
  <c r="E156" i="1"/>
  <c r="F156" i="1"/>
  <c r="G156" i="1"/>
  <c r="H156" i="1"/>
  <c r="I156" i="1"/>
  <c r="J156" i="1"/>
  <c r="B157" i="1"/>
  <c r="C157" i="1"/>
  <c r="D157" i="1"/>
  <c r="E157" i="1"/>
  <c r="F157" i="1"/>
  <c r="G157" i="1"/>
  <c r="H157" i="1"/>
  <c r="I157" i="1"/>
  <c r="J157" i="1"/>
  <c r="B158" i="1"/>
  <c r="C158" i="1"/>
  <c r="D158" i="1"/>
  <c r="E158" i="1"/>
  <c r="F158" i="1"/>
  <c r="G158" i="1"/>
  <c r="H158" i="1"/>
  <c r="I158" i="1"/>
  <c r="J158" i="1"/>
  <c r="B159" i="1"/>
  <c r="C159" i="1"/>
  <c r="D159" i="1"/>
  <c r="E159" i="1"/>
  <c r="F159" i="1"/>
  <c r="G159" i="1"/>
  <c r="H159" i="1"/>
  <c r="I159" i="1"/>
  <c r="J159" i="1"/>
  <c r="B160" i="1"/>
  <c r="C160" i="1"/>
  <c r="D160" i="1"/>
  <c r="E160" i="1"/>
  <c r="F160" i="1"/>
  <c r="G160" i="1"/>
  <c r="H160" i="1"/>
  <c r="I160" i="1"/>
  <c r="J160" i="1"/>
  <c r="B161" i="1"/>
  <c r="C161" i="1"/>
  <c r="D161" i="1"/>
  <c r="E161" i="1"/>
  <c r="F161" i="1"/>
  <c r="G161" i="1"/>
  <c r="H161" i="1"/>
  <c r="I161" i="1"/>
  <c r="J161" i="1"/>
  <c r="B162" i="1"/>
  <c r="C162" i="1"/>
  <c r="D162" i="1"/>
  <c r="E162" i="1"/>
  <c r="F162" i="1"/>
  <c r="G162" i="1"/>
  <c r="H162" i="1"/>
  <c r="I162" i="1"/>
  <c r="J162" i="1"/>
  <c r="B163" i="1"/>
  <c r="C163" i="1"/>
  <c r="D163" i="1"/>
  <c r="E163" i="1"/>
  <c r="F163" i="1"/>
  <c r="G163" i="1"/>
  <c r="H163" i="1"/>
  <c r="I163" i="1"/>
  <c r="J163" i="1"/>
  <c r="B164" i="1"/>
  <c r="C164" i="1"/>
  <c r="D164" i="1"/>
  <c r="E164" i="1"/>
  <c r="F164" i="1"/>
  <c r="G164" i="1"/>
  <c r="H164" i="1"/>
  <c r="I164" i="1"/>
  <c r="J164" i="1"/>
  <c r="B165" i="1"/>
  <c r="C165" i="1"/>
  <c r="D165" i="1"/>
  <c r="E165" i="1"/>
  <c r="F165" i="1"/>
  <c r="G165" i="1"/>
  <c r="H165" i="1"/>
  <c r="I165" i="1"/>
  <c r="J165" i="1"/>
  <c r="B166" i="1"/>
  <c r="C166" i="1"/>
  <c r="D166" i="1"/>
  <c r="E166" i="1"/>
  <c r="F166" i="1"/>
  <c r="G166" i="1"/>
  <c r="H166" i="1"/>
  <c r="I166" i="1"/>
  <c r="J166" i="1"/>
  <c r="B167" i="1"/>
  <c r="C167" i="1"/>
  <c r="D167" i="1"/>
  <c r="E167" i="1"/>
  <c r="F167" i="1"/>
  <c r="G167" i="1"/>
  <c r="H167" i="1"/>
  <c r="I167" i="1"/>
  <c r="J167" i="1"/>
  <c r="B168" i="1"/>
  <c r="C168" i="1"/>
  <c r="D168" i="1"/>
  <c r="E168" i="1"/>
  <c r="F168" i="1"/>
  <c r="G168" i="1"/>
  <c r="H168" i="1"/>
  <c r="I168" i="1"/>
  <c r="J168" i="1"/>
  <c r="B169" i="1"/>
  <c r="C169" i="1"/>
  <c r="D169" i="1"/>
  <c r="E169" i="1"/>
  <c r="F169" i="1"/>
  <c r="G169" i="1"/>
  <c r="H169" i="1"/>
  <c r="I169" i="1"/>
  <c r="J169" i="1"/>
  <c r="B170" i="1"/>
  <c r="C170" i="1"/>
  <c r="D170" i="1"/>
  <c r="E170" i="1"/>
  <c r="F170" i="1"/>
  <c r="G170" i="1"/>
  <c r="H170" i="1"/>
  <c r="I170" i="1"/>
  <c r="J170" i="1"/>
  <c r="B171" i="1"/>
  <c r="C171" i="1"/>
  <c r="D171" i="1"/>
  <c r="E171" i="1"/>
  <c r="F171" i="1"/>
  <c r="G171" i="1"/>
  <c r="H171" i="1"/>
  <c r="I171" i="1"/>
  <c r="J171" i="1"/>
  <c r="B172" i="1"/>
  <c r="C172" i="1"/>
  <c r="D172" i="1"/>
  <c r="E172" i="1"/>
  <c r="F172" i="1"/>
  <c r="G172" i="1"/>
  <c r="H172" i="1"/>
  <c r="I172" i="1"/>
  <c r="J172" i="1"/>
  <c r="B173" i="1"/>
  <c r="C173" i="1"/>
  <c r="D173" i="1"/>
  <c r="E173" i="1"/>
  <c r="F173" i="1"/>
  <c r="G173" i="1"/>
  <c r="H173" i="1"/>
  <c r="I173" i="1"/>
  <c r="J173" i="1"/>
  <c r="B174" i="1"/>
  <c r="C174" i="1"/>
  <c r="D174" i="1"/>
  <c r="E174" i="1"/>
  <c r="F174" i="1"/>
  <c r="G174" i="1"/>
  <c r="H174" i="1"/>
  <c r="I174" i="1"/>
  <c r="J174" i="1"/>
  <c r="B175" i="1"/>
  <c r="C175" i="1"/>
  <c r="D175" i="1"/>
  <c r="E175" i="1"/>
  <c r="F175" i="1"/>
  <c r="G175" i="1"/>
  <c r="H175" i="1"/>
  <c r="I175" i="1"/>
  <c r="J175" i="1"/>
  <c r="B176" i="1"/>
  <c r="C176" i="1"/>
  <c r="D176" i="1"/>
  <c r="E176" i="1"/>
  <c r="F176" i="1"/>
  <c r="G176" i="1"/>
  <c r="H176" i="1"/>
  <c r="I176" i="1"/>
  <c r="J176" i="1"/>
  <c r="B177" i="1"/>
  <c r="C177" i="1"/>
  <c r="D177" i="1"/>
  <c r="E177" i="1"/>
  <c r="F177" i="1"/>
  <c r="G177" i="1"/>
  <c r="H177" i="1"/>
  <c r="I177" i="1"/>
  <c r="J177" i="1"/>
  <c r="B178" i="1"/>
  <c r="C178" i="1"/>
  <c r="D178" i="1"/>
  <c r="E178" i="1"/>
  <c r="F178" i="1"/>
  <c r="G178" i="1"/>
  <c r="H178" i="1"/>
  <c r="I178" i="1"/>
  <c r="J178" i="1"/>
  <c r="B179" i="1"/>
  <c r="C179" i="1"/>
  <c r="D179" i="1"/>
  <c r="E179" i="1"/>
  <c r="F179" i="1"/>
  <c r="G179" i="1"/>
  <c r="H179" i="1"/>
  <c r="I179" i="1"/>
  <c r="J179" i="1"/>
  <c r="B180" i="1"/>
  <c r="C180" i="1"/>
  <c r="D180" i="1"/>
  <c r="E180" i="1"/>
  <c r="F180" i="1"/>
  <c r="G180" i="1"/>
  <c r="H180" i="1"/>
  <c r="I180" i="1"/>
  <c r="J180" i="1"/>
  <c r="B181" i="1"/>
  <c r="C181" i="1"/>
  <c r="D181" i="1"/>
  <c r="E181" i="1"/>
  <c r="F181" i="1"/>
  <c r="G181" i="1"/>
  <c r="H181" i="1"/>
  <c r="I181" i="1"/>
  <c r="J181" i="1"/>
  <c r="B182" i="1"/>
  <c r="C182" i="1"/>
  <c r="D182" i="1"/>
  <c r="E182" i="1"/>
  <c r="F182" i="1"/>
  <c r="G182" i="1"/>
  <c r="H182" i="1"/>
  <c r="I182" i="1"/>
  <c r="J182" i="1"/>
  <c r="B183" i="1"/>
  <c r="C183" i="1"/>
  <c r="D183" i="1"/>
  <c r="E183" i="1"/>
  <c r="F183" i="1"/>
  <c r="G183" i="1"/>
  <c r="H183" i="1"/>
  <c r="I183" i="1"/>
  <c r="J183" i="1"/>
  <c r="B184" i="1"/>
  <c r="C184" i="1"/>
  <c r="D184" i="1"/>
  <c r="E184" i="1"/>
  <c r="F184" i="1"/>
  <c r="G184" i="1"/>
  <c r="H184" i="1"/>
  <c r="I184" i="1"/>
  <c r="J184" i="1"/>
  <c r="B185" i="1"/>
  <c r="C185" i="1"/>
  <c r="D185" i="1"/>
  <c r="E185" i="1"/>
  <c r="F185" i="1"/>
  <c r="G185" i="1"/>
  <c r="H185" i="1"/>
  <c r="I185" i="1"/>
  <c r="J185" i="1"/>
  <c r="B186" i="1"/>
  <c r="C186" i="1"/>
  <c r="D186" i="1"/>
  <c r="E186" i="1"/>
  <c r="F186" i="1"/>
  <c r="G186" i="1"/>
  <c r="H186" i="1"/>
  <c r="I186" i="1"/>
  <c r="J186" i="1"/>
  <c r="B187" i="1"/>
  <c r="C187" i="1"/>
  <c r="D187" i="1"/>
  <c r="E187" i="1"/>
  <c r="F187" i="1"/>
  <c r="G187" i="1"/>
  <c r="H187" i="1"/>
  <c r="I187" i="1"/>
  <c r="J187" i="1"/>
  <c r="B188" i="1"/>
  <c r="C188" i="1"/>
  <c r="D188" i="1"/>
  <c r="E188" i="1"/>
  <c r="F188" i="1"/>
  <c r="G188" i="1"/>
  <c r="H188" i="1"/>
  <c r="I188" i="1"/>
  <c r="J188" i="1"/>
  <c r="B189" i="1"/>
  <c r="C189" i="1"/>
  <c r="D189" i="1"/>
  <c r="E189" i="1"/>
  <c r="F189" i="1"/>
  <c r="G189" i="1"/>
  <c r="H189" i="1"/>
  <c r="I189" i="1"/>
  <c r="J189" i="1"/>
  <c r="B190" i="1"/>
  <c r="C190" i="1"/>
  <c r="D190" i="1"/>
  <c r="E190" i="1"/>
  <c r="F190" i="1"/>
  <c r="G190" i="1"/>
  <c r="H190" i="1"/>
  <c r="I190" i="1"/>
  <c r="J190" i="1"/>
  <c r="B191" i="1"/>
  <c r="C191" i="1"/>
  <c r="D191" i="1"/>
  <c r="E191" i="1"/>
  <c r="F191" i="1"/>
  <c r="G191" i="1"/>
  <c r="H191" i="1"/>
  <c r="I191" i="1"/>
  <c r="J191" i="1"/>
  <c r="B192" i="1"/>
  <c r="C192" i="1"/>
  <c r="D192" i="1"/>
  <c r="E192" i="1"/>
  <c r="F192" i="1"/>
  <c r="G192" i="1"/>
  <c r="H192" i="1"/>
  <c r="I192" i="1"/>
  <c r="J192" i="1"/>
  <c r="B193" i="1"/>
  <c r="C193" i="1"/>
  <c r="D193" i="1"/>
  <c r="E193" i="1"/>
  <c r="F193" i="1"/>
  <c r="G193" i="1"/>
  <c r="H193" i="1"/>
  <c r="I193" i="1"/>
  <c r="J193" i="1"/>
  <c r="B194" i="1"/>
  <c r="C194" i="1"/>
  <c r="D194" i="1"/>
  <c r="E194" i="1"/>
  <c r="F194" i="1"/>
  <c r="G194" i="1"/>
  <c r="H194" i="1"/>
  <c r="I194" i="1"/>
  <c r="J194" i="1"/>
  <c r="B195" i="1"/>
  <c r="C195" i="1"/>
  <c r="D195" i="1"/>
  <c r="E195" i="1"/>
  <c r="F195" i="1"/>
  <c r="G195" i="1"/>
  <c r="H195" i="1"/>
  <c r="I195" i="1"/>
  <c r="J195" i="1"/>
  <c r="B196" i="1"/>
  <c r="C196" i="1"/>
  <c r="D196" i="1"/>
  <c r="E196" i="1"/>
  <c r="F196" i="1"/>
  <c r="G196" i="1"/>
  <c r="H196" i="1"/>
  <c r="I196" i="1"/>
  <c r="J196" i="1"/>
  <c r="B197" i="1"/>
  <c r="C197" i="1"/>
  <c r="D197" i="1"/>
  <c r="E197" i="1"/>
  <c r="F197" i="1"/>
  <c r="G197" i="1"/>
  <c r="H197" i="1"/>
  <c r="I197" i="1"/>
  <c r="J197" i="1"/>
  <c r="B198" i="1"/>
  <c r="C198" i="1"/>
  <c r="D198" i="1"/>
  <c r="E198" i="1"/>
  <c r="F198" i="1"/>
  <c r="G198" i="1"/>
  <c r="H198" i="1"/>
  <c r="I198" i="1"/>
  <c r="J198" i="1"/>
  <c r="B199" i="1"/>
  <c r="C199" i="1"/>
  <c r="D199" i="1"/>
  <c r="E199" i="1"/>
  <c r="F199" i="1"/>
  <c r="G199" i="1"/>
  <c r="H199" i="1"/>
  <c r="I199" i="1"/>
  <c r="J199" i="1"/>
  <c r="B200" i="1"/>
  <c r="C200" i="1"/>
  <c r="D200" i="1"/>
  <c r="E200" i="1"/>
  <c r="F200" i="1"/>
  <c r="G200" i="1"/>
  <c r="H200" i="1"/>
  <c r="I200" i="1"/>
  <c r="J200" i="1"/>
  <c r="B201" i="1"/>
  <c r="C201" i="1"/>
  <c r="D201" i="1"/>
  <c r="E201" i="1"/>
  <c r="F201" i="1"/>
  <c r="G201" i="1"/>
  <c r="H201" i="1"/>
  <c r="I201" i="1"/>
  <c r="J201" i="1"/>
  <c r="B202" i="1"/>
  <c r="C202" i="1"/>
  <c r="D202" i="1"/>
  <c r="E202" i="1"/>
  <c r="F202" i="1"/>
  <c r="G202" i="1"/>
  <c r="H202" i="1"/>
  <c r="I202" i="1"/>
  <c r="J202" i="1"/>
  <c r="B203" i="1"/>
  <c r="C203" i="1"/>
  <c r="D203" i="1"/>
  <c r="E203" i="1"/>
  <c r="F203" i="1"/>
  <c r="G203" i="1"/>
  <c r="H203" i="1"/>
  <c r="I203" i="1"/>
  <c r="J203" i="1"/>
  <c r="B204" i="1"/>
  <c r="C204" i="1"/>
  <c r="D204" i="1"/>
  <c r="E204" i="1"/>
  <c r="F204" i="1"/>
  <c r="G204" i="1"/>
  <c r="H204" i="1"/>
  <c r="I204" i="1"/>
  <c r="J204" i="1"/>
  <c r="B205" i="1"/>
  <c r="C205" i="1"/>
  <c r="D205" i="1"/>
  <c r="E205" i="1"/>
  <c r="F205" i="1"/>
  <c r="G205" i="1"/>
  <c r="H205" i="1"/>
  <c r="I205" i="1"/>
  <c r="J205" i="1"/>
  <c r="B206" i="1"/>
  <c r="C206" i="1"/>
  <c r="D206" i="1"/>
  <c r="E206" i="1"/>
  <c r="F206" i="1"/>
  <c r="G206" i="1"/>
  <c r="H206" i="1"/>
  <c r="I206" i="1"/>
  <c r="J206" i="1"/>
  <c r="B207" i="1"/>
  <c r="C207" i="1"/>
  <c r="D207" i="1"/>
  <c r="E207" i="1"/>
  <c r="F207" i="1"/>
  <c r="G207" i="1"/>
  <c r="H207" i="1"/>
  <c r="I207" i="1"/>
  <c r="J207" i="1"/>
  <c r="B208" i="1"/>
  <c r="C208" i="1"/>
  <c r="D208" i="1"/>
  <c r="E208" i="1"/>
  <c r="F208" i="1"/>
  <c r="G208" i="1"/>
  <c r="H208" i="1"/>
  <c r="I208" i="1"/>
  <c r="J208" i="1"/>
  <c r="B209" i="1"/>
  <c r="C209" i="1"/>
  <c r="D209" i="1"/>
  <c r="E209" i="1"/>
  <c r="F209" i="1"/>
  <c r="G209" i="1"/>
  <c r="H209" i="1"/>
  <c r="I209" i="1"/>
  <c r="J209" i="1"/>
  <c r="B210" i="1"/>
  <c r="C210" i="1"/>
  <c r="D210" i="1"/>
  <c r="E210" i="1"/>
  <c r="F210" i="1"/>
  <c r="G210" i="1"/>
  <c r="H210" i="1"/>
  <c r="I210" i="1"/>
  <c r="J210" i="1"/>
  <c r="B211" i="1"/>
  <c r="C211" i="1"/>
  <c r="D211" i="1"/>
  <c r="E211" i="1"/>
  <c r="F211" i="1"/>
  <c r="G211" i="1"/>
  <c r="H211" i="1"/>
  <c r="I211" i="1"/>
  <c r="J211" i="1"/>
  <c r="B212" i="1"/>
  <c r="C212" i="1"/>
  <c r="D212" i="1"/>
  <c r="E212" i="1"/>
  <c r="F212" i="1"/>
  <c r="G212" i="1"/>
  <c r="H212" i="1"/>
  <c r="I212" i="1"/>
  <c r="J212" i="1"/>
  <c r="B213" i="1"/>
  <c r="C213" i="1"/>
  <c r="D213" i="1"/>
  <c r="E213" i="1"/>
  <c r="F213" i="1"/>
  <c r="G213" i="1"/>
  <c r="H213" i="1"/>
  <c r="I213" i="1"/>
  <c r="J213" i="1"/>
  <c r="B214" i="1"/>
  <c r="C214" i="1"/>
  <c r="D214" i="1"/>
  <c r="E214" i="1"/>
  <c r="F214" i="1"/>
  <c r="G214" i="1"/>
  <c r="H214" i="1"/>
  <c r="I214" i="1"/>
  <c r="J214" i="1"/>
  <c r="B215" i="1"/>
  <c r="C215" i="1"/>
  <c r="D215" i="1"/>
  <c r="E215" i="1"/>
  <c r="F215" i="1"/>
  <c r="G215" i="1"/>
  <c r="H215" i="1"/>
  <c r="I215" i="1"/>
  <c r="J215" i="1"/>
  <c r="B216" i="1"/>
  <c r="C216" i="1"/>
  <c r="D216" i="1"/>
  <c r="E216" i="1"/>
  <c r="F216" i="1"/>
  <c r="G216" i="1"/>
  <c r="H216" i="1"/>
  <c r="I216" i="1"/>
  <c r="J216" i="1"/>
  <c r="B217" i="1"/>
  <c r="C217" i="1"/>
  <c r="D217" i="1"/>
  <c r="E217" i="1"/>
  <c r="F217" i="1"/>
  <c r="G217" i="1"/>
  <c r="H217" i="1"/>
  <c r="I217" i="1"/>
  <c r="J217" i="1"/>
  <c r="B218" i="1"/>
  <c r="C218" i="1"/>
  <c r="D218" i="1"/>
  <c r="E218" i="1"/>
  <c r="F218" i="1"/>
  <c r="G218" i="1"/>
  <c r="H218" i="1"/>
  <c r="I218" i="1"/>
  <c r="J218" i="1"/>
  <c r="B219" i="1"/>
  <c r="C219" i="1"/>
  <c r="D219" i="1"/>
  <c r="E219" i="1"/>
  <c r="F219" i="1"/>
  <c r="G219" i="1"/>
  <c r="H219" i="1"/>
  <c r="I219" i="1"/>
  <c r="J219" i="1"/>
  <c r="B220" i="1"/>
  <c r="C220" i="1"/>
  <c r="D220" i="1"/>
  <c r="E220" i="1"/>
  <c r="F220" i="1"/>
  <c r="G220" i="1"/>
  <c r="H220" i="1"/>
  <c r="I220" i="1"/>
  <c r="J220" i="1"/>
  <c r="B221" i="1"/>
  <c r="C221" i="1"/>
  <c r="D221" i="1"/>
  <c r="E221" i="1"/>
  <c r="F221" i="1"/>
  <c r="G221" i="1"/>
  <c r="H221" i="1"/>
  <c r="I221" i="1"/>
  <c r="J221" i="1"/>
  <c r="B222" i="1"/>
  <c r="C222" i="1"/>
  <c r="D222" i="1"/>
  <c r="E222" i="1"/>
  <c r="F222" i="1"/>
  <c r="G222" i="1"/>
  <c r="H222" i="1"/>
  <c r="I222" i="1"/>
  <c r="J222" i="1"/>
  <c r="B223" i="1"/>
  <c r="C223" i="1"/>
  <c r="D223" i="1"/>
  <c r="E223" i="1"/>
  <c r="F223" i="1"/>
  <c r="G223" i="1"/>
  <c r="H223" i="1"/>
  <c r="I223" i="1"/>
  <c r="J223" i="1"/>
  <c r="B224" i="1"/>
  <c r="C224" i="1"/>
  <c r="D224" i="1"/>
  <c r="E224" i="1"/>
  <c r="F224" i="1"/>
  <c r="G224" i="1"/>
  <c r="H224" i="1"/>
  <c r="I224" i="1"/>
  <c r="J224" i="1"/>
  <c r="B225" i="1"/>
  <c r="C225" i="1"/>
  <c r="D225" i="1"/>
  <c r="E225" i="1"/>
  <c r="F225" i="1"/>
  <c r="G225" i="1"/>
  <c r="H225" i="1"/>
  <c r="I225" i="1"/>
  <c r="J225" i="1"/>
  <c r="B226" i="1"/>
  <c r="C226" i="1"/>
  <c r="D226" i="1"/>
  <c r="E226" i="1"/>
  <c r="F226" i="1"/>
  <c r="G226" i="1"/>
  <c r="H226" i="1"/>
  <c r="I226" i="1"/>
  <c r="J226" i="1"/>
  <c r="B227" i="1"/>
  <c r="C227" i="1"/>
  <c r="D227" i="1"/>
  <c r="E227" i="1"/>
  <c r="F227" i="1"/>
  <c r="G227" i="1"/>
  <c r="H227" i="1"/>
  <c r="I227" i="1"/>
  <c r="J227" i="1"/>
  <c r="B228" i="1"/>
  <c r="C228" i="1"/>
  <c r="D228" i="1"/>
  <c r="E228" i="1"/>
  <c r="F228" i="1"/>
  <c r="G228" i="1"/>
  <c r="H228" i="1"/>
  <c r="I228" i="1"/>
  <c r="J228" i="1"/>
  <c r="B229" i="1"/>
  <c r="C229" i="1"/>
  <c r="D229" i="1"/>
  <c r="E229" i="1"/>
  <c r="F229" i="1"/>
  <c r="G229" i="1"/>
  <c r="H229" i="1"/>
  <c r="I229" i="1"/>
  <c r="J229" i="1"/>
  <c r="B230" i="1"/>
  <c r="C230" i="1"/>
  <c r="D230" i="1"/>
  <c r="E230" i="1"/>
  <c r="F230" i="1"/>
  <c r="G230" i="1"/>
  <c r="H230" i="1"/>
  <c r="I230" i="1"/>
  <c r="J230" i="1"/>
  <c r="B231" i="1"/>
  <c r="C231" i="1"/>
  <c r="D231" i="1"/>
  <c r="E231" i="1"/>
  <c r="F231" i="1"/>
  <c r="G231" i="1"/>
  <c r="H231" i="1"/>
  <c r="I231" i="1"/>
  <c r="J231" i="1"/>
  <c r="B232" i="1"/>
  <c r="C232" i="1"/>
  <c r="D232" i="1"/>
  <c r="E232" i="1"/>
  <c r="F232" i="1"/>
  <c r="G232" i="1"/>
  <c r="H232" i="1"/>
  <c r="I232" i="1"/>
  <c r="J232" i="1"/>
  <c r="B233" i="1"/>
  <c r="C233" i="1"/>
  <c r="D233" i="1"/>
  <c r="E233" i="1"/>
  <c r="F233" i="1"/>
  <c r="G233" i="1"/>
  <c r="H233" i="1"/>
  <c r="I233" i="1"/>
  <c r="J233" i="1"/>
  <c r="B234" i="1"/>
  <c r="C234" i="1"/>
  <c r="D234" i="1"/>
  <c r="E234" i="1"/>
  <c r="F234" i="1"/>
  <c r="G234" i="1"/>
  <c r="H234" i="1"/>
  <c r="I234" i="1"/>
  <c r="J234" i="1"/>
  <c r="B235" i="1"/>
  <c r="C235" i="1"/>
  <c r="D235" i="1"/>
  <c r="E235" i="1"/>
  <c r="F235" i="1"/>
  <c r="G235" i="1"/>
  <c r="H235" i="1"/>
  <c r="I235" i="1"/>
  <c r="J235" i="1"/>
  <c r="B236" i="1"/>
  <c r="C236" i="1"/>
  <c r="D236" i="1"/>
  <c r="E236" i="1"/>
  <c r="F236" i="1"/>
  <c r="G236" i="1"/>
  <c r="H236" i="1"/>
  <c r="I236" i="1"/>
  <c r="J236" i="1"/>
  <c r="B237" i="1"/>
  <c r="C237" i="1"/>
  <c r="D237" i="1"/>
  <c r="E237" i="1"/>
  <c r="F237" i="1"/>
  <c r="G237" i="1"/>
  <c r="H237" i="1"/>
  <c r="I237" i="1"/>
  <c r="J237" i="1"/>
  <c r="B238" i="1"/>
  <c r="C238" i="1"/>
  <c r="D238" i="1"/>
  <c r="E238" i="1"/>
  <c r="F238" i="1"/>
  <c r="G238" i="1"/>
  <c r="H238" i="1"/>
  <c r="I238" i="1"/>
  <c r="J238" i="1"/>
  <c r="B239" i="1"/>
  <c r="C239" i="1"/>
  <c r="D239" i="1"/>
  <c r="E239" i="1"/>
  <c r="F239" i="1"/>
  <c r="G239" i="1"/>
  <c r="H239" i="1"/>
  <c r="I239" i="1"/>
  <c r="J239" i="1"/>
  <c r="B240" i="1"/>
  <c r="C240" i="1"/>
  <c r="D240" i="1"/>
  <c r="E240" i="1"/>
  <c r="F240" i="1"/>
  <c r="G240" i="1"/>
  <c r="H240" i="1"/>
  <c r="I240" i="1"/>
  <c r="J240" i="1"/>
  <c r="B241" i="1"/>
  <c r="C241" i="1"/>
  <c r="D241" i="1"/>
  <c r="E241" i="1"/>
  <c r="F241" i="1"/>
  <c r="G241" i="1"/>
  <c r="H241" i="1"/>
  <c r="I241" i="1"/>
  <c r="J241" i="1"/>
  <c r="B242" i="1"/>
  <c r="C242" i="1"/>
  <c r="D242" i="1"/>
  <c r="E242" i="1"/>
  <c r="F242" i="1"/>
  <c r="G242" i="1"/>
  <c r="H242" i="1"/>
  <c r="I242" i="1"/>
  <c r="J242" i="1"/>
  <c r="B243" i="1"/>
  <c r="C243" i="1"/>
  <c r="D243" i="1"/>
  <c r="E243" i="1"/>
  <c r="F243" i="1"/>
  <c r="G243" i="1"/>
  <c r="H243" i="1"/>
  <c r="I243" i="1"/>
  <c r="J243" i="1"/>
  <c r="B244" i="1"/>
  <c r="C244" i="1"/>
  <c r="D244" i="1"/>
  <c r="E244" i="1"/>
  <c r="F244" i="1"/>
  <c r="G244" i="1"/>
  <c r="H244" i="1"/>
  <c r="I244" i="1"/>
  <c r="J244" i="1"/>
  <c r="B245" i="1"/>
  <c r="C245" i="1"/>
  <c r="D245" i="1"/>
  <c r="E245" i="1"/>
  <c r="F245" i="1"/>
  <c r="G245" i="1"/>
  <c r="H245" i="1"/>
  <c r="I245" i="1"/>
  <c r="J245" i="1"/>
  <c r="B246" i="1"/>
  <c r="C246" i="1"/>
  <c r="D246" i="1"/>
  <c r="E246" i="1"/>
  <c r="F246" i="1"/>
  <c r="G246" i="1"/>
  <c r="H246" i="1"/>
  <c r="I246" i="1"/>
  <c r="J246" i="1"/>
  <c r="B247" i="1"/>
  <c r="C247" i="1"/>
  <c r="D247" i="1"/>
  <c r="E247" i="1"/>
  <c r="F247" i="1"/>
  <c r="G247" i="1"/>
  <c r="H247" i="1"/>
  <c r="I247" i="1"/>
  <c r="J247" i="1"/>
  <c r="B248" i="1"/>
  <c r="C248" i="1"/>
  <c r="D248" i="1"/>
  <c r="E248" i="1"/>
  <c r="F248" i="1"/>
  <c r="G248" i="1"/>
  <c r="H248" i="1"/>
  <c r="I248" i="1"/>
  <c r="J248" i="1"/>
  <c r="B249" i="1"/>
  <c r="C249" i="1"/>
  <c r="D249" i="1"/>
  <c r="E249" i="1"/>
  <c r="F249" i="1"/>
  <c r="G249" i="1"/>
  <c r="H249" i="1"/>
  <c r="I249" i="1"/>
  <c r="J249" i="1"/>
  <c r="B250" i="1"/>
  <c r="C250" i="1"/>
  <c r="D250" i="1"/>
  <c r="E250" i="1"/>
  <c r="F250" i="1"/>
  <c r="G250" i="1"/>
  <c r="H250" i="1"/>
  <c r="I250" i="1"/>
  <c r="J250" i="1"/>
  <c r="B251" i="1"/>
  <c r="C251" i="1"/>
  <c r="D251" i="1"/>
  <c r="E251" i="1"/>
  <c r="F251" i="1"/>
  <c r="G251" i="1"/>
  <c r="H251" i="1"/>
  <c r="I251" i="1"/>
  <c r="J251" i="1"/>
  <c r="B252" i="1"/>
  <c r="C252" i="1"/>
  <c r="D252" i="1"/>
  <c r="E252" i="1"/>
  <c r="F252" i="1"/>
  <c r="G252" i="1"/>
  <c r="H252" i="1"/>
  <c r="I252" i="1"/>
  <c r="J252" i="1"/>
  <c r="B253" i="1"/>
  <c r="C253" i="1"/>
  <c r="D253" i="1"/>
  <c r="E253" i="1"/>
  <c r="F253" i="1"/>
  <c r="G253" i="1"/>
  <c r="H253" i="1"/>
  <c r="I253" i="1"/>
  <c r="J253" i="1"/>
  <c r="B254" i="1"/>
  <c r="C254" i="1"/>
  <c r="D254" i="1"/>
  <c r="E254" i="1"/>
  <c r="F254" i="1"/>
  <c r="G254" i="1"/>
  <c r="H254" i="1"/>
  <c r="I254" i="1"/>
  <c r="J254" i="1"/>
  <c r="B255" i="1"/>
  <c r="C255" i="1"/>
  <c r="D255" i="1"/>
  <c r="E255" i="1"/>
  <c r="F255" i="1"/>
  <c r="G255" i="1"/>
  <c r="H255" i="1"/>
  <c r="I255" i="1"/>
  <c r="J255" i="1"/>
  <c r="B256" i="1"/>
  <c r="C256" i="1"/>
  <c r="D256" i="1"/>
  <c r="E256" i="1"/>
  <c r="F256" i="1"/>
  <c r="G256" i="1"/>
  <c r="H256" i="1"/>
  <c r="I256" i="1"/>
  <c r="J256" i="1"/>
  <c r="B257" i="1"/>
  <c r="C257" i="1"/>
  <c r="D257" i="1"/>
  <c r="E257" i="1"/>
  <c r="F257" i="1"/>
  <c r="G257" i="1"/>
  <c r="H257" i="1"/>
  <c r="I257" i="1"/>
  <c r="J257" i="1"/>
  <c r="B258" i="1"/>
  <c r="C258" i="1"/>
  <c r="D258" i="1"/>
  <c r="E258" i="1"/>
  <c r="F258" i="1"/>
  <c r="G258" i="1"/>
  <c r="H258" i="1"/>
  <c r="I258" i="1"/>
  <c r="J258" i="1"/>
  <c r="B259" i="1"/>
  <c r="C259" i="1"/>
  <c r="D259" i="1"/>
  <c r="E259" i="1"/>
  <c r="F259" i="1"/>
  <c r="G259" i="1"/>
  <c r="H259" i="1"/>
  <c r="I259" i="1"/>
  <c r="J259" i="1"/>
  <c r="B260" i="1"/>
  <c r="C260" i="1"/>
  <c r="D260" i="1"/>
  <c r="E260" i="1"/>
  <c r="F260" i="1"/>
  <c r="G260" i="1"/>
  <c r="H260" i="1"/>
  <c r="I260" i="1"/>
  <c r="J260" i="1"/>
  <c r="B261" i="1"/>
  <c r="C261" i="1"/>
  <c r="D261" i="1"/>
  <c r="E261" i="1"/>
  <c r="F261" i="1"/>
  <c r="G261" i="1"/>
  <c r="H261" i="1"/>
  <c r="I261" i="1"/>
  <c r="J261" i="1"/>
  <c r="B262" i="1"/>
  <c r="C262" i="1"/>
  <c r="D262" i="1"/>
  <c r="E262" i="1"/>
  <c r="F262" i="1"/>
  <c r="G262" i="1"/>
  <c r="H262" i="1"/>
  <c r="I262" i="1"/>
  <c r="J262" i="1"/>
  <c r="B263" i="1"/>
  <c r="C263" i="1"/>
  <c r="D263" i="1"/>
  <c r="E263" i="1"/>
  <c r="F263" i="1"/>
  <c r="G263" i="1"/>
  <c r="H263" i="1"/>
  <c r="I263" i="1"/>
  <c r="J263" i="1"/>
  <c r="B264" i="1"/>
  <c r="C264" i="1"/>
  <c r="D264" i="1"/>
  <c r="E264" i="1"/>
  <c r="F264" i="1"/>
  <c r="G264" i="1"/>
  <c r="H264" i="1"/>
  <c r="I264" i="1"/>
  <c r="J264" i="1"/>
  <c r="B265" i="1"/>
  <c r="C265" i="1"/>
  <c r="D265" i="1"/>
  <c r="E265" i="1"/>
  <c r="F265" i="1"/>
  <c r="G265" i="1"/>
  <c r="H265" i="1"/>
  <c r="I265" i="1"/>
  <c r="J265" i="1"/>
  <c r="B266" i="1"/>
  <c r="C266" i="1"/>
  <c r="D266" i="1"/>
  <c r="E266" i="1"/>
  <c r="F266" i="1"/>
  <c r="G266" i="1"/>
  <c r="H266" i="1"/>
  <c r="I266" i="1"/>
  <c r="J266" i="1"/>
  <c r="B267" i="1"/>
  <c r="C267" i="1"/>
  <c r="D267" i="1"/>
  <c r="E267" i="1"/>
  <c r="F267" i="1"/>
  <c r="G267" i="1"/>
  <c r="H267" i="1"/>
  <c r="I267" i="1"/>
  <c r="J267" i="1"/>
  <c r="B268" i="1"/>
  <c r="C268" i="1"/>
  <c r="D268" i="1"/>
  <c r="E268" i="1"/>
  <c r="F268" i="1"/>
  <c r="G268" i="1"/>
  <c r="H268" i="1"/>
  <c r="I268" i="1"/>
  <c r="J268" i="1"/>
  <c r="B269" i="1"/>
  <c r="C269" i="1"/>
  <c r="D269" i="1"/>
  <c r="E269" i="1"/>
  <c r="F269" i="1"/>
  <c r="G269" i="1"/>
  <c r="H269" i="1"/>
  <c r="I269" i="1"/>
  <c r="J269" i="1"/>
  <c r="B270" i="1"/>
  <c r="C270" i="1"/>
  <c r="D270" i="1"/>
  <c r="E270" i="1"/>
  <c r="F270" i="1"/>
  <c r="G270" i="1"/>
  <c r="H270" i="1"/>
  <c r="I270" i="1"/>
  <c r="J270" i="1"/>
  <c r="B271" i="1"/>
  <c r="C271" i="1"/>
  <c r="D271" i="1"/>
  <c r="E271" i="1"/>
  <c r="F271" i="1"/>
  <c r="G271" i="1"/>
  <c r="H271" i="1"/>
  <c r="I271" i="1"/>
  <c r="J271" i="1"/>
  <c r="B272" i="1"/>
  <c r="C272" i="1"/>
  <c r="D272" i="1"/>
  <c r="E272" i="1"/>
  <c r="F272" i="1"/>
  <c r="G272" i="1"/>
  <c r="H272" i="1"/>
  <c r="I272" i="1"/>
  <c r="J272" i="1"/>
  <c r="B273" i="1"/>
  <c r="C273" i="1"/>
  <c r="D273" i="1"/>
  <c r="E273" i="1"/>
  <c r="F273" i="1"/>
  <c r="G273" i="1"/>
  <c r="H273" i="1"/>
  <c r="I273" i="1"/>
  <c r="J273" i="1"/>
  <c r="B274" i="1"/>
  <c r="C274" i="1"/>
  <c r="D274" i="1"/>
  <c r="E274" i="1"/>
  <c r="F274" i="1"/>
  <c r="G274" i="1"/>
  <c r="H274" i="1"/>
  <c r="I274" i="1"/>
  <c r="J274" i="1"/>
  <c r="B275" i="1"/>
  <c r="C275" i="1"/>
  <c r="D275" i="1"/>
  <c r="E275" i="1"/>
  <c r="F275" i="1"/>
  <c r="G275" i="1"/>
  <c r="H275" i="1"/>
  <c r="I275" i="1"/>
  <c r="J275" i="1"/>
  <c r="B276" i="1"/>
  <c r="C276" i="1"/>
  <c r="D276" i="1"/>
  <c r="E276" i="1"/>
  <c r="F276" i="1"/>
  <c r="G276" i="1"/>
  <c r="H276" i="1"/>
  <c r="I276" i="1"/>
  <c r="J276" i="1"/>
  <c r="B277" i="1"/>
  <c r="C277" i="1"/>
  <c r="D277" i="1"/>
  <c r="E277" i="1"/>
  <c r="F277" i="1"/>
  <c r="G277" i="1"/>
  <c r="H277" i="1"/>
  <c r="I277" i="1"/>
  <c r="J277" i="1"/>
  <c r="B278" i="1"/>
  <c r="C278" i="1"/>
  <c r="D278" i="1"/>
  <c r="E278" i="1"/>
  <c r="F278" i="1"/>
  <c r="G278" i="1"/>
  <c r="H278" i="1"/>
  <c r="I278" i="1"/>
  <c r="J278" i="1"/>
  <c r="B279" i="1"/>
  <c r="C279" i="1"/>
  <c r="D279" i="1"/>
  <c r="E279" i="1"/>
  <c r="F279" i="1"/>
  <c r="G279" i="1"/>
  <c r="H279" i="1"/>
  <c r="I279" i="1"/>
  <c r="J279" i="1"/>
  <c r="B280" i="1"/>
  <c r="C280" i="1"/>
  <c r="D280" i="1"/>
  <c r="E280" i="1"/>
  <c r="F280" i="1"/>
  <c r="G280" i="1"/>
  <c r="H280" i="1"/>
  <c r="I280" i="1"/>
  <c r="J280" i="1"/>
  <c r="B281" i="1"/>
  <c r="C281" i="1"/>
  <c r="D281" i="1"/>
  <c r="E281" i="1"/>
  <c r="F281" i="1"/>
  <c r="G281" i="1"/>
  <c r="H281" i="1"/>
  <c r="I281" i="1"/>
  <c r="J281" i="1"/>
  <c r="B282" i="1"/>
  <c r="C282" i="1"/>
  <c r="D282" i="1"/>
  <c r="E282" i="1"/>
  <c r="F282" i="1"/>
  <c r="G282" i="1"/>
  <c r="H282" i="1"/>
  <c r="I282" i="1"/>
  <c r="J282" i="1"/>
  <c r="B283" i="1"/>
  <c r="C283" i="1"/>
  <c r="D283" i="1"/>
  <c r="E283" i="1"/>
  <c r="F283" i="1"/>
  <c r="G283" i="1"/>
  <c r="H283" i="1"/>
  <c r="I283" i="1"/>
  <c r="J283" i="1"/>
  <c r="B284" i="1"/>
  <c r="C284" i="1"/>
  <c r="D284" i="1"/>
  <c r="E284" i="1"/>
  <c r="F284" i="1"/>
  <c r="G284" i="1"/>
  <c r="H284" i="1"/>
  <c r="I284" i="1"/>
  <c r="J284" i="1"/>
  <c r="B285" i="1"/>
  <c r="C285" i="1"/>
  <c r="D285" i="1"/>
  <c r="E285" i="1"/>
  <c r="F285" i="1"/>
  <c r="G285" i="1"/>
  <c r="H285" i="1"/>
  <c r="I285" i="1"/>
  <c r="J285" i="1"/>
  <c r="B286" i="1"/>
  <c r="C286" i="1"/>
  <c r="D286" i="1"/>
  <c r="E286" i="1"/>
  <c r="F286" i="1"/>
  <c r="G286" i="1"/>
  <c r="H286" i="1"/>
  <c r="I286" i="1"/>
  <c r="J286" i="1"/>
  <c r="B287" i="1"/>
  <c r="C287" i="1"/>
  <c r="D287" i="1"/>
  <c r="E287" i="1"/>
  <c r="F287" i="1"/>
  <c r="G287" i="1"/>
  <c r="H287" i="1"/>
  <c r="I287" i="1"/>
  <c r="J287" i="1"/>
  <c r="B288" i="1"/>
  <c r="C288" i="1"/>
  <c r="D288" i="1"/>
  <c r="E288" i="1"/>
  <c r="F288" i="1"/>
  <c r="G288" i="1"/>
  <c r="H288" i="1"/>
  <c r="I288" i="1"/>
  <c r="J288" i="1"/>
  <c r="B289" i="1"/>
  <c r="C289" i="1"/>
  <c r="D289" i="1"/>
  <c r="E289" i="1"/>
  <c r="F289" i="1"/>
  <c r="G289" i="1"/>
  <c r="H289" i="1"/>
  <c r="I289" i="1"/>
  <c r="J289" i="1"/>
  <c r="B290" i="1"/>
  <c r="C290" i="1"/>
  <c r="D290" i="1"/>
  <c r="E290" i="1"/>
  <c r="F290" i="1"/>
  <c r="G290" i="1"/>
  <c r="H290" i="1"/>
  <c r="I290" i="1"/>
  <c r="J290" i="1"/>
  <c r="B291" i="1"/>
  <c r="C291" i="1"/>
  <c r="D291" i="1"/>
  <c r="E291" i="1"/>
  <c r="F291" i="1"/>
  <c r="G291" i="1"/>
  <c r="H291" i="1"/>
  <c r="I291" i="1"/>
  <c r="J291" i="1"/>
  <c r="B292" i="1"/>
  <c r="C292" i="1"/>
  <c r="D292" i="1"/>
  <c r="E292" i="1"/>
  <c r="F292" i="1"/>
  <c r="G292" i="1"/>
  <c r="H292" i="1"/>
  <c r="I292" i="1"/>
  <c r="J292" i="1"/>
  <c r="B293" i="1"/>
  <c r="C293" i="1"/>
  <c r="D293" i="1"/>
  <c r="E293" i="1"/>
  <c r="F293" i="1"/>
  <c r="G293" i="1"/>
  <c r="H293" i="1"/>
  <c r="I293" i="1"/>
  <c r="J293" i="1"/>
  <c r="B294" i="1"/>
  <c r="C294" i="1"/>
  <c r="D294" i="1"/>
  <c r="E294" i="1"/>
  <c r="F294" i="1"/>
  <c r="G294" i="1"/>
  <c r="H294" i="1"/>
  <c r="I294" i="1"/>
  <c r="J294" i="1"/>
  <c r="B295" i="1"/>
  <c r="C295" i="1"/>
  <c r="D295" i="1"/>
  <c r="E295" i="1"/>
  <c r="F295" i="1"/>
  <c r="G295" i="1"/>
  <c r="H295" i="1"/>
  <c r="I295" i="1"/>
  <c r="J295" i="1"/>
  <c r="B296" i="1"/>
  <c r="C296" i="1"/>
  <c r="D296" i="1"/>
  <c r="E296" i="1"/>
  <c r="F296" i="1"/>
  <c r="G296" i="1"/>
  <c r="H296" i="1"/>
  <c r="I296" i="1"/>
  <c r="J296" i="1"/>
  <c r="B297" i="1"/>
  <c r="C297" i="1"/>
  <c r="D297" i="1"/>
  <c r="E297" i="1"/>
  <c r="F297" i="1"/>
  <c r="G297" i="1"/>
  <c r="H297" i="1"/>
  <c r="I297" i="1"/>
  <c r="J297" i="1"/>
  <c r="B298" i="1"/>
  <c r="C298" i="1"/>
  <c r="D298" i="1"/>
  <c r="E298" i="1"/>
  <c r="F298" i="1"/>
  <c r="G298" i="1"/>
  <c r="H298" i="1"/>
  <c r="I298" i="1"/>
  <c r="J298" i="1"/>
  <c r="B299" i="1"/>
  <c r="C299" i="1"/>
  <c r="D299" i="1"/>
  <c r="E299" i="1"/>
  <c r="F299" i="1"/>
  <c r="G299" i="1"/>
  <c r="H299" i="1"/>
  <c r="I299" i="1"/>
  <c r="J299" i="1"/>
  <c r="B300" i="1"/>
  <c r="C300" i="1"/>
  <c r="D300" i="1"/>
  <c r="E300" i="1"/>
  <c r="F300" i="1"/>
  <c r="G300" i="1"/>
  <c r="H300" i="1"/>
  <c r="I300" i="1"/>
  <c r="J300" i="1"/>
  <c r="B301" i="1"/>
  <c r="C301" i="1"/>
  <c r="D301" i="1"/>
  <c r="E301" i="1"/>
  <c r="F301" i="1"/>
  <c r="G301" i="1"/>
  <c r="H301" i="1"/>
  <c r="I301" i="1"/>
  <c r="J301" i="1"/>
  <c r="B302" i="1"/>
  <c r="C302" i="1"/>
  <c r="D302" i="1"/>
  <c r="E302" i="1"/>
  <c r="F302" i="1"/>
  <c r="G302" i="1"/>
  <c r="H302" i="1"/>
  <c r="I302" i="1"/>
  <c r="J302" i="1"/>
  <c r="B303" i="1"/>
  <c r="C303" i="1"/>
  <c r="D303" i="1"/>
  <c r="E303" i="1"/>
  <c r="F303" i="1"/>
  <c r="G303" i="1"/>
  <c r="H303" i="1"/>
  <c r="I303" i="1"/>
  <c r="J303" i="1"/>
  <c r="B304" i="1"/>
  <c r="C304" i="1"/>
  <c r="D304" i="1"/>
  <c r="E304" i="1"/>
  <c r="F304" i="1"/>
  <c r="G304" i="1"/>
  <c r="H304" i="1"/>
  <c r="I304" i="1"/>
  <c r="J304" i="1"/>
  <c r="B305" i="1"/>
  <c r="C305" i="1"/>
  <c r="D305" i="1"/>
  <c r="E305" i="1"/>
  <c r="F305" i="1"/>
  <c r="G305" i="1"/>
  <c r="H305" i="1"/>
  <c r="I305" i="1"/>
  <c r="J305" i="1"/>
  <c r="B306" i="1"/>
  <c r="C306" i="1"/>
  <c r="D306" i="1"/>
  <c r="E306" i="1"/>
  <c r="F306" i="1"/>
  <c r="G306" i="1"/>
  <c r="H306" i="1"/>
  <c r="I306" i="1"/>
  <c r="J306" i="1"/>
  <c r="B307" i="1"/>
  <c r="C307" i="1"/>
  <c r="D307" i="1"/>
  <c r="E307" i="1"/>
  <c r="F307" i="1"/>
  <c r="G307" i="1"/>
  <c r="H307" i="1"/>
  <c r="I307" i="1"/>
  <c r="J307" i="1"/>
  <c r="B308" i="1"/>
  <c r="C308" i="1"/>
  <c r="D308" i="1"/>
  <c r="E308" i="1"/>
  <c r="F308" i="1"/>
  <c r="G308" i="1"/>
  <c r="H308" i="1"/>
  <c r="I308" i="1"/>
  <c r="J308" i="1"/>
  <c r="B309" i="1"/>
  <c r="C309" i="1"/>
  <c r="D309" i="1"/>
  <c r="E309" i="1"/>
  <c r="F309" i="1"/>
  <c r="G309" i="1"/>
  <c r="H309" i="1"/>
  <c r="I309" i="1"/>
  <c r="J309" i="1"/>
  <c r="B310" i="1"/>
  <c r="C310" i="1"/>
  <c r="D310" i="1"/>
  <c r="E310" i="1"/>
  <c r="F310" i="1"/>
  <c r="G310" i="1"/>
  <c r="H310" i="1"/>
  <c r="I310" i="1"/>
  <c r="J310" i="1"/>
  <c r="B311" i="1"/>
  <c r="C311" i="1"/>
  <c r="D311" i="1"/>
  <c r="E311" i="1"/>
  <c r="F311" i="1"/>
  <c r="G311" i="1"/>
  <c r="H311" i="1"/>
  <c r="I311" i="1"/>
  <c r="J311" i="1"/>
  <c r="B312" i="1"/>
  <c r="C312" i="1"/>
  <c r="D312" i="1"/>
  <c r="E312" i="1"/>
  <c r="F312" i="1"/>
  <c r="G312" i="1"/>
  <c r="H312" i="1"/>
  <c r="I312" i="1"/>
  <c r="J312" i="1"/>
  <c r="B313" i="1"/>
  <c r="C313" i="1"/>
  <c r="D313" i="1"/>
  <c r="E313" i="1"/>
  <c r="F313" i="1"/>
  <c r="G313" i="1"/>
  <c r="H313" i="1"/>
  <c r="I313" i="1"/>
  <c r="J313" i="1"/>
  <c r="B314" i="1"/>
  <c r="C314" i="1"/>
  <c r="D314" i="1"/>
  <c r="E314" i="1"/>
  <c r="F314" i="1"/>
  <c r="G314" i="1"/>
  <c r="H314" i="1"/>
  <c r="I314" i="1"/>
  <c r="J314" i="1"/>
  <c r="B315" i="1"/>
  <c r="C315" i="1"/>
  <c r="D315" i="1"/>
  <c r="E315" i="1"/>
  <c r="F315" i="1"/>
  <c r="G315" i="1"/>
  <c r="H315" i="1"/>
  <c r="I315" i="1"/>
  <c r="J315" i="1"/>
  <c r="B316" i="1"/>
  <c r="C316" i="1"/>
  <c r="D316" i="1"/>
  <c r="E316" i="1"/>
  <c r="F316" i="1"/>
  <c r="G316" i="1"/>
  <c r="H316" i="1"/>
  <c r="I316" i="1"/>
  <c r="J316" i="1"/>
  <c r="B317" i="1"/>
  <c r="C317" i="1"/>
  <c r="D317" i="1"/>
  <c r="E317" i="1"/>
  <c r="F317" i="1"/>
  <c r="G317" i="1"/>
  <c r="H317" i="1"/>
  <c r="I317" i="1"/>
  <c r="J317" i="1"/>
  <c r="B318" i="1"/>
  <c r="C318" i="1"/>
  <c r="D318" i="1"/>
  <c r="E318" i="1"/>
  <c r="F318" i="1"/>
  <c r="G318" i="1"/>
  <c r="H318" i="1"/>
  <c r="I318" i="1"/>
  <c r="J318" i="1"/>
  <c r="B319" i="1"/>
  <c r="C319" i="1"/>
  <c r="D319" i="1"/>
  <c r="E319" i="1"/>
  <c r="F319" i="1"/>
  <c r="G319" i="1"/>
  <c r="H319" i="1"/>
  <c r="I319" i="1"/>
  <c r="J319" i="1"/>
  <c r="B320" i="1"/>
  <c r="C320" i="1"/>
  <c r="D320" i="1"/>
  <c r="E320" i="1"/>
  <c r="F320" i="1"/>
  <c r="G320" i="1"/>
  <c r="H320" i="1"/>
  <c r="I320" i="1"/>
  <c r="J320" i="1"/>
  <c r="B321" i="1"/>
  <c r="C321" i="1"/>
  <c r="D321" i="1"/>
  <c r="E321" i="1"/>
  <c r="F321" i="1"/>
  <c r="G321" i="1"/>
  <c r="H321" i="1"/>
  <c r="I321" i="1"/>
  <c r="J321" i="1"/>
  <c r="B322" i="1"/>
  <c r="C322" i="1"/>
  <c r="D322" i="1"/>
  <c r="E322" i="1"/>
  <c r="F322" i="1"/>
  <c r="G322" i="1"/>
  <c r="H322" i="1"/>
  <c r="I322" i="1"/>
  <c r="J322" i="1"/>
  <c r="B323" i="1"/>
  <c r="C323" i="1"/>
  <c r="D323" i="1"/>
  <c r="E323" i="1"/>
  <c r="F323" i="1"/>
  <c r="G323" i="1"/>
  <c r="H323" i="1"/>
  <c r="I323" i="1"/>
  <c r="J323" i="1"/>
  <c r="B324" i="1"/>
  <c r="C324" i="1"/>
  <c r="D324" i="1"/>
  <c r="E324" i="1"/>
  <c r="F324" i="1"/>
  <c r="G324" i="1"/>
  <c r="H324" i="1"/>
  <c r="I324" i="1"/>
  <c r="J324" i="1"/>
  <c r="B325" i="1"/>
  <c r="C325" i="1"/>
  <c r="D325" i="1"/>
  <c r="E325" i="1"/>
  <c r="F325" i="1"/>
  <c r="G325" i="1"/>
  <c r="H325" i="1"/>
  <c r="I325" i="1"/>
  <c r="J325" i="1"/>
  <c r="B326" i="1"/>
  <c r="C326" i="1"/>
  <c r="D326" i="1"/>
  <c r="E326" i="1"/>
  <c r="F326" i="1"/>
  <c r="G326" i="1"/>
  <c r="H326" i="1"/>
  <c r="I326" i="1"/>
  <c r="J326" i="1"/>
  <c r="B327" i="1"/>
  <c r="C327" i="1"/>
  <c r="D327" i="1"/>
  <c r="E327" i="1"/>
  <c r="F327" i="1"/>
  <c r="G327" i="1"/>
  <c r="H327" i="1"/>
  <c r="I327" i="1"/>
  <c r="J327" i="1"/>
  <c r="B328" i="1"/>
  <c r="C328" i="1"/>
  <c r="D328" i="1"/>
  <c r="E328" i="1"/>
  <c r="F328" i="1"/>
  <c r="G328" i="1"/>
  <c r="H328" i="1"/>
  <c r="I328" i="1"/>
  <c r="J328" i="1"/>
  <c r="B329" i="1"/>
  <c r="C329" i="1"/>
  <c r="D329" i="1"/>
  <c r="E329" i="1"/>
  <c r="F329" i="1"/>
  <c r="G329" i="1"/>
  <c r="H329" i="1"/>
  <c r="I329" i="1"/>
  <c r="J329" i="1"/>
  <c r="B330" i="1"/>
  <c r="C330" i="1"/>
  <c r="D330" i="1"/>
  <c r="E330" i="1"/>
  <c r="F330" i="1"/>
  <c r="G330" i="1"/>
  <c r="H330" i="1"/>
  <c r="I330" i="1"/>
  <c r="J330" i="1"/>
  <c r="B331" i="1"/>
  <c r="C331" i="1"/>
  <c r="D331" i="1"/>
  <c r="E331" i="1"/>
  <c r="F331" i="1"/>
  <c r="G331" i="1"/>
  <c r="H331" i="1"/>
  <c r="I331" i="1"/>
  <c r="J331" i="1"/>
  <c r="B332" i="1"/>
  <c r="C332" i="1"/>
  <c r="D332" i="1"/>
  <c r="E332" i="1"/>
  <c r="F332" i="1"/>
  <c r="G332" i="1"/>
  <c r="H332" i="1"/>
  <c r="I332" i="1"/>
  <c r="J332" i="1"/>
  <c r="B333" i="1"/>
  <c r="C333" i="1"/>
  <c r="D333" i="1"/>
  <c r="E333" i="1"/>
  <c r="F333" i="1"/>
  <c r="G333" i="1"/>
  <c r="H333" i="1"/>
  <c r="I333" i="1"/>
  <c r="J333" i="1"/>
  <c r="B334" i="1"/>
  <c r="C334" i="1"/>
  <c r="D334" i="1"/>
  <c r="E334" i="1"/>
  <c r="F334" i="1"/>
  <c r="G334" i="1"/>
  <c r="H334" i="1"/>
  <c r="I334" i="1"/>
  <c r="J334" i="1"/>
  <c r="B335" i="1"/>
  <c r="C335" i="1"/>
  <c r="D335" i="1"/>
  <c r="E335" i="1"/>
  <c r="F335" i="1"/>
  <c r="G335" i="1"/>
  <c r="H335" i="1"/>
  <c r="I335" i="1"/>
  <c r="J335" i="1"/>
  <c r="B336" i="1"/>
  <c r="C336" i="1"/>
  <c r="D336" i="1"/>
  <c r="E336" i="1"/>
  <c r="F336" i="1"/>
  <c r="G336" i="1"/>
  <c r="H336" i="1"/>
  <c r="I336" i="1"/>
  <c r="J336" i="1"/>
  <c r="B337" i="1"/>
  <c r="C337" i="1"/>
  <c r="D337" i="1"/>
  <c r="E337" i="1"/>
  <c r="F337" i="1"/>
  <c r="G337" i="1"/>
  <c r="H337" i="1"/>
  <c r="I337" i="1"/>
  <c r="J337" i="1"/>
  <c r="B338" i="1"/>
  <c r="C338" i="1"/>
  <c r="D338" i="1"/>
  <c r="E338" i="1"/>
  <c r="F338" i="1"/>
  <c r="G338" i="1"/>
  <c r="H338" i="1"/>
  <c r="I338" i="1"/>
  <c r="J338" i="1"/>
  <c r="B339" i="1"/>
  <c r="C339" i="1"/>
  <c r="D339" i="1"/>
  <c r="E339" i="1"/>
  <c r="F339" i="1"/>
  <c r="G339" i="1"/>
  <c r="H339" i="1"/>
  <c r="I339" i="1"/>
  <c r="J339" i="1"/>
  <c r="B340" i="1"/>
  <c r="C340" i="1"/>
  <c r="D340" i="1"/>
  <c r="E340" i="1"/>
  <c r="F340" i="1"/>
  <c r="G340" i="1"/>
  <c r="H340" i="1"/>
  <c r="I340" i="1"/>
  <c r="J340" i="1"/>
  <c r="B341" i="1"/>
  <c r="C341" i="1"/>
  <c r="D341" i="1"/>
  <c r="E341" i="1"/>
  <c r="F341" i="1"/>
  <c r="G341" i="1"/>
  <c r="H341" i="1"/>
  <c r="I341" i="1"/>
  <c r="J341" i="1"/>
  <c r="B342" i="1"/>
  <c r="C342" i="1"/>
  <c r="D342" i="1"/>
  <c r="E342" i="1"/>
  <c r="F342" i="1"/>
  <c r="G342" i="1"/>
  <c r="H342" i="1"/>
  <c r="I342" i="1"/>
  <c r="J342" i="1"/>
  <c r="B343" i="1"/>
  <c r="C343" i="1"/>
  <c r="D343" i="1"/>
  <c r="E343" i="1"/>
  <c r="F343" i="1"/>
  <c r="G343" i="1"/>
  <c r="H343" i="1"/>
  <c r="I343" i="1"/>
  <c r="J343" i="1"/>
  <c r="B344" i="1"/>
  <c r="C344" i="1"/>
  <c r="D344" i="1"/>
  <c r="E344" i="1"/>
  <c r="F344" i="1"/>
  <c r="G344" i="1"/>
  <c r="H344" i="1"/>
  <c r="I344" i="1"/>
  <c r="J344" i="1"/>
  <c r="B345" i="1"/>
  <c r="C345" i="1"/>
  <c r="D345" i="1"/>
  <c r="E345" i="1"/>
  <c r="F345" i="1"/>
  <c r="G345" i="1"/>
  <c r="H345" i="1"/>
  <c r="I345" i="1"/>
  <c r="J345" i="1"/>
  <c r="B346" i="1"/>
  <c r="C346" i="1"/>
  <c r="D346" i="1"/>
  <c r="E346" i="1"/>
  <c r="F346" i="1"/>
  <c r="G346" i="1"/>
  <c r="H346" i="1"/>
  <c r="I346" i="1"/>
  <c r="J346" i="1"/>
  <c r="B347" i="1"/>
  <c r="C347" i="1"/>
  <c r="D347" i="1"/>
  <c r="E347" i="1"/>
  <c r="F347" i="1"/>
  <c r="G347" i="1"/>
  <c r="H347" i="1"/>
  <c r="I347" i="1"/>
  <c r="J347" i="1"/>
  <c r="B348" i="1"/>
  <c r="C348" i="1"/>
  <c r="D348" i="1"/>
  <c r="E348" i="1"/>
  <c r="F348" i="1"/>
  <c r="G348" i="1"/>
  <c r="H348" i="1"/>
  <c r="I348" i="1"/>
  <c r="J348" i="1"/>
  <c r="B349" i="1"/>
  <c r="C349" i="1"/>
  <c r="D349" i="1"/>
  <c r="E349" i="1"/>
  <c r="F349" i="1"/>
  <c r="G349" i="1"/>
  <c r="H349" i="1"/>
  <c r="I349" i="1"/>
  <c r="J349" i="1"/>
  <c r="B350" i="1"/>
  <c r="C350" i="1"/>
  <c r="D350" i="1"/>
  <c r="E350" i="1"/>
  <c r="F350" i="1"/>
  <c r="G350" i="1"/>
  <c r="H350" i="1"/>
  <c r="I350" i="1"/>
  <c r="J350" i="1"/>
  <c r="B351" i="1"/>
  <c r="C351" i="1"/>
  <c r="D351" i="1"/>
  <c r="E351" i="1"/>
  <c r="F351" i="1"/>
  <c r="G351" i="1"/>
  <c r="H351" i="1"/>
  <c r="I351" i="1"/>
  <c r="J351" i="1"/>
  <c r="B352" i="1"/>
  <c r="C352" i="1"/>
  <c r="D352" i="1"/>
  <c r="E352" i="1"/>
  <c r="F352" i="1"/>
  <c r="G352" i="1"/>
  <c r="H352" i="1"/>
  <c r="I352" i="1"/>
  <c r="J352" i="1"/>
  <c r="B353" i="1"/>
  <c r="C353" i="1"/>
  <c r="D353" i="1"/>
  <c r="E353" i="1"/>
  <c r="F353" i="1"/>
  <c r="G353" i="1"/>
  <c r="H353" i="1"/>
  <c r="I353" i="1"/>
  <c r="J353" i="1"/>
  <c r="B354" i="1"/>
  <c r="C354" i="1"/>
  <c r="D354" i="1"/>
  <c r="E354" i="1"/>
  <c r="F354" i="1"/>
  <c r="G354" i="1"/>
  <c r="H354" i="1"/>
  <c r="I354" i="1"/>
  <c r="J354" i="1"/>
  <c r="B355" i="1"/>
  <c r="C355" i="1"/>
  <c r="D355" i="1"/>
  <c r="E355" i="1"/>
  <c r="F355" i="1"/>
  <c r="G355" i="1"/>
  <c r="H355" i="1"/>
  <c r="I355" i="1"/>
  <c r="J355" i="1"/>
  <c r="B356" i="1"/>
  <c r="C356" i="1"/>
  <c r="D356" i="1"/>
  <c r="E356" i="1"/>
  <c r="F356" i="1"/>
  <c r="G356" i="1"/>
  <c r="H356" i="1"/>
  <c r="I356" i="1"/>
  <c r="J356" i="1"/>
  <c r="B357" i="1"/>
  <c r="C357" i="1"/>
  <c r="D357" i="1"/>
  <c r="E357" i="1"/>
  <c r="F357" i="1"/>
  <c r="G357" i="1"/>
  <c r="H357" i="1"/>
  <c r="I357" i="1"/>
  <c r="J357" i="1"/>
  <c r="B358" i="1"/>
  <c r="C358" i="1"/>
  <c r="D358" i="1"/>
  <c r="E358" i="1"/>
  <c r="F358" i="1"/>
  <c r="G358" i="1"/>
  <c r="H358" i="1"/>
  <c r="I358" i="1"/>
  <c r="J358" i="1"/>
  <c r="B359" i="1"/>
  <c r="C359" i="1"/>
  <c r="D359" i="1"/>
  <c r="E359" i="1"/>
  <c r="F359" i="1"/>
  <c r="G359" i="1"/>
  <c r="H359" i="1"/>
  <c r="I359" i="1"/>
  <c r="J359" i="1"/>
  <c r="B360" i="1"/>
  <c r="C360" i="1"/>
  <c r="D360" i="1"/>
  <c r="E360" i="1"/>
  <c r="F360" i="1"/>
  <c r="G360" i="1"/>
  <c r="H360" i="1"/>
  <c r="I360" i="1"/>
  <c r="J360" i="1"/>
  <c r="B361" i="1"/>
  <c r="C361" i="1"/>
  <c r="D361" i="1"/>
  <c r="E361" i="1"/>
  <c r="F361" i="1"/>
  <c r="G361" i="1"/>
  <c r="H361" i="1"/>
  <c r="I361" i="1"/>
  <c r="J361" i="1"/>
  <c r="B362" i="1"/>
  <c r="C362" i="1"/>
  <c r="D362" i="1"/>
  <c r="E362" i="1"/>
  <c r="F362" i="1"/>
  <c r="G362" i="1"/>
  <c r="H362" i="1"/>
  <c r="I362" i="1"/>
  <c r="J362" i="1"/>
  <c r="B363" i="1"/>
  <c r="C363" i="1"/>
  <c r="D363" i="1"/>
  <c r="E363" i="1"/>
  <c r="F363" i="1"/>
  <c r="G363" i="1"/>
  <c r="H363" i="1"/>
  <c r="I363" i="1"/>
  <c r="J363" i="1"/>
  <c r="B364" i="1"/>
  <c r="C364" i="1"/>
  <c r="D364" i="1"/>
  <c r="E364" i="1"/>
  <c r="F364" i="1"/>
  <c r="G364" i="1"/>
  <c r="H364" i="1"/>
  <c r="I364" i="1"/>
  <c r="J364" i="1"/>
  <c r="B365" i="1"/>
  <c r="C365" i="1"/>
  <c r="D365" i="1"/>
  <c r="E365" i="1"/>
  <c r="F365" i="1"/>
  <c r="G365" i="1"/>
  <c r="H365" i="1"/>
  <c r="I365" i="1"/>
  <c r="J365" i="1"/>
  <c r="B366" i="1"/>
  <c r="C366" i="1"/>
  <c r="D366" i="1"/>
  <c r="E366" i="1"/>
  <c r="F366" i="1"/>
  <c r="G366" i="1"/>
  <c r="H366" i="1"/>
  <c r="I366" i="1"/>
  <c r="J366" i="1"/>
  <c r="B367" i="1"/>
  <c r="C367" i="1"/>
  <c r="D367" i="1"/>
  <c r="E367" i="1"/>
  <c r="F367" i="1"/>
  <c r="G367" i="1"/>
  <c r="H367" i="1"/>
  <c r="I367" i="1"/>
  <c r="J367" i="1"/>
  <c r="B368" i="1"/>
  <c r="C368" i="1"/>
  <c r="D368" i="1"/>
  <c r="E368" i="1"/>
  <c r="F368" i="1"/>
  <c r="G368" i="1"/>
  <c r="H368" i="1"/>
  <c r="I368" i="1"/>
  <c r="J368" i="1"/>
  <c r="B369" i="1"/>
  <c r="C369" i="1"/>
  <c r="D369" i="1"/>
  <c r="E369" i="1"/>
  <c r="F369" i="1"/>
  <c r="G369" i="1"/>
  <c r="H369" i="1"/>
  <c r="I369" i="1"/>
  <c r="J369" i="1"/>
  <c r="B370" i="1"/>
  <c r="C370" i="1"/>
  <c r="D370" i="1"/>
  <c r="E370" i="1"/>
  <c r="F370" i="1"/>
  <c r="G370" i="1"/>
  <c r="H370" i="1"/>
  <c r="I370" i="1"/>
  <c r="J370" i="1"/>
  <c r="B371" i="1"/>
  <c r="C371" i="1"/>
  <c r="D371" i="1"/>
  <c r="E371" i="1"/>
  <c r="F371" i="1"/>
  <c r="G371" i="1"/>
  <c r="H371" i="1"/>
  <c r="I371" i="1"/>
  <c r="J371" i="1"/>
  <c r="B372" i="1"/>
  <c r="C372" i="1"/>
  <c r="D372" i="1"/>
  <c r="E372" i="1"/>
  <c r="F372" i="1"/>
  <c r="G372" i="1"/>
  <c r="H372" i="1"/>
  <c r="I372" i="1"/>
  <c r="J372" i="1"/>
  <c r="B373" i="1"/>
  <c r="C373" i="1"/>
  <c r="D373" i="1"/>
  <c r="E373" i="1"/>
  <c r="F373" i="1"/>
  <c r="G373" i="1"/>
  <c r="H373" i="1"/>
  <c r="I373" i="1"/>
  <c r="J373" i="1"/>
  <c r="B374" i="1"/>
  <c r="C374" i="1"/>
  <c r="D374" i="1"/>
  <c r="E374" i="1"/>
  <c r="F374" i="1"/>
  <c r="G374" i="1"/>
  <c r="H374" i="1"/>
  <c r="I374" i="1"/>
  <c r="J374" i="1"/>
  <c r="B375" i="1"/>
  <c r="C375" i="1"/>
  <c r="D375" i="1"/>
  <c r="E375" i="1"/>
  <c r="F375" i="1"/>
  <c r="G375" i="1"/>
  <c r="H375" i="1"/>
  <c r="I375" i="1"/>
  <c r="J375" i="1"/>
  <c r="B376" i="1"/>
  <c r="C376" i="1"/>
  <c r="D376" i="1"/>
  <c r="E376" i="1"/>
  <c r="F376" i="1"/>
  <c r="G376" i="1"/>
  <c r="H376" i="1"/>
  <c r="I376" i="1"/>
  <c r="J376" i="1"/>
  <c r="B377" i="1"/>
  <c r="C377" i="1"/>
  <c r="D377" i="1"/>
  <c r="E377" i="1"/>
  <c r="F377" i="1"/>
  <c r="G377" i="1"/>
  <c r="H377" i="1"/>
  <c r="I377" i="1"/>
  <c r="J377" i="1"/>
  <c r="B378" i="1"/>
  <c r="C378" i="1"/>
  <c r="D378" i="1"/>
  <c r="E378" i="1"/>
  <c r="F378" i="1"/>
  <c r="G378" i="1"/>
  <c r="H378" i="1"/>
  <c r="I378" i="1"/>
  <c r="J378" i="1"/>
  <c r="B379" i="1"/>
  <c r="C379" i="1"/>
  <c r="D379" i="1"/>
  <c r="E379" i="1"/>
  <c r="F379" i="1"/>
  <c r="G379" i="1"/>
  <c r="H379" i="1"/>
  <c r="I379" i="1"/>
  <c r="J379" i="1"/>
  <c r="B380" i="1"/>
  <c r="C380" i="1"/>
  <c r="D380" i="1"/>
  <c r="E380" i="1"/>
  <c r="F380" i="1"/>
  <c r="G380" i="1"/>
  <c r="H380" i="1"/>
  <c r="I380" i="1"/>
  <c r="J380" i="1"/>
  <c r="B381" i="1"/>
  <c r="C381" i="1"/>
  <c r="D381" i="1"/>
  <c r="E381" i="1"/>
  <c r="F381" i="1"/>
  <c r="G381" i="1"/>
  <c r="H381" i="1"/>
  <c r="I381" i="1"/>
  <c r="J381" i="1"/>
  <c r="B382" i="1"/>
  <c r="C382" i="1"/>
  <c r="D382" i="1"/>
  <c r="E382" i="1"/>
  <c r="F382" i="1"/>
  <c r="G382" i="1"/>
  <c r="H382" i="1"/>
  <c r="I382" i="1"/>
  <c r="J382" i="1"/>
  <c r="B383" i="1"/>
  <c r="C383" i="1"/>
  <c r="D383" i="1"/>
  <c r="E383" i="1"/>
  <c r="F383" i="1"/>
  <c r="G383" i="1"/>
  <c r="H383" i="1"/>
  <c r="I383" i="1"/>
  <c r="J383" i="1"/>
  <c r="B384" i="1"/>
  <c r="C384" i="1"/>
  <c r="D384" i="1"/>
  <c r="E384" i="1"/>
  <c r="F384" i="1"/>
  <c r="G384" i="1"/>
  <c r="H384" i="1"/>
  <c r="I384" i="1"/>
  <c r="J384" i="1"/>
  <c r="B385" i="1"/>
  <c r="C385" i="1"/>
  <c r="D385" i="1"/>
  <c r="E385" i="1"/>
  <c r="F385" i="1"/>
  <c r="G385" i="1"/>
  <c r="H385" i="1"/>
  <c r="I385" i="1"/>
  <c r="J385" i="1"/>
  <c r="B386" i="1"/>
  <c r="C386" i="1"/>
  <c r="D386" i="1"/>
  <c r="E386" i="1"/>
  <c r="F386" i="1"/>
  <c r="G386" i="1"/>
  <c r="H386" i="1"/>
  <c r="I386" i="1"/>
  <c r="J386" i="1"/>
  <c r="B387" i="1"/>
  <c r="C387" i="1"/>
  <c r="D387" i="1"/>
  <c r="E387" i="1"/>
  <c r="F387" i="1"/>
  <c r="G387" i="1"/>
  <c r="H387" i="1"/>
  <c r="I387" i="1"/>
  <c r="J387" i="1"/>
  <c r="B388" i="1"/>
  <c r="C388" i="1"/>
  <c r="D388" i="1"/>
  <c r="E388" i="1"/>
  <c r="F388" i="1"/>
  <c r="G388" i="1"/>
  <c r="H388" i="1"/>
  <c r="I388" i="1"/>
  <c r="J388" i="1"/>
  <c r="B389" i="1"/>
  <c r="C389" i="1"/>
  <c r="D389" i="1"/>
  <c r="E389" i="1"/>
  <c r="F389" i="1"/>
  <c r="G389" i="1"/>
  <c r="H389" i="1"/>
  <c r="I389" i="1"/>
  <c r="J389" i="1"/>
  <c r="B390" i="1"/>
  <c r="C390" i="1"/>
  <c r="D390" i="1"/>
  <c r="E390" i="1"/>
  <c r="F390" i="1"/>
  <c r="G390" i="1"/>
  <c r="H390" i="1"/>
  <c r="I390" i="1"/>
  <c r="J390" i="1"/>
  <c r="B391" i="1"/>
  <c r="C391" i="1"/>
  <c r="D391" i="1"/>
  <c r="E391" i="1"/>
  <c r="F391" i="1"/>
  <c r="G391" i="1"/>
  <c r="H391" i="1"/>
  <c r="I391" i="1"/>
  <c r="J391" i="1"/>
  <c r="B392" i="1"/>
  <c r="C392" i="1"/>
  <c r="D392" i="1"/>
  <c r="E392" i="1"/>
  <c r="F392" i="1"/>
  <c r="G392" i="1"/>
  <c r="H392" i="1"/>
  <c r="I392" i="1"/>
  <c r="J392" i="1"/>
  <c r="B393" i="1"/>
  <c r="C393" i="1"/>
  <c r="D393" i="1"/>
  <c r="E393" i="1"/>
  <c r="F393" i="1"/>
  <c r="G393" i="1"/>
  <c r="H393" i="1"/>
  <c r="I393" i="1"/>
  <c r="J393" i="1"/>
  <c r="B394" i="1"/>
  <c r="C394" i="1"/>
  <c r="D394" i="1"/>
  <c r="E394" i="1"/>
  <c r="F394" i="1"/>
  <c r="G394" i="1"/>
  <c r="H394" i="1"/>
  <c r="I394" i="1"/>
  <c r="J394" i="1"/>
  <c r="B395" i="1"/>
  <c r="C395" i="1"/>
  <c r="D395" i="1"/>
  <c r="E395" i="1"/>
  <c r="F395" i="1"/>
  <c r="G395" i="1"/>
  <c r="H395" i="1"/>
  <c r="I395" i="1"/>
  <c r="J395" i="1"/>
  <c r="B396" i="1"/>
  <c r="C396" i="1"/>
  <c r="D396" i="1"/>
  <c r="E396" i="1"/>
  <c r="F396" i="1"/>
  <c r="G396" i="1"/>
  <c r="H396" i="1"/>
  <c r="I396" i="1"/>
  <c r="J396" i="1"/>
  <c r="B397" i="1"/>
  <c r="C397" i="1"/>
  <c r="D397" i="1"/>
  <c r="E397" i="1"/>
  <c r="F397" i="1"/>
  <c r="G397" i="1"/>
  <c r="H397" i="1"/>
  <c r="I397" i="1"/>
  <c r="J397" i="1"/>
  <c r="B398" i="1"/>
  <c r="C398" i="1"/>
  <c r="D398" i="1"/>
  <c r="E398" i="1"/>
  <c r="F398" i="1"/>
  <c r="G398" i="1"/>
  <c r="H398" i="1"/>
  <c r="I398" i="1"/>
  <c r="J398" i="1"/>
  <c r="B399" i="1"/>
  <c r="C399" i="1"/>
  <c r="D399" i="1"/>
  <c r="E399" i="1"/>
  <c r="F399" i="1"/>
  <c r="G399" i="1"/>
  <c r="H399" i="1"/>
  <c r="I399" i="1"/>
  <c r="J399" i="1"/>
  <c r="B400" i="1"/>
  <c r="C400" i="1"/>
  <c r="D400" i="1"/>
  <c r="E400" i="1"/>
  <c r="F400" i="1"/>
  <c r="G400" i="1"/>
  <c r="H400" i="1"/>
  <c r="I400" i="1"/>
  <c r="J400" i="1"/>
  <c r="B401" i="1"/>
  <c r="C401" i="1"/>
  <c r="D401" i="1"/>
  <c r="E401" i="1"/>
  <c r="F401" i="1"/>
  <c r="G401" i="1"/>
  <c r="H401" i="1"/>
  <c r="I401" i="1"/>
  <c r="J401" i="1"/>
  <c r="B402" i="1"/>
  <c r="C402" i="1"/>
  <c r="D402" i="1"/>
  <c r="E402" i="1"/>
  <c r="F402" i="1"/>
  <c r="G402" i="1"/>
  <c r="H402" i="1"/>
  <c r="I402" i="1"/>
  <c r="J402" i="1"/>
  <c r="B403" i="1"/>
  <c r="C403" i="1"/>
  <c r="D403" i="1"/>
  <c r="E403" i="1"/>
  <c r="F403" i="1"/>
  <c r="G403" i="1"/>
  <c r="H403" i="1"/>
  <c r="I403" i="1"/>
  <c r="J403" i="1"/>
  <c r="B404" i="1"/>
  <c r="C404" i="1"/>
  <c r="D404" i="1"/>
  <c r="E404" i="1"/>
  <c r="F404" i="1"/>
  <c r="G404" i="1"/>
  <c r="H404" i="1"/>
  <c r="I404" i="1"/>
  <c r="J404" i="1"/>
  <c r="B405" i="1"/>
  <c r="C405" i="1"/>
  <c r="D405" i="1"/>
  <c r="E405" i="1"/>
  <c r="F405" i="1"/>
  <c r="G405" i="1"/>
  <c r="H405" i="1"/>
  <c r="I405" i="1"/>
  <c r="J405" i="1"/>
  <c r="B406" i="1"/>
  <c r="C406" i="1"/>
  <c r="D406" i="1"/>
  <c r="E406" i="1"/>
  <c r="F406" i="1"/>
  <c r="G406" i="1"/>
  <c r="H406" i="1"/>
  <c r="I406" i="1"/>
  <c r="J406" i="1"/>
  <c r="B407" i="1"/>
  <c r="C407" i="1"/>
  <c r="D407" i="1"/>
  <c r="E407" i="1"/>
  <c r="F407" i="1"/>
  <c r="G407" i="1"/>
  <c r="H407" i="1"/>
  <c r="I407" i="1"/>
  <c r="J407" i="1"/>
  <c r="B408" i="1"/>
  <c r="C408" i="1"/>
  <c r="D408" i="1"/>
  <c r="E408" i="1"/>
  <c r="F408" i="1"/>
  <c r="G408" i="1"/>
  <c r="H408" i="1"/>
  <c r="I408" i="1"/>
  <c r="J408" i="1"/>
  <c r="B409" i="1"/>
  <c r="C409" i="1"/>
  <c r="D409" i="1"/>
  <c r="E409" i="1"/>
  <c r="F409" i="1"/>
  <c r="G409" i="1"/>
  <c r="H409" i="1"/>
  <c r="I409" i="1"/>
  <c r="J409" i="1"/>
  <c r="B410" i="1"/>
  <c r="C410" i="1"/>
  <c r="D410" i="1"/>
  <c r="E410" i="1"/>
  <c r="F410" i="1"/>
  <c r="G410" i="1"/>
  <c r="H410" i="1"/>
  <c r="I410" i="1"/>
  <c r="J410" i="1"/>
  <c r="B411" i="1"/>
  <c r="C411" i="1"/>
  <c r="D411" i="1"/>
  <c r="E411" i="1"/>
  <c r="F411" i="1"/>
  <c r="G411" i="1"/>
  <c r="H411" i="1"/>
  <c r="I411" i="1"/>
  <c r="J411" i="1"/>
  <c r="B412" i="1"/>
  <c r="C412" i="1"/>
  <c r="D412" i="1"/>
  <c r="E412" i="1"/>
  <c r="F412" i="1"/>
  <c r="G412" i="1"/>
  <c r="H412" i="1"/>
  <c r="I412" i="1"/>
  <c r="J412" i="1"/>
  <c r="B413" i="1"/>
  <c r="C413" i="1"/>
  <c r="D413" i="1"/>
  <c r="E413" i="1"/>
  <c r="F413" i="1"/>
  <c r="G413" i="1"/>
  <c r="H413" i="1"/>
  <c r="I413" i="1"/>
  <c r="J413" i="1"/>
  <c r="B414" i="1"/>
  <c r="C414" i="1"/>
  <c r="D414" i="1"/>
  <c r="E414" i="1"/>
  <c r="F414" i="1"/>
  <c r="G414" i="1"/>
  <c r="H414" i="1"/>
  <c r="I414" i="1"/>
  <c r="J414" i="1"/>
  <c r="B415" i="1"/>
  <c r="C415" i="1"/>
  <c r="D415" i="1"/>
  <c r="E415" i="1"/>
  <c r="F415" i="1"/>
  <c r="G415" i="1"/>
  <c r="H415" i="1"/>
  <c r="I415" i="1"/>
  <c r="J415" i="1"/>
  <c r="B416" i="1"/>
  <c r="C416" i="1"/>
  <c r="D416" i="1"/>
  <c r="E416" i="1"/>
  <c r="F416" i="1"/>
  <c r="G416" i="1"/>
  <c r="H416" i="1"/>
  <c r="I416" i="1"/>
  <c r="J416" i="1"/>
  <c r="B417" i="1"/>
  <c r="C417" i="1"/>
  <c r="D417" i="1"/>
  <c r="E417" i="1"/>
  <c r="F417" i="1"/>
  <c r="G417" i="1"/>
  <c r="H417" i="1"/>
  <c r="I417" i="1"/>
  <c r="J417" i="1"/>
  <c r="B418" i="1"/>
  <c r="C418" i="1"/>
  <c r="D418" i="1"/>
  <c r="E418" i="1"/>
  <c r="F418" i="1"/>
  <c r="G418" i="1"/>
  <c r="H418" i="1"/>
  <c r="I418" i="1"/>
  <c r="J418" i="1"/>
  <c r="B419" i="1"/>
  <c r="C419" i="1"/>
  <c r="D419" i="1"/>
  <c r="E419" i="1"/>
  <c r="F419" i="1"/>
  <c r="G419" i="1"/>
  <c r="H419" i="1"/>
  <c r="I419" i="1"/>
  <c r="J419" i="1"/>
  <c r="B420" i="1"/>
  <c r="C420" i="1"/>
  <c r="D420" i="1"/>
  <c r="E420" i="1"/>
  <c r="F420" i="1"/>
  <c r="G420" i="1"/>
  <c r="H420" i="1"/>
  <c r="I420" i="1"/>
  <c r="J420" i="1"/>
  <c r="B421" i="1"/>
  <c r="C421" i="1"/>
  <c r="D421" i="1"/>
  <c r="E421" i="1"/>
  <c r="F421" i="1"/>
  <c r="G421" i="1"/>
  <c r="H421" i="1"/>
  <c r="I421" i="1"/>
  <c r="J421" i="1"/>
  <c r="B422" i="1"/>
  <c r="C422" i="1"/>
  <c r="D422" i="1"/>
  <c r="E422" i="1"/>
  <c r="F422" i="1"/>
  <c r="G422" i="1"/>
  <c r="H422" i="1"/>
  <c r="I422" i="1"/>
  <c r="J422" i="1"/>
  <c r="B423" i="1"/>
  <c r="C423" i="1"/>
  <c r="D423" i="1"/>
  <c r="E423" i="1"/>
  <c r="F423" i="1"/>
  <c r="G423" i="1"/>
  <c r="H423" i="1"/>
  <c r="I423" i="1"/>
  <c r="J423" i="1"/>
  <c r="B424" i="1"/>
  <c r="C424" i="1"/>
  <c r="D424" i="1"/>
  <c r="E424" i="1"/>
  <c r="F424" i="1"/>
  <c r="G424" i="1"/>
  <c r="H424" i="1"/>
  <c r="I424" i="1"/>
  <c r="J424" i="1"/>
  <c r="B425" i="1"/>
  <c r="C425" i="1"/>
  <c r="D425" i="1"/>
  <c r="E425" i="1"/>
  <c r="F425" i="1"/>
  <c r="G425" i="1"/>
  <c r="H425" i="1"/>
  <c r="I425" i="1"/>
  <c r="J425" i="1"/>
  <c r="B426" i="1"/>
  <c r="C426" i="1"/>
  <c r="D426" i="1"/>
  <c r="E426" i="1"/>
  <c r="F426" i="1"/>
  <c r="G426" i="1"/>
  <c r="H426" i="1"/>
  <c r="I426" i="1"/>
  <c r="J426" i="1"/>
  <c r="B427" i="1"/>
  <c r="C427" i="1"/>
  <c r="D427" i="1"/>
  <c r="E427" i="1"/>
  <c r="F427" i="1"/>
  <c r="G427" i="1"/>
  <c r="H427" i="1"/>
  <c r="I427" i="1"/>
  <c r="J427" i="1"/>
  <c r="B428" i="1"/>
  <c r="C428" i="1"/>
  <c r="D428" i="1"/>
  <c r="E428" i="1"/>
  <c r="F428" i="1"/>
  <c r="G428" i="1"/>
  <c r="H428" i="1"/>
  <c r="I428" i="1"/>
  <c r="J428" i="1"/>
  <c r="B429" i="1"/>
  <c r="C429" i="1"/>
  <c r="D429" i="1"/>
  <c r="E429" i="1"/>
  <c r="F429" i="1"/>
  <c r="G429" i="1"/>
  <c r="H429" i="1"/>
  <c r="I429" i="1"/>
  <c r="J429" i="1"/>
  <c r="B430" i="1"/>
  <c r="C430" i="1"/>
  <c r="D430" i="1"/>
  <c r="E430" i="1"/>
  <c r="F430" i="1"/>
  <c r="G430" i="1"/>
  <c r="H430" i="1"/>
  <c r="I430" i="1"/>
  <c r="J430" i="1"/>
  <c r="B431" i="1"/>
  <c r="C431" i="1"/>
  <c r="D431" i="1"/>
  <c r="E431" i="1"/>
  <c r="F431" i="1"/>
  <c r="G431" i="1"/>
  <c r="H431" i="1"/>
  <c r="I431" i="1"/>
  <c r="J431" i="1"/>
  <c r="B432" i="1"/>
  <c r="C432" i="1"/>
  <c r="D432" i="1"/>
  <c r="E432" i="1"/>
  <c r="F432" i="1"/>
  <c r="G432" i="1"/>
  <c r="H432" i="1"/>
  <c r="I432" i="1"/>
  <c r="J432" i="1"/>
  <c r="B433" i="1"/>
  <c r="C433" i="1"/>
  <c r="D433" i="1"/>
  <c r="E433" i="1"/>
  <c r="F433" i="1"/>
  <c r="G433" i="1"/>
  <c r="H433" i="1"/>
  <c r="I433" i="1"/>
  <c r="J433" i="1"/>
  <c r="B434" i="1"/>
  <c r="C434" i="1"/>
  <c r="D434" i="1"/>
  <c r="E434" i="1"/>
  <c r="F434" i="1"/>
  <c r="G434" i="1"/>
  <c r="H434" i="1"/>
  <c r="I434" i="1"/>
  <c r="J434" i="1"/>
  <c r="B435" i="1"/>
  <c r="C435" i="1"/>
  <c r="D435" i="1"/>
  <c r="E435" i="1"/>
  <c r="F435" i="1"/>
  <c r="G435" i="1"/>
  <c r="H435" i="1"/>
  <c r="I435" i="1"/>
  <c r="J435" i="1"/>
  <c r="B436" i="1"/>
  <c r="C436" i="1"/>
  <c r="D436" i="1"/>
  <c r="E436" i="1"/>
  <c r="F436" i="1"/>
  <c r="G436" i="1"/>
  <c r="H436" i="1"/>
  <c r="I436" i="1"/>
  <c r="J436" i="1"/>
  <c r="B437" i="1"/>
  <c r="C437" i="1"/>
  <c r="D437" i="1"/>
  <c r="E437" i="1"/>
  <c r="F437" i="1"/>
  <c r="G437" i="1"/>
  <c r="H437" i="1"/>
  <c r="I437" i="1"/>
  <c r="J437" i="1"/>
  <c r="B438" i="1"/>
  <c r="C438" i="1"/>
  <c r="D438" i="1"/>
  <c r="E438" i="1"/>
  <c r="F438" i="1"/>
  <c r="G438" i="1"/>
  <c r="H438" i="1"/>
  <c r="I438" i="1"/>
  <c r="J438" i="1"/>
  <c r="B439" i="1"/>
  <c r="C439" i="1"/>
  <c r="D439" i="1"/>
  <c r="E439" i="1"/>
  <c r="F439" i="1"/>
  <c r="G439" i="1"/>
  <c r="H439" i="1"/>
  <c r="I439" i="1"/>
  <c r="J439" i="1"/>
  <c r="B440" i="1"/>
  <c r="C440" i="1"/>
  <c r="D440" i="1"/>
  <c r="E440" i="1"/>
  <c r="F440" i="1"/>
  <c r="G440" i="1"/>
  <c r="H440" i="1"/>
  <c r="I440" i="1"/>
  <c r="J440" i="1"/>
  <c r="B441" i="1"/>
  <c r="C441" i="1"/>
  <c r="D441" i="1"/>
  <c r="E441" i="1"/>
  <c r="F441" i="1"/>
  <c r="G441" i="1"/>
  <c r="H441" i="1"/>
  <c r="I441" i="1"/>
  <c r="J441" i="1"/>
  <c r="B442" i="1"/>
  <c r="C442" i="1"/>
  <c r="D442" i="1"/>
  <c r="E442" i="1"/>
  <c r="F442" i="1"/>
  <c r="G442" i="1"/>
  <c r="H442" i="1"/>
  <c r="I442" i="1"/>
  <c r="J442" i="1"/>
  <c r="B443" i="1"/>
  <c r="C443" i="1"/>
  <c r="D443" i="1"/>
  <c r="E443" i="1"/>
  <c r="F443" i="1"/>
  <c r="G443" i="1"/>
  <c r="H443" i="1"/>
  <c r="I443" i="1"/>
  <c r="J443" i="1"/>
  <c r="B444" i="1"/>
  <c r="C444" i="1"/>
  <c r="D444" i="1"/>
  <c r="E444" i="1"/>
  <c r="F444" i="1"/>
  <c r="G444" i="1"/>
  <c r="H444" i="1"/>
  <c r="I444" i="1"/>
  <c r="J444" i="1"/>
  <c r="B445" i="1"/>
  <c r="C445" i="1"/>
  <c r="D445" i="1"/>
  <c r="E445" i="1"/>
  <c r="F445" i="1"/>
  <c r="G445" i="1"/>
  <c r="H445" i="1"/>
  <c r="I445" i="1"/>
  <c r="J445" i="1"/>
  <c r="B446" i="1"/>
  <c r="C446" i="1"/>
  <c r="D446" i="1"/>
  <c r="E446" i="1"/>
  <c r="F446" i="1"/>
  <c r="G446" i="1"/>
  <c r="H446" i="1"/>
  <c r="I446" i="1"/>
  <c r="J446" i="1"/>
  <c r="B447" i="1"/>
  <c r="C447" i="1"/>
  <c r="D447" i="1"/>
  <c r="E447" i="1"/>
  <c r="F447" i="1"/>
  <c r="G447" i="1"/>
  <c r="H447" i="1"/>
  <c r="I447" i="1"/>
  <c r="J447" i="1"/>
  <c r="B448" i="1"/>
  <c r="C448" i="1"/>
  <c r="D448" i="1"/>
  <c r="E448" i="1"/>
  <c r="F448" i="1"/>
  <c r="G448" i="1"/>
  <c r="H448" i="1"/>
  <c r="I448" i="1"/>
  <c r="J448" i="1"/>
  <c r="B449" i="1"/>
  <c r="C449" i="1"/>
  <c r="D449" i="1"/>
  <c r="E449" i="1"/>
  <c r="F449" i="1"/>
  <c r="G449" i="1"/>
  <c r="H449" i="1"/>
  <c r="I449" i="1"/>
  <c r="J449" i="1"/>
  <c r="B450" i="1"/>
  <c r="C450" i="1"/>
  <c r="D450" i="1"/>
  <c r="E450" i="1"/>
  <c r="F450" i="1"/>
  <c r="G450" i="1"/>
  <c r="H450" i="1"/>
  <c r="I450" i="1"/>
  <c r="J450" i="1"/>
  <c r="B451" i="1"/>
  <c r="C451" i="1"/>
  <c r="D451" i="1"/>
  <c r="E451" i="1"/>
  <c r="F451" i="1"/>
  <c r="G451" i="1"/>
  <c r="H451" i="1"/>
  <c r="I451" i="1"/>
  <c r="J451" i="1"/>
  <c r="B452" i="1"/>
  <c r="C452" i="1"/>
  <c r="D452" i="1"/>
  <c r="E452" i="1"/>
  <c r="F452" i="1"/>
  <c r="G452" i="1"/>
  <c r="H452" i="1"/>
  <c r="I452" i="1"/>
  <c r="J452" i="1"/>
  <c r="B453" i="1"/>
  <c r="C453" i="1"/>
  <c r="D453" i="1"/>
  <c r="E453" i="1"/>
  <c r="F453" i="1"/>
  <c r="G453" i="1"/>
  <c r="H453" i="1"/>
  <c r="I453" i="1"/>
  <c r="J453" i="1"/>
  <c r="B454" i="1"/>
  <c r="C454" i="1"/>
  <c r="D454" i="1"/>
  <c r="E454" i="1"/>
  <c r="F454" i="1"/>
  <c r="G454" i="1"/>
  <c r="H454" i="1"/>
  <c r="I454" i="1"/>
  <c r="J454" i="1"/>
  <c r="B455" i="1"/>
  <c r="C455" i="1"/>
  <c r="D455" i="1"/>
  <c r="E455" i="1"/>
  <c r="F455" i="1"/>
  <c r="G455" i="1"/>
  <c r="H455" i="1"/>
  <c r="I455" i="1"/>
  <c r="J455" i="1"/>
  <c r="B456" i="1"/>
  <c r="C456" i="1"/>
  <c r="D456" i="1"/>
  <c r="E456" i="1"/>
  <c r="F456" i="1"/>
  <c r="G456" i="1"/>
  <c r="H456" i="1"/>
  <c r="I456" i="1"/>
  <c r="J456" i="1"/>
  <c r="B457" i="1"/>
  <c r="C457" i="1"/>
  <c r="D457" i="1"/>
  <c r="E457" i="1"/>
  <c r="F457" i="1"/>
  <c r="G457" i="1"/>
  <c r="H457" i="1"/>
  <c r="I457" i="1"/>
  <c r="J457" i="1"/>
  <c r="B458" i="1"/>
  <c r="C458" i="1"/>
  <c r="D458" i="1"/>
  <c r="E458" i="1"/>
  <c r="F458" i="1"/>
  <c r="G458" i="1"/>
  <c r="H458" i="1"/>
  <c r="I458" i="1"/>
  <c r="J458" i="1"/>
  <c r="B459" i="1"/>
  <c r="C459" i="1"/>
  <c r="D459" i="1"/>
  <c r="E459" i="1"/>
  <c r="F459" i="1"/>
  <c r="G459" i="1"/>
  <c r="H459" i="1"/>
  <c r="I459" i="1"/>
  <c r="J459" i="1"/>
  <c r="B460" i="1"/>
  <c r="C460" i="1"/>
  <c r="D460" i="1"/>
  <c r="E460" i="1"/>
  <c r="F460" i="1"/>
  <c r="G460" i="1"/>
  <c r="H460" i="1"/>
  <c r="I460" i="1"/>
  <c r="J460" i="1"/>
  <c r="B461" i="1"/>
  <c r="C461" i="1"/>
  <c r="D461" i="1"/>
  <c r="E461" i="1"/>
  <c r="F461" i="1"/>
  <c r="G461" i="1"/>
  <c r="H461" i="1"/>
  <c r="I461" i="1"/>
  <c r="J461" i="1"/>
  <c r="B462" i="1"/>
  <c r="C462" i="1"/>
  <c r="D462" i="1"/>
  <c r="E462" i="1"/>
  <c r="F462" i="1"/>
  <c r="G462" i="1"/>
  <c r="H462" i="1"/>
  <c r="I462" i="1"/>
  <c r="J462" i="1"/>
  <c r="B463" i="1"/>
  <c r="C463" i="1"/>
  <c r="D463" i="1"/>
  <c r="E463" i="1"/>
  <c r="F463" i="1"/>
  <c r="G463" i="1"/>
  <c r="H463" i="1"/>
  <c r="I463" i="1"/>
  <c r="J463" i="1"/>
  <c r="B464" i="1"/>
  <c r="C464" i="1"/>
  <c r="D464" i="1"/>
  <c r="E464" i="1"/>
  <c r="F464" i="1"/>
  <c r="G464" i="1"/>
  <c r="H464" i="1"/>
  <c r="I464" i="1"/>
  <c r="J464" i="1"/>
  <c r="B465" i="1"/>
  <c r="C465" i="1"/>
  <c r="D465" i="1"/>
  <c r="E465" i="1"/>
  <c r="F465" i="1"/>
  <c r="G465" i="1"/>
  <c r="H465" i="1"/>
  <c r="I465" i="1"/>
  <c r="J465" i="1"/>
  <c r="B466" i="1"/>
  <c r="C466" i="1"/>
  <c r="D466" i="1"/>
  <c r="E466" i="1"/>
  <c r="F466" i="1"/>
  <c r="G466" i="1"/>
  <c r="H466" i="1"/>
  <c r="I466" i="1"/>
  <c r="J466" i="1"/>
  <c r="B467" i="1"/>
  <c r="C467" i="1"/>
  <c r="D467" i="1"/>
  <c r="E467" i="1"/>
  <c r="F467" i="1"/>
  <c r="G467" i="1"/>
  <c r="H467" i="1"/>
  <c r="I467" i="1"/>
  <c r="J467" i="1"/>
  <c r="B468" i="1"/>
  <c r="C468" i="1"/>
  <c r="D468" i="1"/>
  <c r="E468" i="1"/>
  <c r="F468" i="1"/>
  <c r="G468" i="1"/>
  <c r="H468" i="1"/>
  <c r="I468" i="1"/>
  <c r="J468" i="1"/>
  <c r="B469" i="1"/>
  <c r="C469" i="1"/>
  <c r="D469" i="1"/>
  <c r="E469" i="1"/>
  <c r="F469" i="1"/>
  <c r="G469" i="1"/>
  <c r="H469" i="1"/>
  <c r="I469" i="1"/>
  <c r="J469" i="1"/>
  <c r="B470" i="1"/>
  <c r="C470" i="1"/>
  <c r="D470" i="1"/>
  <c r="E470" i="1"/>
  <c r="F470" i="1"/>
  <c r="G470" i="1"/>
  <c r="H470" i="1"/>
  <c r="I470" i="1"/>
  <c r="J470" i="1"/>
  <c r="B471" i="1"/>
  <c r="C471" i="1"/>
  <c r="D471" i="1"/>
  <c r="E471" i="1"/>
  <c r="F471" i="1"/>
  <c r="G471" i="1"/>
  <c r="H471" i="1"/>
  <c r="I471" i="1"/>
  <c r="J471" i="1"/>
  <c r="B472" i="1"/>
  <c r="C472" i="1"/>
  <c r="D472" i="1"/>
  <c r="E472" i="1"/>
  <c r="F472" i="1"/>
  <c r="G472" i="1"/>
  <c r="H472" i="1"/>
  <c r="I472" i="1"/>
  <c r="J472" i="1"/>
  <c r="B473" i="1"/>
  <c r="C473" i="1"/>
  <c r="D473" i="1"/>
  <c r="E473" i="1"/>
  <c r="F473" i="1"/>
  <c r="G473" i="1"/>
  <c r="H473" i="1"/>
  <c r="I473" i="1"/>
  <c r="J473" i="1"/>
  <c r="B474" i="1"/>
  <c r="C474" i="1"/>
  <c r="D474" i="1"/>
  <c r="E474" i="1"/>
  <c r="F474" i="1"/>
  <c r="G474" i="1"/>
  <c r="H474" i="1"/>
  <c r="I474" i="1"/>
  <c r="J474" i="1"/>
  <c r="B475" i="1"/>
  <c r="C475" i="1"/>
  <c r="D475" i="1"/>
  <c r="E475" i="1"/>
  <c r="F475" i="1"/>
  <c r="G475" i="1"/>
  <c r="H475" i="1"/>
  <c r="I475" i="1"/>
  <c r="J475" i="1"/>
  <c r="B476" i="1"/>
  <c r="C476" i="1"/>
  <c r="D476" i="1"/>
  <c r="E476" i="1"/>
  <c r="F476" i="1"/>
  <c r="G476" i="1"/>
  <c r="H476" i="1"/>
  <c r="I476" i="1"/>
  <c r="J476" i="1"/>
  <c r="B477" i="1"/>
  <c r="C477" i="1"/>
  <c r="D477" i="1"/>
  <c r="E477" i="1"/>
  <c r="F477" i="1"/>
  <c r="G477" i="1"/>
  <c r="H477" i="1"/>
  <c r="I477" i="1"/>
  <c r="J477" i="1"/>
  <c r="B478" i="1"/>
  <c r="C478" i="1"/>
  <c r="D478" i="1"/>
  <c r="E478" i="1"/>
  <c r="F478" i="1"/>
  <c r="G478" i="1"/>
  <c r="H478" i="1"/>
  <c r="I478" i="1"/>
  <c r="J478" i="1"/>
  <c r="B479" i="1"/>
  <c r="C479" i="1"/>
  <c r="D479" i="1"/>
  <c r="E479" i="1"/>
  <c r="F479" i="1"/>
  <c r="G479" i="1"/>
  <c r="H479" i="1"/>
  <c r="I479" i="1"/>
  <c r="J479" i="1"/>
  <c r="B480" i="1"/>
  <c r="C480" i="1"/>
  <c r="D480" i="1"/>
  <c r="E480" i="1"/>
  <c r="F480" i="1"/>
  <c r="G480" i="1"/>
  <c r="H480" i="1"/>
  <c r="I480" i="1"/>
  <c r="J480" i="1"/>
  <c r="B481" i="1"/>
  <c r="C481" i="1"/>
  <c r="D481" i="1"/>
  <c r="E481" i="1"/>
  <c r="F481" i="1"/>
  <c r="G481" i="1"/>
  <c r="H481" i="1"/>
  <c r="I481" i="1"/>
  <c r="J481" i="1"/>
  <c r="B482" i="1"/>
  <c r="C482" i="1"/>
  <c r="D482" i="1"/>
  <c r="E482" i="1"/>
  <c r="F482" i="1"/>
  <c r="G482" i="1"/>
  <c r="H482" i="1"/>
  <c r="I482" i="1"/>
  <c r="J482" i="1"/>
  <c r="B483" i="1"/>
  <c r="C483" i="1"/>
  <c r="D483" i="1"/>
  <c r="E483" i="1"/>
  <c r="F483" i="1"/>
  <c r="G483" i="1"/>
  <c r="H483" i="1"/>
  <c r="I483" i="1"/>
  <c r="J483" i="1"/>
  <c r="B484" i="1"/>
  <c r="C484" i="1"/>
  <c r="D484" i="1"/>
  <c r="E484" i="1"/>
  <c r="F484" i="1"/>
  <c r="G484" i="1"/>
  <c r="H484" i="1"/>
  <c r="I484" i="1"/>
  <c r="J484" i="1"/>
  <c r="B485" i="1"/>
  <c r="C485" i="1"/>
  <c r="D485" i="1"/>
  <c r="E485" i="1"/>
  <c r="F485" i="1"/>
  <c r="G485" i="1"/>
  <c r="H485" i="1"/>
  <c r="I485" i="1"/>
  <c r="J485" i="1"/>
  <c r="B486" i="1"/>
  <c r="C486" i="1"/>
  <c r="D486" i="1"/>
  <c r="E486" i="1"/>
  <c r="F486" i="1"/>
  <c r="G486" i="1"/>
  <c r="H486" i="1"/>
  <c r="I486" i="1"/>
  <c r="J486" i="1"/>
  <c r="B487" i="1"/>
  <c r="C487" i="1"/>
  <c r="D487" i="1"/>
  <c r="E487" i="1"/>
  <c r="F487" i="1"/>
  <c r="G487" i="1"/>
  <c r="H487" i="1"/>
  <c r="I487" i="1"/>
  <c r="J487" i="1"/>
  <c r="B488" i="1"/>
  <c r="C488" i="1"/>
  <c r="D488" i="1"/>
  <c r="E488" i="1"/>
  <c r="F488" i="1"/>
  <c r="G488" i="1"/>
  <c r="H488" i="1"/>
  <c r="I488" i="1"/>
  <c r="J488" i="1"/>
  <c r="B489" i="1"/>
  <c r="C489" i="1"/>
  <c r="D489" i="1"/>
  <c r="E489" i="1"/>
  <c r="F489" i="1"/>
  <c r="G489" i="1"/>
  <c r="H489" i="1"/>
  <c r="I489" i="1"/>
  <c r="J489" i="1"/>
  <c r="B490" i="1"/>
  <c r="C490" i="1"/>
  <c r="D490" i="1"/>
  <c r="E490" i="1"/>
  <c r="F490" i="1"/>
  <c r="G490" i="1"/>
  <c r="H490" i="1"/>
  <c r="I490" i="1"/>
  <c r="J490" i="1"/>
  <c r="B491" i="1"/>
  <c r="C491" i="1"/>
  <c r="D491" i="1"/>
  <c r="E491" i="1"/>
  <c r="F491" i="1"/>
  <c r="G491" i="1"/>
  <c r="H491" i="1"/>
  <c r="I491" i="1"/>
  <c r="J491" i="1"/>
  <c r="B492" i="1"/>
  <c r="C492" i="1"/>
  <c r="D492" i="1"/>
  <c r="E492" i="1"/>
  <c r="F492" i="1"/>
  <c r="G492" i="1"/>
  <c r="H492" i="1"/>
  <c r="I492" i="1"/>
  <c r="J492" i="1"/>
  <c r="B493" i="1"/>
  <c r="C493" i="1"/>
  <c r="D493" i="1"/>
  <c r="E493" i="1"/>
  <c r="F493" i="1"/>
  <c r="G493" i="1"/>
  <c r="H493" i="1"/>
  <c r="I493" i="1"/>
  <c r="J493" i="1"/>
  <c r="B494" i="1"/>
  <c r="C494" i="1"/>
  <c r="D494" i="1"/>
  <c r="E494" i="1"/>
  <c r="F494" i="1"/>
  <c r="G494" i="1"/>
  <c r="H494" i="1"/>
  <c r="I494" i="1"/>
  <c r="J494" i="1"/>
  <c r="B495" i="1"/>
  <c r="C495" i="1"/>
  <c r="D495" i="1"/>
  <c r="E495" i="1"/>
  <c r="F495" i="1"/>
  <c r="G495" i="1"/>
  <c r="H495" i="1"/>
  <c r="I495" i="1"/>
  <c r="J495" i="1"/>
  <c r="B496" i="1"/>
  <c r="C496" i="1"/>
  <c r="D496" i="1"/>
  <c r="E496" i="1"/>
  <c r="F496" i="1"/>
  <c r="G496" i="1"/>
  <c r="H496" i="1"/>
  <c r="I496" i="1"/>
  <c r="J496" i="1"/>
  <c r="B497" i="1"/>
  <c r="C497" i="1"/>
  <c r="D497" i="1"/>
  <c r="E497" i="1"/>
  <c r="F497" i="1"/>
  <c r="G497" i="1"/>
  <c r="H497" i="1"/>
  <c r="I497" i="1"/>
  <c r="J497" i="1"/>
  <c r="B498" i="1"/>
  <c r="C498" i="1"/>
  <c r="D498" i="1"/>
  <c r="E498" i="1"/>
  <c r="F498" i="1"/>
  <c r="G498" i="1"/>
  <c r="H498" i="1"/>
  <c r="I498" i="1"/>
  <c r="J498" i="1"/>
  <c r="B499" i="1"/>
  <c r="C499" i="1"/>
  <c r="D499" i="1"/>
  <c r="E499" i="1"/>
  <c r="F499" i="1"/>
  <c r="G499" i="1"/>
  <c r="H499" i="1"/>
  <c r="I499" i="1"/>
  <c r="J499" i="1"/>
  <c r="B500" i="1"/>
  <c r="C500" i="1"/>
  <c r="D500" i="1"/>
  <c r="E500" i="1"/>
  <c r="F500" i="1"/>
  <c r="G500" i="1"/>
  <c r="H500" i="1"/>
  <c r="I500" i="1"/>
  <c r="J500" i="1"/>
  <c r="B501" i="1"/>
  <c r="C501" i="1"/>
  <c r="D501" i="1"/>
  <c r="E501" i="1"/>
  <c r="F501" i="1"/>
  <c r="G501" i="1"/>
  <c r="H501" i="1"/>
  <c r="I501" i="1"/>
  <c r="J501" i="1"/>
  <c r="B502" i="1"/>
  <c r="C502" i="1"/>
  <c r="D502" i="1"/>
  <c r="E502" i="1"/>
  <c r="F502" i="1"/>
  <c r="G502" i="1"/>
  <c r="H502" i="1"/>
  <c r="I502" i="1"/>
  <c r="J502" i="1"/>
  <c r="B503" i="1"/>
  <c r="C503" i="1"/>
  <c r="D503" i="1"/>
  <c r="E503" i="1"/>
  <c r="F503" i="1"/>
  <c r="G503" i="1"/>
  <c r="H503" i="1"/>
  <c r="I503" i="1"/>
  <c r="J503" i="1"/>
  <c r="B504" i="1"/>
  <c r="C504" i="1"/>
  <c r="D504" i="1"/>
  <c r="E504" i="1"/>
  <c r="F504" i="1"/>
  <c r="G504" i="1"/>
  <c r="H504" i="1"/>
  <c r="I504" i="1"/>
  <c r="J504" i="1"/>
  <c r="B505" i="1"/>
  <c r="C505" i="1"/>
  <c r="D505" i="1"/>
  <c r="E505" i="1"/>
  <c r="F505" i="1"/>
  <c r="G505" i="1"/>
  <c r="H505" i="1"/>
  <c r="I505" i="1"/>
  <c r="J505" i="1"/>
  <c r="B506" i="1"/>
  <c r="C506" i="1"/>
  <c r="D506" i="1"/>
  <c r="E506" i="1"/>
  <c r="F506" i="1"/>
  <c r="G506" i="1"/>
  <c r="H506" i="1"/>
  <c r="I506" i="1"/>
  <c r="J506" i="1"/>
  <c r="B507" i="1"/>
  <c r="C507" i="1"/>
  <c r="D507" i="1"/>
  <c r="E507" i="1"/>
  <c r="F507" i="1"/>
  <c r="G507" i="1"/>
  <c r="H507" i="1"/>
  <c r="I507" i="1"/>
  <c r="J507" i="1"/>
  <c r="B508" i="1"/>
  <c r="C508" i="1"/>
  <c r="D508" i="1"/>
  <c r="E508" i="1"/>
  <c r="F508" i="1"/>
  <c r="G508" i="1"/>
  <c r="H508" i="1"/>
  <c r="I508" i="1"/>
  <c r="J508" i="1"/>
  <c r="B509" i="1"/>
  <c r="C509" i="1"/>
  <c r="D509" i="1"/>
  <c r="E509" i="1"/>
  <c r="F509" i="1"/>
  <c r="G509" i="1"/>
  <c r="H509" i="1"/>
  <c r="I509" i="1"/>
  <c r="J509" i="1"/>
  <c r="B510" i="1"/>
  <c r="C510" i="1"/>
  <c r="D510" i="1"/>
  <c r="E510" i="1"/>
  <c r="F510" i="1"/>
  <c r="G510" i="1"/>
  <c r="H510" i="1"/>
  <c r="I510" i="1"/>
  <c r="J510" i="1"/>
  <c r="B511" i="1"/>
  <c r="C511" i="1"/>
  <c r="D511" i="1"/>
  <c r="E511" i="1"/>
  <c r="F511" i="1"/>
  <c r="G511" i="1"/>
  <c r="H511" i="1"/>
  <c r="I511" i="1"/>
  <c r="J511" i="1"/>
  <c r="B512" i="1"/>
  <c r="C512" i="1"/>
  <c r="D512" i="1"/>
  <c r="E512" i="1"/>
  <c r="F512" i="1"/>
  <c r="G512" i="1"/>
  <c r="H512" i="1"/>
  <c r="I512" i="1"/>
  <c r="J512" i="1"/>
  <c r="B513" i="1"/>
  <c r="C513" i="1"/>
  <c r="D513" i="1"/>
  <c r="E513" i="1"/>
  <c r="F513" i="1"/>
  <c r="G513" i="1"/>
  <c r="H513" i="1"/>
  <c r="I513" i="1"/>
  <c r="J513" i="1"/>
  <c r="B514" i="1"/>
  <c r="C514" i="1"/>
  <c r="D514" i="1"/>
  <c r="E514" i="1"/>
  <c r="F514" i="1"/>
  <c r="G514" i="1"/>
  <c r="H514" i="1"/>
  <c r="I514" i="1"/>
  <c r="J514" i="1"/>
  <c r="B515" i="1"/>
  <c r="C515" i="1"/>
  <c r="D515" i="1"/>
  <c r="E515" i="1"/>
  <c r="F515" i="1"/>
  <c r="G515" i="1"/>
  <c r="H515" i="1"/>
  <c r="I515" i="1"/>
  <c r="J515" i="1"/>
  <c r="B516" i="1"/>
  <c r="C516" i="1"/>
  <c r="D516" i="1"/>
  <c r="E516" i="1"/>
  <c r="F516" i="1"/>
  <c r="G516" i="1"/>
  <c r="H516" i="1"/>
  <c r="I516" i="1"/>
  <c r="J516" i="1"/>
  <c r="B517" i="1"/>
  <c r="C517" i="1"/>
  <c r="D517" i="1"/>
  <c r="E517" i="1"/>
  <c r="F517" i="1"/>
  <c r="G517" i="1"/>
  <c r="H517" i="1"/>
  <c r="I517" i="1"/>
  <c r="J517" i="1"/>
  <c r="B518" i="1"/>
  <c r="C518" i="1"/>
  <c r="D518" i="1"/>
  <c r="E518" i="1"/>
  <c r="F518" i="1"/>
  <c r="G518" i="1"/>
  <c r="H518" i="1"/>
  <c r="I518" i="1"/>
  <c r="J518" i="1"/>
  <c r="B519" i="1"/>
  <c r="C519" i="1"/>
  <c r="D519" i="1"/>
  <c r="E519" i="1"/>
  <c r="F519" i="1"/>
  <c r="G519" i="1"/>
  <c r="H519" i="1"/>
  <c r="I519" i="1"/>
  <c r="J519" i="1"/>
  <c r="B520" i="1"/>
  <c r="C520" i="1"/>
  <c r="D520" i="1"/>
  <c r="E520" i="1"/>
  <c r="F520" i="1"/>
  <c r="G520" i="1"/>
  <c r="H520" i="1"/>
  <c r="I520" i="1"/>
  <c r="J520" i="1"/>
  <c r="B521" i="1"/>
  <c r="C521" i="1"/>
  <c r="D521" i="1"/>
  <c r="E521" i="1"/>
  <c r="F521" i="1"/>
  <c r="G521" i="1"/>
  <c r="H521" i="1"/>
  <c r="I521" i="1"/>
  <c r="J521" i="1"/>
  <c r="B522" i="1"/>
  <c r="C522" i="1"/>
  <c r="D522" i="1"/>
  <c r="E522" i="1"/>
  <c r="F522" i="1"/>
  <c r="G522" i="1"/>
  <c r="H522" i="1"/>
  <c r="I522" i="1"/>
  <c r="J522" i="1"/>
  <c r="B523" i="1"/>
  <c r="C523" i="1"/>
  <c r="D523" i="1"/>
  <c r="E523" i="1"/>
  <c r="F523" i="1"/>
  <c r="G523" i="1"/>
  <c r="H523" i="1"/>
  <c r="I523" i="1"/>
  <c r="J523" i="1"/>
  <c r="B524" i="1"/>
  <c r="C524" i="1"/>
  <c r="D524" i="1"/>
  <c r="E524" i="1"/>
  <c r="F524" i="1"/>
  <c r="G524" i="1"/>
  <c r="H524" i="1"/>
  <c r="I524" i="1"/>
  <c r="J524" i="1"/>
  <c r="B525" i="1"/>
  <c r="C525" i="1"/>
  <c r="D525" i="1"/>
  <c r="E525" i="1"/>
  <c r="F525" i="1"/>
  <c r="G525" i="1"/>
  <c r="H525" i="1"/>
  <c r="I525" i="1"/>
  <c r="J525" i="1"/>
  <c r="B526" i="1"/>
  <c r="C526" i="1"/>
  <c r="D526" i="1"/>
  <c r="E526" i="1"/>
  <c r="F526" i="1"/>
  <c r="G526" i="1"/>
  <c r="H526" i="1"/>
  <c r="I526" i="1"/>
  <c r="J526" i="1"/>
  <c r="B527" i="1"/>
  <c r="C527" i="1"/>
  <c r="D527" i="1"/>
  <c r="E527" i="1"/>
  <c r="F527" i="1"/>
  <c r="G527" i="1"/>
  <c r="H527" i="1"/>
  <c r="I527" i="1"/>
  <c r="J527" i="1"/>
  <c r="B528" i="1"/>
  <c r="C528" i="1"/>
  <c r="D528" i="1"/>
  <c r="E528" i="1"/>
  <c r="F528" i="1"/>
  <c r="G528" i="1"/>
  <c r="H528" i="1"/>
  <c r="I528" i="1"/>
  <c r="J528" i="1"/>
  <c r="B529" i="1"/>
  <c r="C529" i="1"/>
  <c r="D529" i="1"/>
  <c r="E529" i="1"/>
  <c r="F529" i="1"/>
  <c r="G529" i="1"/>
  <c r="H529" i="1"/>
  <c r="I529" i="1"/>
  <c r="J529" i="1"/>
  <c r="B530" i="1"/>
  <c r="C530" i="1"/>
  <c r="D530" i="1"/>
  <c r="E530" i="1"/>
  <c r="F530" i="1"/>
  <c r="G530" i="1"/>
  <c r="H530" i="1"/>
  <c r="I530" i="1"/>
  <c r="J530" i="1"/>
  <c r="B531" i="1"/>
  <c r="C531" i="1"/>
  <c r="D531" i="1"/>
  <c r="E531" i="1"/>
  <c r="F531" i="1"/>
  <c r="G531" i="1"/>
  <c r="H531" i="1"/>
  <c r="I531" i="1"/>
  <c r="J531" i="1"/>
  <c r="B532" i="1"/>
  <c r="C532" i="1"/>
  <c r="D532" i="1"/>
  <c r="E532" i="1"/>
  <c r="F532" i="1"/>
  <c r="G532" i="1"/>
  <c r="H532" i="1"/>
  <c r="I532" i="1"/>
  <c r="J532" i="1"/>
  <c r="B533" i="1"/>
  <c r="C533" i="1"/>
  <c r="D533" i="1"/>
  <c r="E533" i="1"/>
  <c r="F533" i="1"/>
  <c r="G533" i="1"/>
  <c r="H533" i="1"/>
  <c r="I533" i="1"/>
  <c r="J533" i="1"/>
  <c r="B534" i="1"/>
  <c r="C534" i="1"/>
  <c r="D534" i="1"/>
  <c r="E534" i="1"/>
  <c r="F534" i="1"/>
  <c r="G534" i="1"/>
  <c r="H534" i="1"/>
  <c r="I534" i="1"/>
  <c r="J534" i="1"/>
  <c r="B535" i="1"/>
  <c r="C535" i="1"/>
  <c r="D535" i="1"/>
  <c r="E535" i="1"/>
  <c r="F535" i="1"/>
  <c r="G535" i="1"/>
  <c r="H535" i="1"/>
  <c r="I535" i="1"/>
  <c r="J535" i="1"/>
  <c r="B536" i="1"/>
  <c r="C536" i="1"/>
  <c r="D536" i="1"/>
  <c r="E536" i="1"/>
  <c r="F536" i="1"/>
  <c r="G536" i="1"/>
  <c r="H536" i="1"/>
  <c r="I536" i="1"/>
  <c r="J536" i="1"/>
  <c r="B537" i="1"/>
  <c r="C537" i="1"/>
  <c r="D537" i="1"/>
  <c r="E537" i="1"/>
  <c r="F537" i="1"/>
  <c r="G537" i="1"/>
  <c r="H537" i="1"/>
  <c r="I537" i="1"/>
  <c r="J537" i="1"/>
  <c r="B538" i="1"/>
  <c r="C538" i="1"/>
  <c r="D538" i="1"/>
  <c r="E538" i="1"/>
  <c r="F538" i="1"/>
  <c r="G538" i="1"/>
  <c r="H538" i="1"/>
  <c r="I538" i="1"/>
  <c r="J538" i="1"/>
  <c r="B539" i="1"/>
  <c r="C539" i="1"/>
  <c r="D539" i="1"/>
  <c r="E539" i="1"/>
  <c r="F539" i="1"/>
  <c r="G539" i="1"/>
  <c r="H539" i="1"/>
  <c r="I539" i="1"/>
  <c r="J539" i="1"/>
  <c r="B540" i="1"/>
  <c r="C540" i="1"/>
  <c r="D540" i="1"/>
  <c r="E540" i="1"/>
  <c r="F540" i="1"/>
  <c r="G540" i="1"/>
  <c r="H540" i="1"/>
  <c r="I540" i="1"/>
  <c r="J540" i="1"/>
  <c r="B541" i="1"/>
  <c r="C541" i="1"/>
  <c r="D541" i="1"/>
  <c r="E541" i="1"/>
  <c r="F541" i="1"/>
  <c r="G541" i="1"/>
  <c r="H541" i="1"/>
  <c r="I541" i="1"/>
  <c r="J541" i="1"/>
  <c r="B542" i="1"/>
  <c r="C542" i="1"/>
  <c r="D542" i="1"/>
  <c r="E542" i="1"/>
  <c r="F542" i="1"/>
  <c r="G542" i="1"/>
  <c r="H542" i="1"/>
  <c r="I542" i="1"/>
  <c r="J542" i="1"/>
  <c r="B543" i="1"/>
  <c r="C543" i="1"/>
  <c r="D543" i="1"/>
  <c r="E543" i="1"/>
  <c r="F543" i="1"/>
  <c r="G543" i="1"/>
  <c r="H543" i="1"/>
  <c r="I543" i="1"/>
  <c r="J543" i="1"/>
  <c r="B544" i="1"/>
  <c r="C544" i="1"/>
  <c r="D544" i="1"/>
  <c r="E544" i="1"/>
  <c r="F544" i="1"/>
  <c r="G544" i="1"/>
  <c r="H544" i="1"/>
  <c r="I544" i="1"/>
  <c r="J544" i="1"/>
  <c r="B545" i="1"/>
  <c r="C545" i="1"/>
  <c r="D545" i="1"/>
  <c r="E545" i="1"/>
  <c r="F545" i="1"/>
  <c r="G545" i="1"/>
  <c r="H545" i="1"/>
  <c r="I545" i="1"/>
  <c r="J545" i="1"/>
  <c r="B546" i="1"/>
  <c r="C546" i="1"/>
  <c r="D546" i="1"/>
  <c r="E546" i="1"/>
  <c r="F546" i="1"/>
  <c r="G546" i="1"/>
  <c r="H546" i="1"/>
  <c r="I546" i="1"/>
  <c r="J546" i="1"/>
  <c r="B547" i="1"/>
  <c r="C547" i="1"/>
  <c r="D547" i="1"/>
  <c r="E547" i="1"/>
  <c r="F547" i="1"/>
  <c r="G547" i="1"/>
  <c r="H547" i="1"/>
  <c r="I547" i="1"/>
  <c r="J547" i="1"/>
  <c r="B548" i="1"/>
  <c r="C548" i="1"/>
  <c r="D548" i="1"/>
  <c r="E548" i="1"/>
  <c r="F548" i="1"/>
  <c r="G548" i="1"/>
  <c r="H548" i="1"/>
  <c r="I548" i="1"/>
  <c r="J548" i="1"/>
  <c r="B549" i="1"/>
  <c r="C549" i="1"/>
  <c r="D549" i="1"/>
  <c r="E549" i="1"/>
  <c r="F549" i="1"/>
  <c r="G549" i="1"/>
  <c r="H549" i="1"/>
  <c r="I549" i="1"/>
  <c r="J549" i="1"/>
  <c r="B550" i="1"/>
  <c r="C550" i="1"/>
  <c r="D550" i="1"/>
  <c r="E550" i="1"/>
  <c r="F550" i="1"/>
  <c r="G550" i="1"/>
  <c r="H550" i="1"/>
  <c r="I550" i="1"/>
  <c r="J550" i="1"/>
  <c r="B551" i="1"/>
  <c r="C551" i="1"/>
  <c r="D551" i="1"/>
  <c r="E551" i="1"/>
  <c r="F551" i="1"/>
  <c r="G551" i="1"/>
  <c r="H551" i="1"/>
  <c r="I551" i="1"/>
  <c r="J551" i="1"/>
  <c r="B552" i="1"/>
  <c r="C552" i="1"/>
  <c r="D552" i="1"/>
  <c r="E552" i="1"/>
  <c r="F552" i="1"/>
  <c r="G552" i="1"/>
  <c r="H552" i="1"/>
  <c r="I552" i="1"/>
  <c r="J552" i="1"/>
  <c r="B553" i="1"/>
  <c r="C553" i="1"/>
  <c r="D553" i="1"/>
  <c r="E553" i="1"/>
  <c r="F553" i="1"/>
  <c r="G553" i="1"/>
  <c r="H553" i="1"/>
  <c r="I553" i="1"/>
  <c r="J553" i="1"/>
  <c r="B554" i="1"/>
  <c r="C554" i="1"/>
  <c r="D554" i="1"/>
  <c r="E554" i="1"/>
  <c r="F554" i="1"/>
  <c r="G554" i="1"/>
  <c r="H554" i="1"/>
  <c r="I554" i="1"/>
  <c r="J554" i="1"/>
  <c r="B555" i="1"/>
  <c r="C555" i="1"/>
  <c r="D555" i="1"/>
  <c r="E555" i="1"/>
  <c r="F555" i="1"/>
  <c r="G555" i="1"/>
  <c r="H555" i="1"/>
  <c r="I555" i="1"/>
  <c r="J555" i="1"/>
  <c r="B556" i="1"/>
  <c r="C556" i="1"/>
  <c r="D556" i="1"/>
  <c r="E556" i="1"/>
  <c r="F556" i="1"/>
  <c r="G556" i="1"/>
  <c r="H556" i="1"/>
  <c r="I556" i="1"/>
  <c r="J556" i="1"/>
  <c r="B557" i="1"/>
  <c r="C557" i="1"/>
  <c r="D557" i="1"/>
  <c r="E557" i="1"/>
  <c r="F557" i="1"/>
  <c r="G557" i="1"/>
  <c r="H557" i="1"/>
  <c r="I557" i="1"/>
  <c r="J557" i="1"/>
  <c r="B558" i="1"/>
  <c r="C558" i="1"/>
  <c r="D558" i="1"/>
  <c r="E558" i="1"/>
  <c r="F558" i="1"/>
  <c r="G558" i="1"/>
  <c r="H558" i="1"/>
  <c r="I558" i="1"/>
  <c r="J558" i="1"/>
  <c r="B559" i="1"/>
  <c r="C559" i="1"/>
  <c r="D559" i="1"/>
  <c r="E559" i="1"/>
  <c r="F559" i="1"/>
  <c r="G559" i="1"/>
  <c r="H559" i="1"/>
  <c r="I559" i="1"/>
  <c r="J559" i="1"/>
  <c r="B560" i="1"/>
  <c r="C560" i="1"/>
  <c r="D560" i="1"/>
  <c r="E560" i="1"/>
  <c r="F560" i="1"/>
  <c r="G560" i="1"/>
  <c r="H560" i="1"/>
  <c r="I560" i="1"/>
  <c r="J560" i="1"/>
  <c r="B561" i="1"/>
  <c r="C561" i="1"/>
  <c r="D561" i="1"/>
  <c r="E561" i="1"/>
  <c r="F561" i="1"/>
  <c r="G561" i="1"/>
  <c r="H561" i="1"/>
  <c r="I561" i="1"/>
  <c r="J561" i="1"/>
  <c r="B562" i="1"/>
  <c r="C562" i="1"/>
  <c r="D562" i="1"/>
  <c r="E562" i="1"/>
  <c r="F562" i="1"/>
  <c r="G562" i="1"/>
  <c r="H562" i="1"/>
  <c r="I562" i="1"/>
  <c r="J562" i="1"/>
  <c r="B563" i="1"/>
  <c r="C563" i="1"/>
  <c r="D563" i="1"/>
  <c r="E563" i="1"/>
  <c r="F563" i="1"/>
  <c r="G563" i="1"/>
  <c r="H563" i="1"/>
  <c r="I563" i="1"/>
  <c r="J563" i="1"/>
  <c r="B564" i="1"/>
  <c r="C564" i="1"/>
  <c r="D564" i="1"/>
  <c r="E564" i="1"/>
  <c r="F564" i="1"/>
  <c r="G564" i="1"/>
  <c r="H564" i="1"/>
  <c r="I564" i="1"/>
  <c r="J564" i="1"/>
  <c r="B565" i="1"/>
  <c r="C565" i="1"/>
  <c r="D565" i="1"/>
  <c r="E565" i="1"/>
  <c r="F565" i="1"/>
  <c r="G565" i="1"/>
  <c r="H565" i="1"/>
  <c r="I565" i="1"/>
  <c r="J565" i="1"/>
  <c r="B566" i="1"/>
  <c r="C566" i="1"/>
  <c r="D566" i="1"/>
  <c r="E566" i="1"/>
  <c r="F566" i="1"/>
  <c r="G566" i="1"/>
  <c r="H566" i="1"/>
  <c r="I566" i="1"/>
  <c r="J566" i="1"/>
  <c r="B567" i="1"/>
  <c r="C567" i="1"/>
  <c r="D567" i="1"/>
  <c r="E567" i="1"/>
  <c r="F567" i="1"/>
  <c r="G567" i="1"/>
  <c r="H567" i="1"/>
  <c r="I567" i="1"/>
  <c r="J567" i="1"/>
  <c r="B568" i="1"/>
  <c r="C568" i="1"/>
  <c r="D568" i="1"/>
  <c r="E568" i="1"/>
  <c r="F568" i="1"/>
  <c r="G568" i="1"/>
  <c r="H568" i="1"/>
  <c r="I568" i="1"/>
  <c r="J568" i="1"/>
  <c r="B569" i="1"/>
  <c r="C569" i="1"/>
  <c r="D569" i="1"/>
  <c r="E569" i="1"/>
  <c r="F569" i="1"/>
  <c r="G569" i="1"/>
  <c r="H569" i="1"/>
  <c r="I569" i="1"/>
  <c r="J569" i="1"/>
  <c r="B570" i="1"/>
  <c r="C570" i="1"/>
  <c r="D570" i="1"/>
  <c r="E570" i="1"/>
  <c r="F570" i="1"/>
  <c r="G570" i="1"/>
  <c r="H570" i="1"/>
  <c r="I570" i="1"/>
  <c r="J570" i="1"/>
  <c r="B571" i="1"/>
  <c r="C571" i="1"/>
  <c r="D571" i="1"/>
  <c r="E571" i="1"/>
  <c r="F571" i="1"/>
  <c r="G571" i="1"/>
  <c r="H571" i="1"/>
  <c r="I571" i="1"/>
  <c r="J571" i="1"/>
  <c r="B572" i="1"/>
  <c r="C572" i="1"/>
  <c r="D572" i="1"/>
  <c r="E572" i="1"/>
  <c r="F572" i="1"/>
  <c r="G572" i="1"/>
  <c r="H572" i="1"/>
  <c r="I572" i="1"/>
  <c r="J572" i="1"/>
  <c r="B573" i="1"/>
  <c r="C573" i="1"/>
  <c r="D573" i="1"/>
  <c r="E573" i="1"/>
  <c r="F573" i="1"/>
  <c r="G573" i="1"/>
  <c r="H573" i="1"/>
  <c r="I573" i="1"/>
  <c r="J573" i="1"/>
  <c r="B574" i="1"/>
  <c r="C574" i="1"/>
  <c r="D574" i="1"/>
  <c r="E574" i="1"/>
  <c r="F574" i="1"/>
  <c r="G574" i="1"/>
  <c r="H574" i="1"/>
  <c r="I574" i="1"/>
  <c r="J574" i="1"/>
  <c r="B575" i="1"/>
  <c r="C575" i="1"/>
  <c r="D575" i="1"/>
  <c r="E575" i="1"/>
  <c r="F575" i="1"/>
  <c r="G575" i="1"/>
  <c r="H575" i="1"/>
  <c r="I575" i="1"/>
  <c r="J575" i="1"/>
  <c r="B576" i="1"/>
  <c r="C576" i="1"/>
  <c r="D576" i="1"/>
  <c r="E576" i="1"/>
  <c r="F576" i="1"/>
  <c r="G576" i="1"/>
  <c r="H576" i="1"/>
  <c r="I576" i="1"/>
  <c r="J576" i="1"/>
  <c r="B577" i="1"/>
  <c r="C577" i="1"/>
  <c r="D577" i="1"/>
  <c r="E577" i="1"/>
  <c r="F577" i="1"/>
  <c r="G577" i="1"/>
  <c r="H577" i="1"/>
  <c r="I577" i="1"/>
  <c r="J577" i="1"/>
  <c r="B578" i="1"/>
  <c r="C578" i="1"/>
  <c r="D578" i="1"/>
  <c r="E578" i="1"/>
  <c r="F578" i="1"/>
  <c r="G578" i="1"/>
  <c r="H578" i="1"/>
  <c r="I578" i="1"/>
  <c r="J578" i="1"/>
  <c r="B579" i="1"/>
  <c r="C579" i="1"/>
  <c r="D579" i="1"/>
  <c r="E579" i="1"/>
  <c r="F579" i="1"/>
  <c r="G579" i="1"/>
  <c r="H579" i="1"/>
  <c r="I579" i="1"/>
  <c r="J579" i="1"/>
  <c r="B580" i="1"/>
  <c r="C580" i="1"/>
  <c r="D580" i="1"/>
  <c r="E580" i="1"/>
  <c r="F580" i="1"/>
  <c r="G580" i="1"/>
  <c r="H580" i="1"/>
  <c r="I580" i="1"/>
  <c r="J580" i="1"/>
  <c r="B581" i="1"/>
  <c r="C581" i="1"/>
  <c r="D581" i="1"/>
  <c r="E581" i="1"/>
  <c r="F581" i="1"/>
  <c r="G581" i="1"/>
  <c r="H581" i="1"/>
  <c r="I581" i="1"/>
  <c r="J581" i="1"/>
  <c r="B582" i="1"/>
  <c r="C582" i="1"/>
  <c r="D582" i="1"/>
  <c r="E582" i="1"/>
  <c r="F582" i="1"/>
  <c r="G582" i="1"/>
  <c r="H582" i="1"/>
  <c r="I582" i="1"/>
  <c r="J582" i="1"/>
  <c r="B583" i="1"/>
  <c r="C583" i="1"/>
  <c r="D583" i="1"/>
  <c r="E583" i="1"/>
  <c r="F583" i="1"/>
  <c r="G583" i="1"/>
  <c r="H583" i="1"/>
  <c r="I583" i="1"/>
  <c r="J583" i="1"/>
  <c r="B584" i="1"/>
  <c r="C584" i="1"/>
  <c r="D584" i="1"/>
  <c r="E584" i="1"/>
  <c r="F584" i="1"/>
  <c r="G584" i="1"/>
  <c r="H584" i="1"/>
  <c r="I584" i="1"/>
  <c r="J584" i="1"/>
  <c r="B585" i="1"/>
  <c r="C585" i="1"/>
  <c r="D585" i="1"/>
  <c r="E585" i="1"/>
  <c r="F585" i="1"/>
  <c r="G585" i="1"/>
  <c r="H585" i="1"/>
  <c r="I585" i="1"/>
  <c r="J585" i="1"/>
  <c r="B586" i="1"/>
  <c r="C586" i="1"/>
  <c r="D586" i="1"/>
  <c r="E586" i="1"/>
  <c r="F586" i="1"/>
  <c r="G586" i="1"/>
  <c r="H586" i="1"/>
  <c r="I586" i="1"/>
  <c r="J586" i="1"/>
  <c r="B587" i="1"/>
  <c r="C587" i="1"/>
  <c r="D587" i="1"/>
  <c r="E587" i="1"/>
  <c r="F587" i="1"/>
  <c r="G587" i="1"/>
  <c r="H587" i="1"/>
  <c r="I587" i="1"/>
  <c r="J587" i="1"/>
  <c r="B588" i="1"/>
  <c r="C588" i="1"/>
  <c r="D588" i="1"/>
  <c r="E588" i="1"/>
  <c r="F588" i="1"/>
  <c r="G588" i="1"/>
  <c r="H588" i="1"/>
  <c r="I588" i="1"/>
  <c r="J588" i="1"/>
  <c r="B589" i="1"/>
  <c r="C589" i="1"/>
  <c r="D589" i="1"/>
  <c r="E589" i="1"/>
  <c r="F589" i="1"/>
  <c r="G589" i="1"/>
  <c r="H589" i="1"/>
  <c r="I589" i="1"/>
  <c r="J589" i="1"/>
  <c r="B590" i="1"/>
  <c r="C590" i="1"/>
  <c r="D590" i="1"/>
  <c r="E590" i="1"/>
  <c r="F590" i="1"/>
  <c r="G590" i="1"/>
  <c r="H590" i="1"/>
  <c r="I590" i="1"/>
  <c r="J590" i="1"/>
  <c r="B591" i="1"/>
  <c r="C591" i="1"/>
  <c r="D591" i="1"/>
  <c r="E591" i="1"/>
  <c r="F591" i="1"/>
  <c r="G591" i="1"/>
  <c r="H591" i="1"/>
  <c r="I591" i="1"/>
  <c r="J591" i="1"/>
  <c r="B592" i="1"/>
  <c r="C592" i="1"/>
  <c r="D592" i="1"/>
  <c r="E592" i="1"/>
  <c r="F592" i="1"/>
  <c r="G592" i="1"/>
  <c r="H592" i="1"/>
  <c r="I592" i="1"/>
  <c r="J592" i="1"/>
  <c r="B593" i="1"/>
  <c r="C593" i="1"/>
  <c r="D593" i="1"/>
  <c r="E593" i="1"/>
  <c r="F593" i="1"/>
  <c r="G593" i="1"/>
  <c r="H593" i="1"/>
  <c r="I593" i="1"/>
  <c r="J593" i="1"/>
  <c r="B594" i="1"/>
  <c r="C594" i="1"/>
  <c r="D594" i="1"/>
  <c r="E594" i="1"/>
  <c r="F594" i="1"/>
  <c r="G594" i="1"/>
  <c r="H594" i="1"/>
  <c r="I594" i="1"/>
  <c r="J594" i="1"/>
  <c r="B595" i="1"/>
  <c r="C595" i="1"/>
  <c r="D595" i="1"/>
  <c r="E595" i="1"/>
  <c r="F595" i="1"/>
  <c r="G595" i="1"/>
  <c r="H595" i="1"/>
  <c r="I595" i="1"/>
  <c r="J595" i="1"/>
  <c r="B596" i="1"/>
  <c r="C596" i="1"/>
  <c r="D596" i="1"/>
  <c r="E596" i="1"/>
  <c r="F596" i="1"/>
  <c r="G596" i="1"/>
  <c r="H596" i="1"/>
  <c r="I596" i="1"/>
  <c r="J596" i="1"/>
  <c r="B597" i="1"/>
  <c r="C597" i="1"/>
  <c r="D597" i="1"/>
  <c r="E597" i="1"/>
  <c r="F597" i="1"/>
  <c r="G597" i="1"/>
  <c r="H597" i="1"/>
  <c r="I597" i="1"/>
  <c r="J597" i="1"/>
  <c r="B598" i="1"/>
  <c r="C598" i="1"/>
  <c r="D598" i="1"/>
  <c r="E598" i="1"/>
  <c r="F598" i="1"/>
  <c r="G598" i="1"/>
  <c r="H598" i="1"/>
  <c r="I598" i="1"/>
  <c r="J598" i="1"/>
  <c r="B599" i="1"/>
  <c r="C599" i="1"/>
  <c r="D599" i="1"/>
  <c r="E599" i="1"/>
  <c r="F599" i="1"/>
  <c r="G599" i="1"/>
  <c r="H599" i="1"/>
  <c r="I599" i="1"/>
  <c r="J599" i="1"/>
  <c r="B600" i="1"/>
  <c r="C600" i="1"/>
  <c r="D600" i="1"/>
  <c r="E600" i="1"/>
  <c r="F600" i="1"/>
  <c r="G600" i="1"/>
  <c r="H600" i="1"/>
  <c r="I600" i="1"/>
  <c r="J600" i="1"/>
  <c r="B601" i="1"/>
  <c r="C601" i="1"/>
  <c r="D601" i="1"/>
  <c r="E601" i="1"/>
  <c r="F601" i="1"/>
  <c r="G601" i="1"/>
  <c r="H601" i="1"/>
  <c r="I601" i="1"/>
  <c r="J601" i="1"/>
  <c r="B602" i="1"/>
  <c r="C602" i="1"/>
  <c r="D602" i="1"/>
  <c r="E602" i="1"/>
  <c r="F602" i="1"/>
  <c r="G602" i="1"/>
  <c r="H602" i="1"/>
  <c r="I602" i="1"/>
  <c r="J602" i="1"/>
  <c r="B603" i="1"/>
  <c r="C603" i="1"/>
  <c r="D603" i="1"/>
  <c r="E603" i="1"/>
  <c r="F603" i="1"/>
  <c r="G603" i="1"/>
  <c r="H603" i="1"/>
  <c r="I603" i="1"/>
  <c r="J603" i="1"/>
  <c r="B604" i="1"/>
  <c r="C604" i="1"/>
  <c r="D604" i="1"/>
  <c r="E604" i="1"/>
  <c r="F604" i="1"/>
  <c r="G604" i="1"/>
  <c r="H604" i="1"/>
  <c r="I604" i="1"/>
  <c r="J604" i="1"/>
  <c r="B605" i="1"/>
  <c r="C605" i="1"/>
  <c r="D605" i="1"/>
  <c r="E605" i="1"/>
  <c r="F605" i="1"/>
  <c r="G605" i="1"/>
  <c r="H605" i="1"/>
  <c r="I605" i="1"/>
  <c r="J605" i="1"/>
  <c r="B606" i="1"/>
  <c r="C606" i="1"/>
  <c r="D606" i="1"/>
  <c r="E606" i="1"/>
  <c r="F606" i="1"/>
  <c r="G606" i="1"/>
  <c r="H606" i="1"/>
  <c r="I606" i="1"/>
  <c r="J606" i="1"/>
  <c r="B607" i="1"/>
  <c r="C607" i="1"/>
  <c r="D607" i="1"/>
  <c r="E607" i="1"/>
  <c r="F607" i="1"/>
  <c r="G607" i="1"/>
  <c r="H607" i="1"/>
  <c r="I607" i="1"/>
  <c r="J607" i="1"/>
  <c r="B608" i="1"/>
  <c r="C608" i="1"/>
  <c r="D608" i="1"/>
  <c r="E608" i="1"/>
  <c r="F608" i="1"/>
  <c r="G608" i="1"/>
  <c r="H608" i="1"/>
  <c r="I608" i="1"/>
  <c r="J608" i="1"/>
  <c r="B609" i="1"/>
  <c r="C609" i="1"/>
  <c r="D609" i="1"/>
  <c r="E609" i="1"/>
  <c r="F609" i="1"/>
  <c r="G609" i="1"/>
  <c r="H609" i="1"/>
  <c r="I609" i="1"/>
  <c r="J609" i="1"/>
  <c r="B610" i="1"/>
  <c r="C610" i="1"/>
  <c r="D610" i="1"/>
  <c r="E610" i="1"/>
  <c r="F610" i="1"/>
  <c r="G610" i="1"/>
  <c r="H610" i="1"/>
  <c r="I610" i="1"/>
  <c r="J610" i="1"/>
  <c r="B611" i="1"/>
  <c r="C611" i="1"/>
  <c r="D611" i="1"/>
  <c r="E611" i="1"/>
  <c r="F611" i="1"/>
  <c r="G611" i="1"/>
  <c r="H611" i="1"/>
  <c r="I611" i="1"/>
  <c r="J611" i="1"/>
  <c r="B612" i="1"/>
  <c r="C612" i="1"/>
  <c r="D612" i="1"/>
  <c r="E612" i="1"/>
  <c r="F612" i="1"/>
  <c r="G612" i="1"/>
  <c r="H612" i="1"/>
  <c r="I612" i="1"/>
  <c r="J612" i="1"/>
  <c r="B613" i="1"/>
  <c r="C613" i="1"/>
  <c r="D613" i="1"/>
  <c r="E613" i="1"/>
  <c r="F613" i="1"/>
  <c r="G613" i="1"/>
  <c r="H613" i="1"/>
  <c r="I613" i="1"/>
  <c r="J613" i="1"/>
  <c r="B614" i="1"/>
  <c r="C614" i="1"/>
  <c r="D614" i="1"/>
  <c r="E614" i="1"/>
  <c r="F614" i="1"/>
  <c r="G614" i="1"/>
  <c r="H614" i="1"/>
  <c r="I614" i="1"/>
  <c r="J614" i="1"/>
  <c r="B615" i="1"/>
  <c r="C615" i="1"/>
  <c r="D615" i="1"/>
  <c r="E615" i="1"/>
  <c r="F615" i="1"/>
  <c r="G615" i="1"/>
  <c r="H615" i="1"/>
  <c r="I615" i="1"/>
  <c r="J615" i="1"/>
  <c r="B616" i="1"/>
  <c r="C616" i="1"/>
  <c r="D616" i="1"/>
  <c r="E616" i="1"/>
  <c r="F616" i="1"/>
  <c r="G616" i="1"/>
  <c r="H616" i="1"/>
  <c r="I616" i="1"/>
  <c r="J616" i="1"/>
  <c r="B617" i="1"/>
  <c r="C617" i="1"/>
  <c r="D617" i="1"/>
  <c r="E617" i="1"/>
  <c r="F617" i="1"/>
  <c r="G617" i="1"/>
  <c r="H617" i="1"/>
  <c r="I617" i="1"/>
  <c r="J617" i="1"/>
  <c r="B618" i="1"/>
  <c r="C618" i="1"/>
  <c r="D618" i="1"/>
  <c r="E618" i="1"/>
  <c r="F618" i="1"/>
  <c r="G618" i="1"/>
  <c r="H618" i="1"/>
  <c r="I618" i="1"/>
  <c r="J618" i="1"/>
  <c r="B619" i="1"/>
  <c r="C619" i="1"/>
  <c r="D619" i="1"/>
  <c r="E619" i="1"/>
  <c r="F619" i="1"/>
  <c r="G619" i="1"/>
  <c r="H619" i="1"/>
  <c r="I619" i="1"/>
  <c r="J619" i="1"/>
  <c r="B620" i="1"/>
  <c r="C620" i="1"/>
  <c r="D620" i="1"/>
  <c r="E620" i="1"/>
  <c r="F620" i="1"/>
  <c r="G620" i="1"/>
  <c r="H620" i="1"/>
  <c r="I620" i="1"/>
  <c r="J620" i="1"/>
  <c r="B621" i="1"/>
  <c r="C621" i="1"/>
  <c r="D621" i="1"/>
  <c r="E621" i="1"/>
  <c r="F621" i="1"/>
  <c r="G621" i="1"/>
  <c r="H621" i="1"/>
  <c r="I621" i="1"/>
  <c r="J621" i="1"/>
  <c r="B622" i="1"/>
  <c r="C622" i="1"/>
  <c r="D622" i="1"/>
  <c r="E622" i="1"/>
  <c r="F622" i="1"/>
  <c r="G622" i="1"/>
  <c r="H622" i="1"/>
  <c r="I622" i="1"/>
  <c r="J622" i="1"/>
  <c r="B623" i="1"/>
  <c r="C623" i="1"/>
  <c r="D623" i="1"/>
  <c r="E623" i="1"/>
  <c r="F623" i="1"/>
  <c r="G623" i="1"/>
  <c r="H623" i="1"/>
  <c r="I623" i="1"/>
  <c r="J623" i="1"/>
  <c r="B624" i="1"/>
  <c r="C624" i="1"/>
  <c r="D624" i="1"/>
  <c r="E624" i="1"/>
  <c r="F624" i="1"/>
  <c r="G624" i="1"/>
  <c r="H624" i="1"/>
  <c r="I624" i="1"/>
  <c r="J624" i="1"/>
  <c r="B625" i="1"/>
  <c r="C625" i="1"/>
  <c r="D625" i="1"/>
  <c r="E625" i="1"/>
  <c r="F625" i="1"/>
  <c r="G625" i="1"/>
  <c r="H625" i="1"/>
  <c r="I625" i="1"/>
  <c r="J625" i="1"/>
  <c r="B626" i="1"/>
  <c r="C626" i="1"/>
  <c r="D626" i="1"/>
  <c r="E626" i="1"/>
  <c r="F626" i="1"/>
  <c r="G626" i="1"/>
  <c r="H626" i="1"/>
  <c r="I626" i="1"/>
  <c r="J626" i="1"/>
  <c r="B627" i="1"/>
  <c r="C627" i="1"/>
  <c r="D627" i="1"/>
  <c r="E627" i="1"/>
  <c r="F627" i="1"/>
  <c r="G627" i="1"/>
  <c r="H627" i="1"/>
  <c r="I627" i="1"/>
  <c r="J627" i="1"/>
  <c r="B628" i="1"/>
  <c r="C628" i="1"/>
  <c r="D628" i="1"/>
  <c r="E628" i="1"/>
  <c r="F628" i="1"/>
  <c r="G628" i="1"/>
  <c r="H628" i="1"/>
  <c r="I628" i="1"/>
  <c r="J628" i="1"/>
  <c r="B629" i="1"/>
  <c r="C629" i="1"/>
  <c r="D629" i="1"/>
  <c r="E629" i="1"/>
  <c r="F629" i="1"/>
  <c r="G629" i="1"/>
  <c r="H629" i="1"/>
  <c r="I629" i="1"/>
  <c r="J629" i="1"/>
  <c r="B630" i="1"/>
  <c r="C630" i="1"/>
  <c r="D630" i="1"/>
  <c r="E630" i="1"/>
  <c r="F630" i="1"/>
  <c r="G630" i="1"/>
  <c r="H630" i="1"/>
  <c r="I630" i="1"/>
  <c r="J630" i="1"/>
  <c r="B631" i="1"/>
  <c r="C631" i="1"/>
  <c r="D631" i="1"/>
  <c r="E631" i="1"/>
  <c r="F631" i="1"/>
  <c r="G631" i="1"/>
  <c r="H631" i="1"/>
  <c r="I631" i="1"/>
  <c r="J631" i="1"/>
  <c r="B632" i="1"/>
  <c r="C632" i="1"/>
  <c r="D632" i="1"/>
  <c r="E632" i="1"/>
  <c r="F632" i="1"/>
  <c r="G632" i="1"/>
  <c r="H632" i="1"/>
  <c r="I632" i="1"/>
  <c r="J632" i="1"/>
  <c r="B633" i="1"/>
  <c r="C633" i="1"/>
  <c r="D633" i="1"/>
  <c r="E633" i="1"/>
  <c r="F633" i="1"/>
  <c r="G633" i="1"/>
  <c r="H633" i="1"/>
  <c r="I633" i="1"/>
  <c r="J633" i="1"/>
  <c r="B634" i="1"/>
  <c r="C634" i="1"/>
  <c r="D634" i="1"/>
  <c r="E634" i="1"/>
  <c r="F634" i="1"/>
  <c r="G634" i="1"/>
  <c r="H634" i="1"/>
  <c r="I634" i="1"/>
  <c r="J634" i="1"/>
  <c r="B635" i="1"/>
  <c r="C635" i="1"/>
  <c r="D635" i="1"/>
  <c r="E635" i="1"/>
  <c r="F635" i="1"/>
  <c r="G635" i="1"/>
  <c r="H635" i="1"/>
  <c r="I635" i="1"/>
  <c r="J635" i="1"/>
  <c r="B636" i="1"/>
  <c r="C636" i="1"/>
  <c r="D636" i="1"/>
  <c r="E636" i="1"/>
  <c r="F636" i="1"/>
  <c r="G636" i="1"/>
  <c r="H636" i="1"/>
  <c r="I636" i="1"/>
  <c r="J636" i="1"/>
  <c r="B637" i="1"/>
  <c r="C637" i="1"/>
  <c r="D637" i="1"/>
  <c r="E637" i="1"/>
  <c r="F637" i="1"/>
  <c r="G637" i="1"/>
  <c r="H637" i="1"/>
  <c r="I637" i="1"/>
  <c r="J637" i="1"/>
  <c r="B638" i="1"/>
  <c r="C638" i="1"/>
  <c r="D638" i="1"/>
  <c r="E638" i="1"/>
  <c r="F638" i="1"/>
  <c r="G638" i="1"/>
  <c r="H638" i="1"/>
  <c r="I638" i="1"/>
  <c r="J638" i="1"/>
  <c r="B639" i="1"/>
  <c r="C639" i="1"/>
  <c r="D639" i="1"/>
  <c r="E639" i="1"/>
  <c r="F639" i="1"/>
  <c r="G639" i="1"/>
  <c r="H639" i="1"/>
  <c r="I639" i="1"/>
  <c r="J639" i="1"/>
  <c r="B640" i="1"/>
  <c r="C640" i="1"/>
  <c r="D640" i="1"/>
  <c r="E640" i="1"/>
  <c r="F640" i="1"/>
  <c r="G640" i="1"/>
  <c r="H640" i="1"/>
  <c r="I640" i="1"/>
  <c r="J640" i="1"/>
  <c r="B641" i="1"/>
  <c r="C641" i="1"/>
  <c r="D641" i="1"/>
  <c r="E641" i="1"/>
  <c r="F641" i="1"/>
  <c r="G641" i="1"/>
  <c r="H641" i="1"/>
  <c r="I641" i="1"/>
  <c r="J641" i="1"/>
  <c r="B642" i="1"/>
  <c r="C642" i="1"/>
  <c r="D642" i="1"/>
  <c r="E642" i="1"/>
  <c r="F642" i="1"/>
  <c r="G642" i="1"/>
  <c r="H642" i="1"/>
  <c r="I642" i="1"/>
  <c r="J642" i="1"/>
  <c r="B643" i="1"/>
  <c r="C643" i="1"/>
  <c r="D643" i="1"/>
  <c r="E643" i="1"/>
  <c r="F643" i="1"/>
  <c r="G643" i="1"/>
  <c r="H643" i="1"/>
  <c r="I643" i="1"/>
  <c r="J643" i="1"/>
  <c r="B644" i="1"/>
  <c r="C644" i="1"/>
  <c r="D644" i="1"/>
  <c r="E644" i="1"/>
  <c r="F644" i="1"/>
  <c r="G644" i="1"/>
  <c r="H644" i="1"/>
  <c r="I644" i="1"/>
  <c r="J644" i="1"/>
  <c r="B645" i="1"/>
  <c r="C645" i="1"/>
  <c r="D645" i="1"/>
  <c r="E645" i="1"/>
  <c r="F645" i="1"/>
  <c r="G645" i="1"/>
  <c r="H645" i="1"/>
  <c r="I645" i="1"/>
  <c r="J645" i="1"/>
  <c r="B646" i="1"/>
  <c r="C646" i="1"/>
  <c r="D646" i="1"/>
  <c r="E646" i="1"/>
  <c r="F646" i="1"/>
  <c r="G646" i="1"/>
  <c r="H646" i="1"/>
  <c r="I646" i="1"/>
  <c r="J646" i="1"/>
  <c r="B647" i="1"/>
  <c r="C647" i="1"/>
  <c r="D647" i="1"/>
  <c r="E647" i="1"/>
  <c r="F647" i="1"/>
  <c r="G647" i="1"/>
  <c r="H647" i="1"/>
  <c r="I647" i="1"/>
  <c r="J647" i="1"/>
  <c r="B648" i="1"/>
  <c r="C648" i="1"/>
  <c r="D648" i="1"/>
  <c r="E648" i="1"/>
  <c r="F648" i="1"/>
  <c r="G648" i="1"/>
  <c r="H648" i="1"/>
  <c r="I648" i="1"/>
  <c r="J648" i="1"/>
  <c r="B649" i="1"/>
  <c r="C649" i="1"/>
  <c r="D649" i="1"/>
  <c r="E649" i="1"/>
  <c r="F649" i="1"/>
  <c r="G649" i="1"/>
  <c r="H649" i="1"/>
  <c r="I649" i="1"/>
  <c r="J649" i="1"/>
  <c r="B650" i="1"/>
  <c r="C650" i="1"/>
  <c r="D650" i="1"/>
  <c r="E650" i="1"/>
  <c r="F650" i="1"/>
  <c r="G650" i="1"/>
  <c r="H650" i="1"/>
  <c r="I650" i="1"/>
  <c r="J650" i="1"/>
  <c r="B651" i="1"/>
  <c r="C651" i="1"/>
  <c r="D651" i="1"/>
  <c r="E651" i="1"/>
  <c r="F651" i="1"/>
  <c r="G651" i="1"/>
  <c r="H651" i="1"/>
  <c r="I651" i="1"/>
  <c r="J651" i="1"/>
  <c r="B652" i="1"/>
  <c r="C652" i="1"/>
  <c r="D652" i="1"/>
  <c r="E652" i="1"/>
  <c r="F652" i="1"/>
  <c r="G652" i="1"/>
  <c r="H652" i="1"/>
  <c r="I652" i="1"/>
  <c r="J652" i="1"/>
  <c r="B653" i="1"/>
  <c r="C653" i="1"/>
  <c r="D653" i="1"/>
  <c r="E653" i="1"/>
  <c r="F653" i="1"/>
  <c r="G653" i="1"/>
  <c r="H653" i="1"/>
  <c r="I653" i="1"/>
  <c r="J653" i="1"/>
  <c r="B654" i="1"/>
  <c r="C654" i="1"/>
  <c r="D654" i="1"/>
  <c r="E654" i="1"/>
  <c r="F654" i="1"/>
  <c r="G654" i="1"/>
  <c r="H654" i="1"/>
  <c r="I654" i="1"/>
  <c r="J654" i="1"/>
  <c r="B655" i="1"/>
  <c r="C655" i="1"/>
  <c r="D655" i="1"/>
  <c r="E655" i="1"/>
  <c r="F655" i="1"/>
  <c r="G655" i="1"/>
  <c r="H655" i="1"/>
  <c r="I655" i="1"/>
  <c r="J655" i="1"/>
  <c r="B656" i="1"/>
  <c r="C656" i="1"/>
  <c r="D656" i="1"/>
  <c r="E656" i="1"/>
  <c r="F656" i="1"/>
  <c r="G656" i="1"/>
  <c r="H656" i="1"/>
  <c r="I656" i="1"/>
  <c r="J656" i="1"/>
  <c r="B657" i="1"/>
  <c r="C657" i="1"/>
  <c r="D657" i="1"/>
  <c r="E657" i="1"/>
  <c r="F657" i="1"/>
  <c r="G657" i="1"/>
  <c r="H657" i="1"/>
  <c r="I657" i="1"/>
  <c r="J657" i="1"/>
  <c r="B658" i="1"/>
  <c r="C658" i="1"/>
  <c r="D658" i="1"/>
  <c r="E658" i="1"/>
  <c r="F658" i="1"/>
  <c r="G658" i="1"/>
  <c r="H658" i="1"/>
  <c r="I658" i="1"/>
  <c r="J658" i="1"/>
  <c r="B659" i="1"/>
  <c r="C659" i="1"/>
  <c r="D659" i="1"/>
  <c r="E659" i="1"/>
  <c r="F659" i="1"/>
  <c r="G659" i="1"/>
  <c r="H659" i="1"/>
  <c r="I659" i="1"/>
  <c r="J659" i="1"/>
  <c r="B660" i="1"/>
  <c r="C660" i="1"/>
  <c r="D660" i="1"/>
  <c r="E660" i="1"/>
  <c r="F660" i="1"/>
  <c r="G660" i="1"/>
  <c r="H660" i="1"/>
  <c r="I660" i="1"/>
  <c r="J660" i="1"/>
  <c r="B661" i="1"/>
  <c r="C661" i="1"/>
  <c r="D661" i="1"/>
  <c r="E661" i="1"/>
  <c r="F661" i="1"/>
  <c r="G661" i="1"/>
  <c r="H661" i="1"/>
  <c r="I661" i="1"/>
  <c r="J661" i="1"/>
  <c r="B662" i="1"/>
  <c r="C662" i="1"/>
  <c r="D662" i="1"/>
  <c r="E662" i="1"/>
  <c r="F662" i="1"/>
  <c r="G662" i="1"/>
  <c r="H662" i="1"/>
  <c r="I662" i="1"/>
  <c r="J662" i="1"/>
  <c r="B663" i="1"/>
  <c r="C663" i="1"/>
  <c r="D663" i="1"/>
  <c r="E663" i="1"/>
  <c r="F663" i="1"/>
  <c r="G663" i="1"/>
  <c r="H663" i="1"/>
  <c r="I663" i="1"/>
  <c r="J663" i="1"/>
  <c r="B664" i="1"/>
  <c r="C664" i="1"/>
  <c r="D664" i="1"/>
  <c r="E664" i="1"/>
  <c r="F664" i="1"/>
  <c r="G664" i="1"/>
  <c r="H664" i="1"/>
  <c r="I664" i="1"/>
  <c r="J664" i="1"/>
  <c r="B665" i="1"/>
  <c r="C665" i="1"/>
  <c r="D665" i="1"/>
  <c r="E665" i="1"/>
  <c r="F665" i="1"/>
  <c r="G665" i="1"/>
  <c r="H665" i="1"/>
  <c r="I665" i="1"/>
  <c r="J665" i="1"/>
  <c r="B666" i="1"/>
  <c r="C666" i="1"/>
  <c r="D666" i="1"/>
  <c r="E666" i="1"/>
  <c r="F666" i="1"/>
  <c r="G666" i="1"/>
  <c r="H666" i="1"/>
  <c r="I666" i="1"/>
  <c r="J666" i="1"/>
  <c r="B667" i="1"/>
  <c r="C667" i="1"/>
  <c r="D667" i="1"/>
  <c r="E667" i="1"/>
  <c r="F667" i="1"/>
  <c r="G667" i="1"/>
  <c r="H667" i="1"/>
  <c r="I667" i="1"/>
  <c r="J667" i="1"/>
  <c r="B668" i="1"/>
  <c r="C668" i="1"/>
  <c r="D668" i="1"/>
  <c r="E668" i="1"/>
  <c r="F668" i="1"/>
  <c r="G668" i="1"/>
  <c r="H668" i="1"/>
  <c r="I668" i="1"/>
  <c r="J668" i="1"/>
  <c r="B669" i="1"/>
  <c r="C669" i="1"/>
  <c r="D669" i="1"/>
  <c r="E669" i="1"/>
  <c r="F669" i="1"/>
  <c r="G669" i="1"/>
  <c r="H669" i="1"/>
  <c r="I669" i="1"/>
  <c r="J669" i="1"/>
  <c r="B670" i="1"/>
  <c r="C670" i="1"/>
  <c r="D670" i="1"/>
  <c r="E670" i="1"/>
  <c r="F670" i="1"/>
  <c r="G670" i="1"/>
  <c r="H670" i="1"/>
  <c r="I670" i="1"/>
  <c r="J670" i="1"/>
  <c r="B671" i="1"/>
  <c r="C671" i="1"/>
  <c r="D671" i="1"/>
  <c r="E671" i="1"/>
  <c r="F671" i="1"/>
  <c r="G671" i="1"/>
  <c r="H671" i="1"/>
  <c r="I671" i="1"/>
  <c r="J671" i="1"/>
  <c r="B672" i="1"/>
  <c r="C672" i="1"/>
  <c r="D672" i="1"/>
  <c r="E672" i="1"/>
  <c r="F672" i="1"/>
  <c r="G672" i="1"/>
  <c r="H672" i="1"/>
  <c r="I672" i="1"/>
  <c r="J672" i="1"/>
  <c r="B673" i="1"/>
  <c r="C673" i="1"/>
  <c r="D673" i="1"/>
  <c r="E673" i="1"/>
  <c r="F673" i="1"/>
  <c r="G673" i="1"/>
  <c r="H673" i="1"/>
  <c r="I673" i="1"/>
  <c r="J673" i="1"/>
  <c r="B674" i="1"/>
  <c r="C674" i="1"/>
  <c r="D674" i="1"/>
  <c r="E674" i="1"/>
  <c r="F674" i="1"/>
  <c r="G674" i="1"/>
  <c r="H674" i="1"/>
  <c r="I674" i="1"/>
  <c r="J674" i="1"/>
  <c r="B675" i="1"/>
  <c r="C675" i="1"/>
  <c r="D675" i="1"/>
  <c r="E675" i="1"/>
  <c r="F675" i="1"/>
  <c r="G675" i="1"/>
  <c r="H675" i="1"/>
  <c r="I675" i="1"/>
  <c r="J675" i="1"/>
  <c r="B676" i="1"/>
  <c r="C676" i="1"/>
  <c r="D676" i="1"/>
  <c r="E676" i="1"/>
  <c r="F676" i="1"/>
  <c r="G676" i="1"/>
  <c r="H676" i="1"/>
  <c r="I676" i="1"/>
  <c r="J676" i="1"/>
  <c r="B677" i="1"/>
  <c r="C677" i="1"/>
  <c r="D677" i="1"/>
  <c r="E677" i="1"/>
  <c r="F677" i="1"/>
  <c r="G677" i="1"/>
  <c r="H677" i="1"/>
  <c r="I677" i="1"/>
  <c r="J677" i="1"/>
  <c r="B678" i="1"/>
  <c r="C678" i="1"/>
  <c r="D678" i="1"/>
  <c r="E678" i="1"/>
  <c r="F678" i="1"/>
  <c r="G678" i="1"/>
  <c r="H678" i="1"/>
  <c r="I678" i="1"/>
  <c r="J678" i="1"/>
  <c r="B679" i="1"/>
  <c r="C679" i="1"/>
  <c r="D679" i="1"/>
  <c r="E679" i="1"/>
  <c r="F679" i="1"/>
  <c r="G679" i="1"/>
  <c r="H679" i="1"/>
  <c r="I679" i="1"/>
  <c r="J679" i="1"/>
  <c r="B680" i="1"/>
  <c r="C680" i="1"/>
  <c r="D680" i="1"/>
  <c r="E680" i="1"/>
  <c r="F680" i="1"/>
  <c r="G680" i="1"/>
  <c r="H680" i="1"/>
  <c r="I680" i="1"/>
  <c r="J680" i="1"/>
  <c r="B681" i="1"/>
  <c r="C681" i="1"/>
  <c r="D681" i="1"/>
  <c r="E681" i="1"/>
  <c r="F681" i="1"/>
  <c r="G681" i="1"/>
  <c r="H681" i="1"/>
  <c r="I681" i="1"/>
  <c r="J681" i="1"/>
  <c r="B682" i="1"/>
  <c r="C682" i="1"/>
  <c r="D682" i="1"/>
  <c r="E682" i="1"/>
  <c r="F682" i="1"/>
  <c r="G682" i="1"/>
  <c r="H682" i="1"/>
  <c r="I682" i="1"/>
  <c r="J682" i="1"/>
  <c r="B683" i="1"/>
  <c r="C683" i="1"/>
  <c r="D683" i="1"/>
  <c r="E683" i="1"/>
  <c r="F683" i="1"/>
  <c r="G683" i="1"/>
  <c r="H683" i="1"/>
  <c r="I683" i="1"/>
  <c r="J683" i="1"/>
  <c r="B684" i="1"/>
  <c r="C684" i="1"/>
  <c r="D684" i="1"/>
  <c r="E684" i="1"/>
  <c r="F684" i="1"/>
  <c r="G684" i="1"/>
  <c r="H684" i="1"/>
  <c r="I684" i="1"/>
  <c r="J684" i="1"/>
  <c r="B685" i="1"/>
  <c r="C685" i="1"/>
  <c r="D685" i="1"/>
  <c r="E685" i="1"/>
  <c r="F685" i="1"/>
  <c r="G685" i="1"/>
  <c r="H685" i="1"/>
  <c r="I685" i="1"/>
  <c r="J685" i="1"/>
  <c r="B686" i="1"/>
  <c r="C686" i="1"/>
  <c r="D686" i="1"/>
  <c r="E686" i="1"/>
  <c r="F686" i="1"/>
  <c r="G686" i="1"/>
  <c r="H686" i="1"/>
  <c r="I686" i="1"/>
  <c r="J686" i="1"/>
  <c r="B687" i="1"/>
  <c r="C687" i="1"/>
  <c r="D687" i="1"/>
  <c r="E687" i="1"/>
  <c r="F687" i="1"/>
  <c r="G687" i="1"/>
  <c r="H687" i="1"/>
  <c r="I687" i="1"/>
  <c r="J687" i="1"/>
  <c r="B688" i="1"/>
  <c r="C688" i="1"/>
  <c r="D688" i="1"/>
  <c r="E688" i="1"/>
  <c r="F688" i="1"/>
  <c r="G688" i="1"/>
  <c r="H688" i="1"/>
  <c r="I688" i="1"/>
  <c r="J688" i="1"/>
  <c r="B689" i="1"/>
  <c r="C689" i="1"/>
  <c r="D689" i="1"/>
  <c r="E689" i="1"/>
  <c r="F689" i="1"/>
  <c r="G689" i="1"/>
  <c r="H689" i="1"/>
  <c r="I689" i="1"/>
  <c r="J689" i="1"/>
  <c r="B690" i="1"/>
  <c r="C690" i="1"/>
  <c r="D690" i="1"/>
  <c r="E690" i="1"/>
  <c r="F690" i="1"/>
  <c r="G690" i="1"/>
  <c r="H690" i="1"/>
  <c r="I690" i="1"/>
  <c r="J690" i="1"/>
  <c r="B691" i="1"/>
  <c r="C691" i="1"/>
  <c r="D691" i="1"/>
  <c r="E691" i="1"/>
  <c r="F691" i="1"/>
  <c r="G691" i="1"/>
  <c r="H691" i="1"/>
  <c r="I691" i="1"/>
  <c r="J691" i="1"/>
  <c r="B692" i="1"/>
  <c r="C692" i="1"/>
  <c r="D692" i="1"/>
  <c r="E692" i="1"/>
  <c r="F692" i="1"/>
  <c r="G692" i="1"/>
  <c r="H692" i="1"/>
  <c r="I692" i="1"/>
  <c r="J692" i="1"/>
  <c r="B693" i="1"/>
  <c r="C693" i="1"/>
  <c r="D693" i="1"/>
  <c r="E693" i="1"/>
  <c r="F693" i="1"/>
  <c r="G693" i="1"/>
  <c r="H693" i="1"/>
  <c r="I693" i="1"/>
  <c r="J693" i="1"/>
  <c r="B694" i="1"/>
  <c r="C694" i="1"/>
  <c r="D694" i="1"/>
  <c r="E694" i="1"/>
  <c r="F694" i="1"/>
  <c r="G694" i="1"/>
  <c r="H694" i="1"/>
  <c r="I694" i="1"/>
  <c r="J694" i="1"/>
  <c r="B695" i="1"/>
  <c r="C695" i="1"/>
  <c r="D695" i="1"/>
  <c r="E695" i="1"/>
  <c r="F695" i="1"/>
  <c r="G695" i="1"/>
  <c r="H695" i="1"/>
  <c r="I695" i="1"/>
  <c r="J695" i="1"/>
  <c r="B696" i="1"/>
  <c r="C696" i="1"/>
  <c r="D696" i="1"/>
  <c r="E696" i="1"/>
  <c r="F696" i="1"/>
  <c r="G696" i="1"/>
  <c r="H696" i="1"/>
  <c r="I696" i="1"/>
  <c r="J696" i="1"/>
  <c r="B697" i="1"/>
  <c r="C697" i="1"/>
  <c r="D697" i="1"/>
  <c r="E697" i="1"/>
  <c r="F697" i="1"/>
  <c r="G697" i="1"/>
  <c r="H697" i="1"/>
  <c r="I697" i="1"/>
  <c r="J697" i="1"/>
  <c r="B698" i="1"/>
  <c r="C698" i="1"/>
  <c r="D698" i="1"/>
  <c r="E698" i="1"/>
  <c r="F698" i="1"/>
  <c r="G698" i="1"/>
  <c r="H698" i="1"/>
  <c r="I698" i="1"/>
  <c r="J698" i="1"/>
  <c r="B699" i="1"/>
  <c r="C699" i="1"/>
  <c r="D699" i="1"/>
  <c r="E699" i="1"/>
  <c r="F699" i="1"/>
  <c r="G699" i="1"/>
  <c r="H699" i="1"/>
  <c r="I699" i="1"/>
  <c r="J699" i="1"/>
  <c r="B700" i="1"/>
  <c r="C700" i="1"/>
  <c r="D700" i="1"/>
  <c r="E700" i="1"/>
  <c r="F700" i="1"/>
  <c r="G700" i="1"/>
  <c r="H700" i="1"/>
  <c r="I700" i="1"/>
  <c r="J700" i="1"/>
  <c r="B701" i="1"/>
  <c r="C701" i="1"/>
  <c r="D701" i="1"/>
  <c r="E701" i="1"/>
  <c r="F701" i="1"/>
  <c r="G701" i="1"/>
  <c r="H701" i="1"/>
  <c r="I701" i="1"/>
  <c r="J701" i="1"/>
  <c r="B702" i="1"/>
  <c r="C702" i="1"/>
  <c r="D702" i="1"/>
  <c r="E702" i="1"/>
  <c r="F702" i="1"/>
  <c r="G702" i="1"/>
  <c r="H702" i="1"/>
  <c r="I702" i="1"/>
  <c r="J702" i="1"/>
  <c r="B703" i="1"/>
  <c r="C703" i="1"/>
  <c r="D703" i="1"/>
  <c r="E703" i="1"/>
  <c r="F703" i="1"/>
  <c r="G703" i="1"/>
  <c r="H703" i="1"/>
  <c r="I703" i="1"/>
  <c r="J703" i="1"/>
  <c r="B704" i="1"/>
  <c r="C704" i="1"/>
  <c r="D704" i="1"/>
  <c r="E704" i="1"/>
  <c r="F704" i="1"/>
  <c r="G704" i="1"/>
  <c r="H704" i="1"/>
  <c r="I704" i="1"/>
  <c r="J704" i="1"/>
  <c r="B705" i="1"/>
  <c r="C705" i="1"/>
  <c r="D705" i="1"/>
  <c r="E705" i="1"/>
  <c r="F705" i="1"/>
  <c r="G705" i="1"/>
  <c r="H705" i="1"/>
  <c r="I705" i="1"/>
  <c r="J705" i="1"/>
  <c r="B706" i="1"/>
  <c r="C706" i="1"/>
  <c r="D706" i="1"/>
  <c r="E706" i="1"/>
  <c r="F706" i="1"/>
  <c r="G706" i="1"/>
  <c r="H706" i="1"/>
  <c r="I706" i="1"/>
  <c r="J706" i="1"/>
  <c r="B707" i="1"/>
  <c r="C707" i="1"/>
  <c r="D707" i="1"/>
  <c r="E707" i="1"/>
  <c r="F707" i="1"/>
  <c r="G707" i="1"/>
  <c r="H707" i="1"/>
  <c r="I707" i="1"/>
  <c r="J707" i="1"/>
  <c r="B708" i="1"/>
  <c r="C708" i="1"/>
  <c r="D708" i="1"/>
  <c r="E708" i="1"/>
  <c r="F708" i="1"/>
  <c r="G708" i="1"/>
  <c r="H708" i="1"/>
  <c r="I708" i="1"/>
  <c r="J708" i="1"/>
  <c r="B709" i="1"/>
  <c r="C709" i="1"/>
  <c r="D709" i="1"/>
  <c r="E709" i="1"/>
  <c r="F709" i="1"/>
  <c r="G709" i="1"/>
  <c r="H709" i="1"/>
  <c r="I709" i="1"/>
  <c r="J709" i="1"/>
  <c r="B710" i="1"/>
  <c r="C710" i="1"/>
  <c r="D710" i="1"/>
  <c r="E710" i="1"/>
  <c r="F710" i="1"/>
  <c r="G710" i="1"/>
  <c r="H710" i="1"/>
  <c r="I710" i="1"/>
  <c r="J710" i="1"/>
  <c r="B711" i="1"/>
  <c r="C711" i="1"/>
  <c r="D711" i="1"/>
  <c r="E711" i="1"/>
  <c r="F711" i="1"/>
  <c r="G711" i="1"/>
  <c r="H711" i="1"/>
  <c r="I711" i="1"/>
  <c r="J711" i="1"/>
  <c r="B712" i="1"/>
  <c r="C712" i="1"/>
  <c r="D712" i="1"/>
  <c r="E712" i="1"/>
  <c r="F712" i="1"/>
  <c r="G712" i="1"/>
  <c r="H712" i="1"/>
  <c r="I712" i="1"/>
  <c r="J712" i="1"/>
  <c r="B713" i="1"/>
  <c r="C713" i="1"/>
  <c r="D713" i="1"/>
  <c r="E713" i="1"/>
  <c r="F713" i="1"/>
  <c r="G713" i="1"/>
  <c r="H713" i="1"/>
  <c r="I713" i="1"/>
  <c r="J713" i="1"/>
  <c r="B714" i="1"/>
  <c r="C714" i="1"/>
  <c r="D714" i="1"/>
  <c r="E714" i="1"/>
  <c r="F714" i="1"/>
  <c r="G714" i="1"/>
  <c r="H714" i="1"/>
  <c r="I714" i="1"/>
  <c r="J714" i="1"/>
  <c r="B715" i="1"/>
  <c r="C715" i="1"/>
  <c r="D715" i="1"/>
  <c r="E715" i="1"/>
  <c r="F715" i="1"/>
  <c r="G715" i="1"/>
  <c r="H715" i="1"/>
  <c r="I715" i="1"/>
  <c r="J715" i="1"/>
  <c r="B716" i="1"/>
  <c r="C716" i="1"/>
  <c r="D716" i="1"/>
  <c r="E716" i="1"/>
  <c r="F716" i="1"/>
  <c r="G716" i="1"/>
  <c r="H716" i="1"/>
  <c r="I716" i="1"/>
  <c r="J716" i="1"/>
  <c r="B717" i="1"/>
  <c r="C717" i="1"/>
  <c r="D717" i="1"/>
  <c r="E717" i="1"/>
  <c r="F717" i="1"/>
  <c r="G717" i="1"/>
  <c r="H717" i="1"/>
  <c r="I717" i="1"/>
  <c r="J717" i="1"/>
  <c r="B718" i="1"/>
  <c r="C718" i="1"/>
  <c r="D718" i="1"/>
  <c r="E718" i="1"/>
  <c r="F718" i="1"/>
  <c r="G718" i="1"/>
  <c r="H718" i="1"/>
  <c r="I718" i="1"/>
  <c r="J718" i="1"/>
  <c r="B719" i="1"/>
  <c r="C719" i="1"/>
  <c r="D719" i="1"/>
  <c r="E719" i="1"/>
  <c r="F719" i="1"/>
  <c r="G719" i="1"/>
  <c r="H719" i="1"/>
  <c r="I719" i="1"/>
  <c r="J719" i="1"/>
  <c r="B720" i="1"/>
  <c r="C720" i="1"/>
  <c r="D720" i="1"/>
  <c r="E720" i="1"/>
  <c r="F720" i="1"/>
  <c r="G720" i="1"/>
  <c r="H720" i="1"/>
  <c r="I720" i="1"/>
  <c r="J720" i="1"/>
  <c r="B721" i="1"/>
  <c r="C721" i="1"/>
  <c r="D721" i="1"/>
  <c r="E721" i="1"/>
  <c r="F721" i="1"/>
  <c r="G721" i="1"/>
  <c r="H721" i="1"/>
  <c r="I721" i="1"/>
  <c r="J721" i="1"/>
  <c r="B722" i="1"/>
  <c r="C722" i="1"/>
  <c r="D722" i="1"/>
  <c r="E722" i="1"/>
  <c r="F722" i="1"/>
  <c r="G722" i="1"/>
  <c r="H722" i="1"/>
  <c r="I722" i="1"/>
  <c r="J722" i="1"/>
  <c r="B723" i="1"/>
  <c r="C723" i="1"/>
  <c r="D723" i="1"/>
  <c r="E723" i="1"/>
  <c r="F723" i="1"/>
  <c r="G723" i="1"/>
  <c r="H723" i="1"/>
  <c r="I723" i="1"/>
  <c r="J723" i="1"/>
  <c r="B724" i="1"/>
  <c r="C724" i="1"/>
  <c r="D724" i="1"/>
  <c r="E724" i="1"/>
  <c r="F724" i="1"/>
  <c r="G724" i="1"/>
  <c r="H724" i="1"/>
  <c r="I724" i="1"/>
  <c r="J724" i="1"/>
  <c r="B725" i="1"/>
  <c r="C725" i="1"/>
  <c r="D725" i="1"/>
  <c r="E725" i="1"/>
  <c r="F725" i="1"/>
  <c r="G725" i="1"/>
  <c r="H725" i="1"/>
  <c r="I725" i="1"/>
  <c r="J725" i="1"/>
  <c r="B726" i="1"/>
  <c r="C726" i="1"/>
  <c r="D726" i="1"/>
  <c r="E726" i="1"/>
  <c r="F726" i="1"/>
  <c r="G726" i="1"/>
  <c r="H726" i="1"/>
  <c r="I726" i="1"/>
  <c r="J726" i="1"/>
  <c r="B727" i="1"/>
  <c r="C727" i="1"/>
  <c r="D727" i="1"/>
  <c r="E727" i="1"/>
  <c r="F727" i="1"/>
  <c r="G727" i="1"/>
  <c r="H727" i="1"/>
  <c r="I727" i="1"/>
  <c r="J727" i="1"/>
  <c r="B728" i="1"/>
  <c r="C728" i="1"/>
  <c r="D728" i="1"/>
  <c r="E728" i="1"/>
  <c r="F728" i="1"/>
  <c r="G728" i="1"/>
  <c r="H728" i="1"/>
  <c r="I728" i="1"/>
  <c r="J728" i="1"/>
  <c r="B729" i="1"/>
  <c r="C729" i="1"/>
  <c r="D729" i="1"/>
  <c r="E729" i="1"/>
  <c r="F729" i="1"/>
  <c r="G729" i="1"/>
  <c r="H729" i="1"/>
  <c r="I729" i="1"/>
  <c r="J729" i="1"/>
  <c r="B730" i="1"/>
  <c r="C730" i="1"/>
  <c r="D730" i="1"/>
  <c r="E730" i="1"/>
  <c r="F730" i="1"/>
  <c r="G730" i="1"/>
  <c r="H730" i="1"/>
  <c r="I730" i="1"/>
  <c r="J730" i="1"/>
  <c r="B731" i="1"/>
  <c r="C731" i="1"/>
  <c r="D731" i="1"/>
  <c r="E731" i="1"/>
  <c r="F731" i="1"/>
  <c r="G731" i="1"/>
  <c r="H731" i="1"/>
  <c r="I731" i="1"/>
  <c r="J731" i="1"/>
  <c r="B732" i="1"/>
  <c r="C732" i="1"/>
  <c r="D732" i="1"/>
  <c r="E732" i="1"/>
  <c r="F732" i="1"/>
  <c r="G732" i="1"/>
  <c r="H732" i="1"/>
  <c r="I732" i="1"/>
  <c r="J732" i="1"/>
  <c r="B733" i="1"/>
  <c r="C733" i="1"/>
  <c r="D733" i="1"/>
  <c r="E733" i="1"/>
  <c r="F733" i="1"/>
  <c r="G733" i="1"/>
  <c r="H733" i="1"/>
  <c r="I733" i="1"/>
  <c r="J733" i="1"/>
  <c r="B734" i="1"/>
  <c r="C734" i="1"/>
  <c r="D734" i="1"/>
  <c r="E734" i="1"/>
  <c r="F734" i="1"/>
  <c r="G734" i="1"/>
  <c r="H734" i="1"/>
  <c r="I734" i="1"/>
  <c r="J734" i="1"/>
  <c r="B735" i="1"/>
  <c r="C735" i="1"/>
  <c r="D735" i="1"/>
  <c r="E735" i="1"/>
  <c r="F735" i="1"/>
  <c r="G735" i="1"/>
  <c r="H735" i="1"/>
  <c r="I735" i="1"/>
  <c r="J735" i="1"/>
  <c r="B736" i="1"/>
  <c r="C736" i="1"/>
  <c r="D736" i="1"/>
  <c r="E736" i="1"/>
  <c r="F736" i="1"/>
  <c r="G736" i="1"/>
  <c r="H736" i="1"/>
  <c r="I736" i="1"/>
  <c r="J736" i="1"/>
  <c r="B737" i="1"/>
  <c r="C737" i="1"/>
  <c r="D737" i="1"/>
  <c r="E737" i="1"/>
  <c r="F737" i="1"/>
  <c r="G737" i="1"/>
  <c r="H737" i="1"/>
  <c r="I737" i="1"/>
  <c r="J737" i="1"/>
  <c r="B738" i="1"/>
  <c r="C738" i="1"/>
  <c r="D738" i="1"/>
  <c r="E738" i="1"/>
  <c r="F738" i="1"/>
  <c r="G738" i="1"/>
  <c r="H738" i="1"/>
  <c r="I738" i="1"/>
  <c r="J738" i="1"/>
  <c r="B739" i="1"/>
  <c r="C739" i="1"/>
  <c r="D739" i="1"/>
  <c r="E739" i="1"/>
  <c r="F739" i="1"/>
  <c r="G739" i="1"/>
  <c r="H739" i="1"/>
  <c r="I739" i="1"/>
  <c r="J739" i="1"/>
  <c r="B740" i="1"/>
  <c r="C740" i="1"/>
  <c r="D740" i="1"/>
  <c r="E740" i="1"/>
  <c r="F740" i="1"/>
  <c r="G740" i="1"/>
  <c r="H740" i="1"/>
  <c r="I740" i="1"/>
  <c r="J740" i="1"/>
  <c r="B741" i="1"/>
  <c r="C741" i="1"/>
  <c r="D741" i="1"/>
  <c r="E741" i="1"/>
  <c r="F741" i="1"/>
  <c r="G741" i="1"/>
  <c r="H741" i="1"/>
  <c r="I741" i="1"/>
  <c r="J741" i="1"/>
  <c r="B742" i="1"/>
  <c r="C742" i="1"/>
  <c r="D742" i="1"/>
  <c r="E742" i="1"/>
  <c r="F742" i="1"/>
  <c r="G742" i="1"/>
  <c r="H742" i="1"/>
  <c r="I742" i="1"/>
  <c r="J742" i="1"/>
  <c r="B743" i="1"/>
  <c r="C743" i="1"/>
  <c r="D743" i="1"/>
  <c r="E743" i="1"/>
  <c r="F743" i="1"/>
  <c r="G743" i="1"/>
  <c r="H743" i="1"/>
  <c r="I743" i="1"/>
  <c r="J743" i="1"/>
  <c r="B744" i="1"/>
  <c r="C744" i="1"/>
  <c r="D744" i="1"/>
  <c r="E744" i="1"/>
  <c r="F744" i="1"/>
  <c r="G744" i="1"/>
  <c r="H744" i="1"/>
  <c r="I744" i="1"/>
  <c r="J744" i="1"/>
  <c r="B745" i="1"/>
  <c r="C745" i="1"/>
  <c r="D745" i="1"/>
  <c r="E745" i="1"/>
  <c r="F745" i="1"/>
  <c r="G745" i="1"/>
  <c r="H745" i="1"/>
  <c r="I745" i="1"/>
  <c r="J745" i="1"/>
  <c r="B746" i="1"/>
  <c r="C746" i="1"/>
  <c r="D746" i="1"/>
  <c r="E746" i="1"/>
  <c r="F746" i="1"/>
  <c r="G746" i="1"/>
  <c r="H746" i="1"/>
  <c r="I746" i="1"/>
  <c r="J746" i="1"/>
  <c r="B747" i="1"/>
  <c r="C747" i="1"/>
  <c r="D747" i="1"/>
  <c r="E747" i="1"/>
  <c r="F747" i="1"/>
  <c r="G747" i="1"/>
  <c r="H747" i="1"/>
  <c r="I747" i="1"/>
  <c r="J747" i="1"/>
  <c r="B748" i="1"/>
  <c r="C748" i="1"/>
  <c r="D748" i="1"/>
  <c r="E748" i="1"/>
  <c r="F748" i="1"/>
  <c r="G748" i="1"/>
  <c r="H748" i="1"/>
  <c r="I748" i="1"/>
  <c r="J748" i="1"/>
  <c r="B749" i="1"/>
  <c r="C749" i="1"/>
  <c r="D749" i="1"/>
  <c r="E749" i="1"/>
  <c r="F749" i="1"/>
  <c r="G749" i="1"/>
  <c r="H749" i="1"/>
  <c r="I749" i="1"/>
  <c r="J749" i="1"/>
  <c r="B750" i="1"/>
  <c r="C750" i="1"/>
  <c r="D750" i="1"/>
  <c r="E750" i="1"/>
  <c r="F750" i="1"/>
  <c r="G750" i="1"/>
  <c r="H750" i="1"/>
  <c r="I750" i="1"/>
  <c r="J750" i="1"/>
  <c r="B751" i="1"/>
  <c r="C751" i="1"/>
  <c r="D751" i="1"/>
  <c r="E751" i="1"/>
  <c r="F751" i="1"/>
  <c r="G751" i="1"/>
  <c r="H751" i="1"/>
  <c r="I751" i="1"/>
  <c r="J751" i="1"/>
  <c r="B752" i="1"/>
  <c r="C752" i="1"/>
  <c r="D752" i="1"/>
  <c r="E752" i="1"/>
  <c r="F752" i="1"/>
  <c r="G752" i="1"/>
  <c r="H752" i="1"/>
  <c r="I752" i="1"/>
  <c r="J752" i="1"/>
  <c r="B753" i="1"/>
  <c r="C753" i="1"/>
  <c r="D753" i="1"/>
  <c r="E753" i="1"/>
  <c r="F753" i="1"/>
  <c r="G753" i="1"/>
  <c r="H753" i="1"/>
  <c r="I753" i="1"/>
  <c r="J753" i="1"/>
  <c r="B754" i="1"/>
  <c r="C754" i="1"/>
  <c r="D754" i="1"/>
  <c r="E754" i="1"/>
  <c r="F754" i="1"/>
  <c r="G754" i="1"/>
  <c r="H754" i="1"/>
  <c r="I754" i="1"/>
  <c r="J754" i="1"/>
  <c r="B755" i="1"/>
  <c r="C755" i="1"/>
  <c r="D755" i="1"/>
  <c r="E755" i="1"/>
  <c r="F755" i="1"/>
  <c r="G755" i="1"/>
  <c r="H755" i="1"/>
  <c r="I755" i="1"/>
  <c r="J755" i="1"/>
  <c r="B756" i="1"/>
  <c r="C756" i="1"/>
  <c r="D756" i="1"/>
  <c r="E756" i="1"/>
  <c r="F756" i="1"/>
  <c r="G756" i="1"/>
  <c r="H756" i="1"/>
  <c r="I756" i="1"/>
  <c r="J756" i="1"/>
  <c r="B757" i="1"/>
  <c r="C757" i="1"/>
  <c r="D757" i="1"/>
  <c r="E757" i="1"/>
  <c r="F757" i="1"/>
  <c r="G757" i="1"/>
  <c r="H757" i="1"/>
  <c r="I757" i="1"/>
  <c r="J757" i="1"/>
  <c r="B758" i="1"/>
  <c r="C758" i="1"/>
  <c r="D758" i="1"/>
  <c r="E758" i="1"/>
  <c r="F758" i="1"/>
  <c r="G758" i="1"/>
  <c r="H758" i="1"/>
  <c r="I758" i="1"/>
  <c r="J758" i="1"/>
  <c r="B759" i="1"/>
  <c r="C759" i="1"/>
  <c r="D759" i="1"/>
  <c r="E759" i="1"/>
  <c r="F759" i="1"/>
  <c r="G759" i="1"/>
  <c r="H759" i="1"/>
  <c r="I759" i="1"/>
  <c r="J759" i="1"/>
  <c r="B760" i="1"/>
  <c r="C760" i="1"/>
  <c r="D760" i="1"/>
  <c r="E760" i="1"/>
  <c r="F760" i="1"/>
  <c r="G760" i="1"/>
  <c r="H760" i="1"/>
  <c r="I760" i="1"/>
  <c r="J760" i="1"/>
  <c r="B761" i="1"/>
  <c r="C761" i="1"/>
  <c r="D761" i="1"/>
  <c r="E761" i="1"/>
  <c r="F761" i="1"/>
  <c r="G761" i="1"/>
  <c r="H761" i="1"/>
  <c r="I761" i="1"/>
  <c r="J761" i="1"/>
  <c r="B762" i="1"/>
  <c r="C762" i="1"/>
  <c r="D762" i="1"/>
  <c r="E762" i="1"/>
  <c r="F762" i="1"/>
  <c r="G762" i="1"/>
  <c r="H762" i="1"/>
  <c r="I762" i="1"/>
  <c r="J762" i="1"/>
  <c r="B763" i="1"/>
  <c r="C763" i="1"/>
  <c r="D763" i="1"/>
  <c r="E763" i="1"/>
  <c r="F763" i="1"/>
  <c r="G763" i="1"/>
  <c r="H763" i="1"/>
  <c r="I763" i="1"/>
  <c r="J763" i="1"/>
  <c r="B764" i="1"/>
  <c r="C764" i="1"/>
  <c r="D764" i="1"/>
  <c r="E764" i="1"/>
  <c r="F764" i="1"/>
  <c r="G764" i="1"/>
  <c r="H764" i="1"/>
  <c r="I764" i="1"/>
  <c r="J764" i="1"/>
  <c r="B765" i="1"/>
  <c r="C765" i="1"/>
  <c r="D765" i="1"/>
  <c r="E765" i="1"/>
  <c r="F765" i="1"/>
  <c r="G765" i="1"/>
  <c r="H765" i="1"/>
  <c r="I765" i="1"/>
  <c r="J765" i="1"/>
  <c r="B766" i="1"/>
  <c r="C766" i="1"/>
  <c r="D766" i="1"/>
  <c r="E766" i="1"/>
  <c r="F766" i="1"/>
  <c r="G766" i="1"/>
  <c r="H766" i="1"/>
  <c r="I766" i="1"/>
  <c r="J766" i="1"/>
  <c r="B767" i="1"/>
  <c r="C767" i="1"/>
  <c r="D767" i="1"/>
  <c r="E767" i="1"/>
  <c r="F767" i="1"/>
  <c r="G767" i="1"/>
  <c r="H767" i="1"/>
  <c r="I767" i="1"/>
  <c r="J767" i="1"/>
  <c r="B768" i="1"/>
  <c r="C768" i="1"/>
  <c r="D768" i="1"/>
  <c r="E768" i="1"/>
  <c r="F768" i="1"/>
  <c r="G768" i="1"/>
  <c r="H768" i="1"/>
  <c r="I768" i="1"/>
  <c r="J768" i="1"/>
  <c r="B769" i="1"/>
  <c r="C769" i="1"/>
  <c r="D769" i="1"/>
  <c r="E769" i="1"/>
  <c r="F769" i="1"/>
  <c r="G769" i="1"/>
  <c r="H769" i="1"/>
  <c r="I769" i="1"/>
  <c r="J769" i="1"/>
  <c r="B770" i="1"/>
  <c r="C770" i="1"/>
  <c r="D770" i="1"/>
  <c r="E770" i="1"/>
  <c r="F770" i="1"/>
  <c r="G770" i="1"/>
  <c r="H770" i="1"/>
  <c r="I770" i="1"/>
  <c r="J770" i="1"/>
  <c r="B771" i="1"/>
  <c r="C771" i="1"/>
  <c r="D771" i="1"/>
  <c r="E771" i="1"/>
  <c r="F771" i="1"/>
  <c r="G771" i="1"/>
  <c r="H771" i="1"/>
  <c r="I771" i="1"/>
  <c r="J771" i="1"/>
  <c r="B772" i="1"/>
  <c r="C772" i="1"/>
  <c r="D772" i="1"/>
  <c r="E772" i="1"/>
  <c r="F772" i="1"/>
  <c r="G772" i="1"/>
  <c r="H772" i="1"/>
  <c r="I772" i="1"/>
  <c r="J772" i="1"/>
  <c r="B773" i="1"/>
  <c r="C773" i="1"/>
  <c r="D773" i="1"/>
  <c r="E773" i="1"/>
  <c r="F773" i="1"/>
  <c r="G773" i="1"/>
  <c r="H773" i="1"/>
  <c r="I773" i="1"/>
  <c r="J773" i="1"/>
  <c r="B774" i="1"/>
  <c r="C774" i="1"/>
  <c r="D774" i="1"/>
  <c r="E774" i="1"/>
  <c r="F774" i="1"/>
  <c r="G774" i="1"/>
  <c r="H774" i="1"/>
  <c r="I774" i="1"/>
  <c r="J774" i="1"/>
  <c r="B775" i="1"/>
  <c r="C775" i="1"/>
  <c r="D775" i="1"/>
  <c r="E775" i="1"/>
  <c r="F775" i="1"/>
  <c r="G775" i="1"/>
  <c r="H775" i="1"/>
  <c r="I775" i="1"/>
  <c r="J775" i="1"/>
  <c r="B776" i="1"/>
  <c r="C776" i="1"/>
  <c r="D776" i="1"/>
  <c r="E776" i="1"/>
  <c r="F776" i="1"/>
  <c r="G776" i="1"/>
  <c r="H776" i="1"/>
  <c r="I776" i="1"/>
  <c r="J776" i="1"/>
  <c r="B777" i="1"/>
  <c r="C777" i="1"/>
  <c r="D777" i="1"/>
  <c r="E777" i="1"/>
  <c r="F777" i="1"/>
  <c r="G777" i="1"/>
  <c r="H777" i="1"/>
  <c r="I777" i="1"/>
  <c r="J777" i="1"/>
  <c r="B778" i="1"/>
  <c r="C778" i="1"/>
  <c r="D778" i="1"/>
  <c r="E778" i="1"/>
  <c r="F778" i="1"/>
  <c r="G778" i="1"/>
  <c r="H778" i="1"/>
  <c r="I778" i="1"/>
  <c r="J778" i="1"/>
  <c r="B779" i="1"/>
  <c r="C779" i="1"/>
  <c r="D779" i="1"/>
  <c r="E779" i="1"/>
  <c r="F779" i="1"/>
  <c r="G779" i="1"/>
  <c r="H779" i="1"/>
  <c r="I779" i="1"/>
  <c r="J779" i="1"/>
  <c r="B780" i="1"/>
  <c r="C780" i="1"/>
  <c r="D780" i="1"/>
  <c r="E780" i="1"/>
  <c r="F780" i="1"/>
  <c r="G780" i="1"/>
  <c r="H780" i="1"/>
  <c r="I780" i="1"/>
  <c r="J780" i="1"/>
  <c r="B781" i="1"/>
  <c r="C781" i="1"/>
  <c r="D781" i="1"/>
  <c r="E781" i="1"/>
  <c r="F781" i="1"/>
  <c r="G781" i="1"/>
  <c r="H781" i="1"/>
  <c r="I781" i="1"/>
  <c r="J781" i="1"/>
  <c r="B782" i="1"/>
  <c r="C782" i="1"/>
  <c r="D782" i="1"/>
  <c r="E782" i="1"/>
  <c r="F782" i="1"/>
  <c r="G782" i="1"/>
  <c r="H782" i="1"/>
  <c r="I782" i="1"/>
  <c r="J782" i="1"/>
  <c r="B783" i="1"/>
  <c r="C783" i="1"/>
  <c r="D783" i="1"/>
  <c r="E783" i="1"/>
  <c r="F783" i="1"/>
  <c r="G783" i="1"/>
  <c r="H783" i="1"/>
  <c r="I783" i="1"/>
  <c r="J783" i="1"/>
  <c r="B784" i="1"/>
  <c r="C784" i="1"/>
  <c r="D784" i="1"/>
  <c r="E784" i="1"/>
  <c r="F784" i="1"/>
  <c r="G784" i="1"/>
  <c r="H784" i="1"/>
  <c r="I784" i="1"/>
  <c r="J784" i="1"/>
  <c r="B785" i="1"/>
  <c r="C785" i="1"/>
  <c r="D785" i="1"/>
  <c r="E785" i="1"/>
  <c r="F785" i="1"/>
  <c r="G785" i="1"/>
  <c r="H785" i="1"/>
  <c r="I785" i="1"/>
  <c r="J785" i="1"/>
  <c r="B786" i="1"/>
  <c r="C786" i="1"/>
  <c r="D786" i="1"/>
  <c r="E786" i="1"/>
  <c r="F786" i="1"/>
  <c r="G786" i="1"/>
  <c r="H786" i="1"/>
  <c r="I786" i="1"/>
  <c r="J786" i="1"/>
  <c r="B787" i="1"/>
  <c r="C787" i="1"/>
  <c r="D787" i="1"/>
  <c r="E787" i="1"/>
  <c r="F787" i="1"/>
  <c r="G787" i="1"/>
  <c r="H787" i="1"/>
  <c r="I787" i="1"/>
  <c r="J787" i="1"/>
  <c r="B788" i="1"/>
  <c r="C788" i="1"/>
  <c r="D788" i="1"/>
  <c r="E788" i="1"/>
  <c r="F788" i="1"/>
  <c r="G788" i="1"/>
  <c r="H788" i="1"/>
  <c r="I788" i="1"/>
  <c r="J788" i="1"/>
  <c r="B789" i="1"/>
  <c r="C789" i="1"/>
  <c r="D789" i="1"/>
  <c r="E789" i="1"/>
  <c r="F789" i="1"/>
  <c r="G789" i="1"/>
  <c r="H789" i="1"/>
  <c r="I789" i="1"/>
  <c r="J789" i="1"/>
  <c r="B790" i="1"/>
  <c r="C790" i="1"/>
  <c r="D790" i="1"/>
  <c r="E790" i="1"/>
  <c r="F790" i="1"/>
  <c r="G790" i="1"/>
  <c r="H790" i="1"/>
  <c r="I790" i="1"/>
  <c r="J790" i="1"/>
  <c r="B791" i="1"/>
  <c r="C791" i="1"/>
  <c r="D791" i="1"/>
  <c r="E791" i="1"/>
  <c r="F791" i="1"/>
  <c r="G791" i="1"/>
  <c r="H791" i="1"/>
  <c r="I791" i="1"/>
  <c r="J791" i="1"/>
  <c r="B792" i="1"/>
  <c r="C792" i="1"/>
  <c r="D792" i="1"/>
  <c r="E792" i="1"/>
  <c r="F792" i="1"/>
  <c r="G792" i="1"/>
  <c r="H792" i="1"/>
  <c r="I792" i="1"/>
  <c r="J792" i="1"/>
  <c r="B793" i="1"/>
  <c r="C793" i="1"/>
  <c r="D793" i="1"/>
  <c r="E793" i="1"/>
  <c r="F793" i="1"/>
  <c r="G793" i="1"/>
  <c r="H793" i="1"/>
  <c r="I793" i="1"/>
  <c r="J793" i="1"/>
  <c r="B794" i="1"/>
  <c r="C794" i="1"/>
  <c r="D794" i="1"/>
  <c r="E794" i="1"/>
  <c r="F794" i="1"/>
  <c r="G794" i="1"/>
  <c r="H794" i="1"/>
  <c r="I794" i="1"/>
  <c r="J794" i="1"/>
  <c r="B795" i="1"/>
  <c r="C795" i="1"/>
  <c r="D795" i="1"/>
  <c r="E795" i="1"/>
  <c r="F795" i="1"/>
  <c r="G795" i="1"/>
  <c r="H795" i="1"/>
  <c r="I795" i="1"/>
  <c r="J795" i="1"/>
  <c r="B796" i="1"/>
  <c r="C796" i="1"/>
  <c r="D796" i="1"/>
  <c r="E796" i="1"/>
  <c r="F796" i="1"/>
  <c r="G796" i="1"/>
  <c r="H796" i="1"/>
  <c r="I796" i="1"/>
  <c r="J796" i="1"/>
  <c r="B797" i="1"/>
  <c r="C797" i="1"/>
  <c r="D797" i="1"/>
  <c r="E797" i="1"/>
  <c r="F797" i="1"/>
  <c r="G797" i="1"/>
  <c r="H797" i="1"/>
  <c r="I797" i="1"/>
  <c r="J797" i="1"/>
  <c r="B798" i="1"/>
  <c r="C798" i="1"/>
  <c r="D798" i="1"/>
  <c r="E798" i="1"/>
  <c r="F798" i="1"/>
  <c r="G798" i="1"/>
  <c r="H798" i="1"/>
  <c r="I798" i="1"/>
  <c r="J798" i="1"/>
  <c r="B799" i="1"/>
  <c r="C799" i="1"/>
  <c r="D799" i="1"/>
  <c r="E799" i="1"/>
  <c r="F799" i="1"/>
  <c r="G799" i="1"/>
  <c r="H799" i="1"/>
  <c r="I799" i="1"/>
  <c r="J799" i="1"/>
  <c r="B800" i="1"/>
  <c r="C800" i="1"/>
  <c r="D800" i="1"/>
  <c r="E800" i="1"/>
  <c r="F800" i="1"/>
  <c r="G800" i="1"/>
  <c r="H800" i="1"/>
  <c r="I800" i="1"/>
  <c r="J800" i="1"/>
  <c r="B801" i="1"/>
  <c r="C801" i="1"/>
  <c r="D801" i="1"/>
  <c r="E801" i="1"/>
  <c r="F801" i="1"/>
  <c r="G801" i="1"/>
  <c r="H801" i="1"/>
  <c r="I801" i="1"/>
  <c r="J801" i="1"/>
  <c r="B802" i="1"/>
  <c r="C802" i="1"/>
  <c r="D802" i="1"/>
  <c r="E802" i="1"/>
  <c r="F802" i="1"/>
  <c r="G802" i="1"/>
  <c r="H802" i="1"/>
  <c r="I802" i="1"/>
  <c r="J802" i="1"/>
  <c r="B803" i="1"/>
  <c r="C803" i="1"/>
  <c r="D803" i="1"/>
  <c r="E803" i="1"/>
  <c r="F803" i="1"/>
  <c r="G803" i="1"/>
  <c r="H803" i="1"/>
  <c r="I803" i="1"/>
  <c r="J803" i="1"/>
  <c r="B804" i="1"/>
  <c r="C804" i="1"/>
  <c r="D804" i="1"/>
  <c r="E804" i="1"/>
  <c r="F804" i="1"/>
  <c r="G804" i="1"/>
  <c r="H804" i="1"/>
  <c r="I804" i="1"/>
  <c r="J804" i="1"/>
  <c r="B805" i="1"/>
  <c r="C805" i="1"/>
  <c r="D805" i="1"/>
  <c r="E805" i="1"/>
  <c r="F805" i="1"/>
  <c r="G805" i="1"/>
  <c r="H805" i="1"/>
  <c r="I805" i="1"/>
  <c r="J805" i="1"/>
  <c r="B806" i="1"/>
  <c r="C806" i="1"/>
  <c r="D806" i="1"/>
  <c r="E806" i="1"/>
  <c r="F806" i="1"/>
  <c r="G806" i="1"/>
  <c r="H806" i="1"/>
  <c r="I806" i="1"/>
  <c r="J806" i="1"/>
  <c r="B807" i="1"/>
  <c r="C807" i="1"/>
  <c r="D807" i="1"/>
  <c r="E807" i="1"/>
  <c r="F807" i="1"/>
  <c r="G807" i="1"/>
  <c r="H807" i="1"/>
  <c r="I807" i="1"/>
  <c r="J807" i="1"/>
  <c r="B808" i="1"/>
  <c r="C808" i="1"/>
  <c r="D808" i="1"/>
  <c r="E808" i="1"/>
  <c r="F808" i="1"/>
  <c r="G808" i="1"/>
  <c r="H808" i="1"/>
  <c r="I808" i="1"/>
  <c r="J808" i="1"/>
  <c r="B809" i="1"/>
  <c r="C809" i="1"/>
  <c r="D809" i="1"/>
  <c r="E809" i="1"/>
  <c r="F809" i="1"/>
  <c r="G809" i="1"/>
  <c r="H809" i="1"/>
  <c r="I809" i="1"/>
  <c r="J809" i="1"/>
  <c r="B810" i="1"/>
  <c r="C810" i="1"/>
  <c r="D810" i="1"/>
  <c r="E810" i="1"/>
  <c r="F810" i="1"/>
  <c r="G810" i="1"/>
  <c r="H810" i="1"/>
  <c r="I810" i="1"/>
  <c r="J810" i="1"/>
  <c r="B811" i="1"/>
  <c r="C811" i="1"/>
  <c r="D811" i="1"/>
  <c r="E811" i="1"/>
  <c r="F811" i="1"/>
  <c r="G811" i="1"/>
  <c r="H811" i="1"/>
  <c r="I811" i="1"/>
  <c r="J811" i="1"/>
  <c r="B812" i="1"/>
  <c r="C812" i="1"/>
  <c r="D812" i="1"/>
  <c r="E812" i="1"/>
  <c r="F812" i="1"/>
  <c r="G812" i="1"/>
  <c r="H812" i="1"/>
  <c r="I812" i="1"/>
  <c r="J812" i="1"/>
  <c r="B813" i="1"/>
  <c r="C813" i="1"/>
  <c r="D813" i="1"/>
  <c r="E813" i="1"/>
  <c r="F813" i="1"/>
  <c r="G813" i="1"/>
  <c r="H813" i="1"/>
  <c r="I813" i="1"/>
  <c r="J813" i="1"/>
  <c r="B814" i="1"/>
  <c r="C814" i="1"/>
  <c r="D814" i="1"/>
  <c r="E814" i="1"/>
  <c r="F814" i="1"/>
  <c r="G814" i="1"/>
  <c r="H814" i="1"/>
  <c r="I814" i="1"/>
  <c r="J814" i="1"/>
  <c r="B815" i="1"/>
  <c r="C815" i="1"/>
  <c r="D815" i="1"/>
  <c r="E815" i="1"/>
  <c r="F815" i="1"/>
  <c r="G815" i="1"/>
  <c r="H815" i="1"/>
  <c r="I815" i="1"/>
  <c r="J815" i="1"/>
  <c r="B816" i="1"/>
  <c r="C816" i="1"/>
  <c r="D816" i="1"/>
  <c r="E816" i="1"/>
  <c r="F816" i="1"/>
  <c r="G816" i="1"/>
  <c r="H816" i="1"/>
  <c r="I816" i="1"/>
  <c r="J816" i="1"/>
  <c r="B817" i="1"/>
  <c r="C817" i="1"/>
  <c r="D817" i="1"/>
  <c r="E817" i="1"/>
  <c r="F817" i="1"/>
  <c r="G817" i="1"/>
  <c r="H817" i="1"/>
  <c r="I817" i="1"/>
  <c r="J817" i="1"/>
  <c r="B818" i="1"/>
  <c r="C818" i="1"/>
  <c r="D818" i="1"/>
  <c r="E818" i="1"/>
  <c r="F818" i="1"/>
  <c r="G818" i="1"/>
  <c r="H818" i="1"/>
  <c r="I818" i="1"/>
  <c r="J818" i="1"/>
  <c r="B819" i="1"/>
  <c r="C819" i="1"/>
  <c r="D819" i="1"/>
  <c r="E819" i="1"/>
  <c r="F819" i="1"/>
  <c r="G819" i="1"/>
  <c r="H819" i="1"/>
  <c r="I819" i="1"/>
  <c r="J819" i="1"/>
  <c r="B820" i="1"/>
  <c r="C820" i="1"/>
  <c r="D820" i="1"/>
  <c r="E820" i="1"/>
  <c r="F820" i="1"/>
  <c r="G820" i="1"/>
  <c r="H820" i="1"/>
  <c r="I820" i="1"/>
  <c r="J820" i="1"/>
  <c r="B821" i="1"/>
  <c r="C821" i="1"/>
  <c r="D821" i="1"/>
  <c r="E821" i="1"/>
  <c r="F821" i="1"/>
  <c r="G821" i="1"/>
  <c r="H821" i="1"/>
  <c r="I821" i="1"/>
  <c r="J821" i="1"/>
  <c r="B822" i="1"/>
  <c r="C822" i="1"/>
  <c r="D822" i="1"/>
  <c r="E822" i="1"/>
  <c r="F822" i="1"/>
  <c r="G822" i="1"/>
  <c r="H822" i="1"/>
  <c r="I822" i="1"/>
  <c r="J822" i="1"/>
  <c r="B823" i="1"/>
  <c r="C823" i="1"/>
  <c r="D823" i="1"/>
  <c r="E823" i="1"/>
  <c r="F823" i="1"/>
  <c r="G823" i="1"/>
  <c r="H823" i="1"/>
  <c r="I823" i="1"/>
  <c r="J823" i="1"/>
  <c r="B824" i="1"/>
  <c r="C824" i="1"/>
  <c r="D824" i="1"/>
  <c r="E824" i="1"/>
  <c r="F824" i="1"/>
  <c r="G824" i="1"/>
  <c r="H824" i="1"/>
  <c r="I824" i="1"/>
  <c r="J824" i="1"/>
  <c r="B825" i="1"/>
  <c r="C825" i="1"/>
  <c r="D825" i="1"/>
  <c r="E825" i="1"/>
  <c r="F825" i="1"/>
  <c r="G825" i="1"/>
  <c r="H825" i="1"/>
  <c r="I825" i="1"/>
  <c r="J825" i="1"/>
  <c r="B826" i="1"/>
  <c r="C826" i="1"/>
  <c r="D826" i="1"/>
  <c r="E826" i="1"/>
  <c r="F826" i="1"/>
  <c r="G826" i="1"/>
  <c r="H826" i="1"/>
  <c r="I826" i="1"/>
  <c r="J826" i="1"/>
  <c r="B827" i="1"/>
  <c r="C827" i="1"/>
  <c r="D827" i="1"/>
  <c r="E827" i="1"/>
  <c r="F827" i="1"/>
  <c r="G827" i="1"/>
  <c r="H827" i="1"/>
  <c r="I827" i="1"/>
  <c r="J827" i="1"/>
  <c r="B828" i="1"/>
  <c r="C828" i="1"/>
  <c r="D828" i="1"/>
  <c r="E828" i="1"/>
  <c r="F828" i="1"/>
  <c r="G828" i="1"/>
  <c r="H828" i="1"/>
  <c r="I828" i="1"/>
  <c r="J828" i="1"/>
  <c r="B829" i="1"/>
  <c r="C829" i="1"/>
  <c r="D829" i="1"/>
  <c r="E829" i="1"/>
  <c r="F829" i="1"/>
  <c r="G829" i="1"/>
  <c r="H829" i="1"/>
  <c r="I829" i="1"/>
  <c r="J829" i="1"/>
  <c r="B830" i="1"/>
  <c r="C830" i="1"/>
  <c r="D830" i="1"/>
  <c r="E830" i="1"/>
  <c r="F830" i="1"/>
  <c r="G830" i="1"/>
  <c r="H830" i="1"/>
  <c r="I830" i="1"/>
  <c r="J830" i="1"/>
  <c r="B831" i="1"/>
  <c r="C831" i="1"/>
  <c r="D831" i="1"/>
  <c r="E831" i="1"/>
  <c r="F831" i="1"/>
  <c r="G831" i="1"/>
  <c r="H831" i="1"/>
  <c r="I831" i="1"/>
  <c r="J831" i="1"/>
  <c r="B832" i="1"/>
  <c r="C832" i="1"/>
  <c r="D832" i="1"/>
  <c r="E832" i="1"/>
  <c r="F832" i="1"/>
  <c r="G832" i="1"/>
  <c r="H832" i="1"/>
  <c r="I832" i="1"/>
  <c r="J832" i="1"/>
  <c r="B833" i="1"/>
  <c r="C833" i="1"/>
  <c r="D833" i="1"/>
  <c r="E833" i="1"/>
  <c r="F833" i="1"/>
  <c r="G833" i="1"/>
  <c r="H833" i="1"/>
  <c r="I833" i="1"/>
  <c r="J833" i="1"/>
  <c r="B834" i="1"/>
  <c r="C834" i="1"/>
  <c r="D834" i="1"/>
  <c r="E834" i="1"/>
  <c r="F834" i="1"/>
  <c r="G834" i="1"/>
  <c r="H834" i="1"/>
  <c r="I834" i="1"/>
  <c r="J834" i="1"/>
  <c r="B835" i="1"/>
  <c r="C835" i="1"/>
  <c r="D835" i="1"/>
  <c r="E835" i="1"/>
  <c r="F835" i="1"/>
  <c r="G835" i="1"/>
  <c r="H835" i="1"/>
  <c r="I835" i="1"/>
  <c r="J835" i="1"/>
  <c r="B836" i="1"/>
  <c r="C836" i="1"/>
  <c r="D836" i="1"/>
  <c r="E836" i="1"/>
  <c r="F836" i="1"/>
  <c r="G836" i="1"/>
  <c r="H836" i="1"/>
  <c r="I836" i="1"/>
  <c r="J836" i="1"/>
  <c r="B837" i="1"/>
  <c r="C837" i="1"/>
  <c r="D837" i="1"/>
  <c r="E837" i="1"/>
  <c r="F837" i="1"/>
  <c r="G837" i="1"/>
  <c r="H837" i="1"/>
  <c r="I837" i="1"/>
  <c r="J837" i="1"/>
  <c r="B838" i="1"/>
  <c r="C838" i="1"/>
  <c r="D838" i="1"/>
  <c r="E838" i="1"/>
  <c r="F838" i="1"/>
  <c r="G838" i="1"/>
  <c r="H838" i="1"/>
  <c r="I838" i="1"/>
  <c r="J838" i="1"/>
  <c r="B839" i="1"/>
  <c r="C839" i="1"/>
  <c r="D839" i="1"/>
  <c r="E839" i="1"/>
  <c r="F839" i="1"/>
  <c r="G839" i="1"/>
  <c r="H839" i="1"/>
  <c r="I839" i="1"/>
  <c r="J839" i="1"/>
  <c r="B840" i="1"/>
  <c r="C840" i="1"/>
  <c r="D840" i="1"/>
  <c r="E840" i="1"/>
  <c r="F840" i="1"/>
  <c r="G840" i="1"/>
  <c r="H840" i="1"/>
  <c r="I840" i="1"/>
  <c r="J840" i="1"/>
  <c r="B841" i="1"/>
  <c r="C841" i="1"/>
  <c r="D841" i="1"/>
  <c r="E841" i="1"/>
  <c r="F841" i="1"/>
  <c r="G841" i="1"/>
  <c r="H841" i="1"/>
  <c r="I841" i="1"/>
  <c r="J841" i="1"/>
  <c r="B842" i="1"/>
  <c r="C842" i="1"/>
  <c r="D842" i="1"/>
  <c r="E842" i="1"/>
  <c r="F842" i="1"/>
  <c r="G842" i="1"/>
  <c r="H842" i="1"/>
  <c r="I842" i="1"/>
  <c r="J842" i="1"/>
  <c r="B843" i="1"/>
  <c r="C843" i="1"/>
  <c r="D843" i="1"/>
  <c r="E843" i="1"/>
  <c r="F843" i="1"/>
  <c r="G843" i="1"/>
  <c r="H843" i="1"/>
  <c r="I843" i="1"/>
  <c r="J843" i="1"/>
  <c r="B844" i="1"/>
  <c r="C844" i="1"/>
  <c r="D844" i="1"/>
  <c r="E844" i="1"/>
  <c r="F844" i="1"/>
  <c r="G844" i="1"/>
  <c r="H844" i="1"/>
  <c r="I844" i="1"/>
  <c r="J844" i="1"/>
  <c r="B845" i="1"/>
  <c r="C845" i="1"/>
  <c r="D845" i="1"/>
  <c r="E845" i="1"/>
  <c r="F845" i="1"/>
  <c r="G845" i="1"/>
  <c r="H845" i="1"/>
  <c r="I845" i="1"/>
  <c r="J845" i="1"/>
  <c r="B846" i="1"/>
  <c r="C846" i="1"/>
  <c r="D846" i="1"/>
  <c r="E846" i="1"/>
  <c r="F846" i="1"/>
  <c r="G846" i="1"/>
  <c r="H846" i="1"/>
  <c r="I846" i="1"/>
  <c r="J846" i="1"/>
  <c r="B847" i="1"/>
  <c r="C847" i="1"/>
  <c r="D847" i="1"/>
  <c r="E847" i="1"/>
  <c r="F847" i="1"/>
  <c r="G847" i="1"/>
  <c r="H847" i="1"/>
  <c r="I847" i="1"/>
  <c r="J847" i="1"/>
  <c r="B848" i="1"/>
  <c r="C848" i="1"/>
  <c r="D848" i="1"/>
  <c r="E848" i="1"/>
  <c r="F848" i="1"/>
  <c r="G848" i="1"/>
  <c r="H848" i="1"/>
  <c r="I848" i="1"/>
  <c r="J848" i="1"/>
  <c r="B849" i="1"/>
  <c r="C849" i="1"/>
  <c r="D849" i="1"/>
  <c r="E849" i="1"/>
  <c r="F849" i="1"/>
  <c r="G849" i="1"/>
  <c r="H849" i="1"/>
  <c r="I849" i="1"/>
  <c r="J849" i="1"/>
  <c r="B850" i="1"/>
  <c r="C850" i="1"/>
  <c r="D850" i="1"/>
  <c r="E850" i="1"/>
  <c r="F850" i="1"/>
  <c r="G850" i="1"/>
  <c r="H850" i="1"/>
  <c r="I850" i="1"/>
  <c r="J850" i="1"/>
  <c r="B851" i="1"/>
  <c r="C851" i="1"/>
  <c r="D851" i="1"/>
  <c r="E851" i="1"/>
  <c r="F851" i="1"/>
  <c r="G851" i="1"/>
  <c r="H851" i="1"/>
  <c r="I851" i="1"/>
  <c r="J851" i="1"/>
  <c r="B852" i="1"/>
  <c r="C852" i="1"/>
  <c r="D852" i="1"/>
  <c r="E852" i="1"/>
  <c r="F852" i="1"/>
  <c r="G852" i="1"/>
  <c r="H852" i="1"/>
  <c r="I852" i="1"/>
  <c r="J852" i="1"/>
  <c r="B853" i="1"/>
  <c r="C853" i="1"/>
  <c r="D853" i="1"/>
  <c r="E853" i="1"/>
  <c r="F853" i="1"/>
  <c r="G853" i="1"/>
  <c r="H853" i="1"/>
  <c r="I853" i="1"/>
  <c r="J853" i="1"/>
  <c r="B854" i="1"/>
  <c r="C854" i="1"/>
  <c r="D854" i="1"/>
  <c r="E854" i="1"/>
  <c r="F854" i="1"/>
  <c r="G854" i="1"/>
  <c r="H854" i="1"/>
  <c r="I854" i="1"/>
  <c r="J854" i="1"/>
  <c r="B855" i="1"/>
  <c r="C855" i="1"/>
  <c r="D855" i="1"/>
  <c r="E855" i="1"/>
  <c r="F855" i="1"/>
  <c r="G855" i="1"/>
  <c r="H855" i="1"/>
  <c r="I855" i="1"/>
  <c r="J855" i="1"/>
  <c r="B856" i="1"/>
  <c r="C856" i="1"/>
  <c r="D856" i="1"/>
  <c r="E856" i="1"/>
  <c r="F856" i="1"/>
  <c r="G856" i="1"/>
  <c r="H856" i="1"/>
  <c r="I856" i="1"/>
  <c r="J856" i="1"/>
  <c r="B857" i="1"/>
  <c r="C857" i="1"/>
  <c r="D857" i="1"/>
  <c r="E857" i="1"/>
  <c r="F857" i="1"/>
  <c r="G857" i="1"/>
  <c r="H857" i="1"/>
  <c r="I857" i="1"/>
  <c r="J857" i="1"/>
  <c r="B858" i="1"/>
  <c r="C858" i="1"/>
  <c r="D858" i="1"/>
  <c r="E858" i="1"/>
  <c r="F858" i="1"/>
  <c r="G858" i="1"/>
  <c r="H858" i="1"/>
  <c r="I858" i="1"/>
  <c r="J858" i="1"/>
  <c r="B859" i="1"/>
  <c r="C859" i="1"/>
  <c r="D859" i="1"/>
  <c r="E859" i="1"/>
  <c r="F859" i="1"/>
  <c r="G859" i="1"/>
  <c r="H859" i="1"/>
  <c r="I859" i="1"/>
  <c r="J859" i="1"/>
  <c r="B860" i="1"/>
  <c r="C860" i="1"/>
  <c r="D860" i="1"/>
  <c r="E860" i="1"/>
  <c r="F860" i="1"/>
  <c r="G860" i="1"/>
  <c r="H860" i="1"/>
  <c r="I860" i="1"/>
  <c r="J860" i="1"/>
  <c r="B861" i="1"/>
  <c r="C861" i="1"/>
  <c r="D861" i="1"/>
  <c r="E861" i="1"/>
  <c r="F861" i="1"/>
  <c r="G861" i="1"/>
  <c r="H861" i="1"/>
  <c r="I861" i="1"/>
  <c r="J861" i="1"/>
  <c r="B862" i="1"/>
  <c r="C862" i="1"/>
  <c r="D862" i="1"/>
  <c r="E862" i="1"/>
  <c r="F862" i="1"/>
  <c r="G862" i="1"/>
  <c r="H862" i="1"/>
  <c r="I862" i="1"/>
  <c r="J862" i="1"/>
  <c r="B863" i="1"/>
  <c r="C863" i="1"/>
  <c r="D863" i="1"/>
  <c r="E863" i="1"/>
  <c r="F863" i="1"/>
  <c r="G863" i="1"/>
  <c r="H863" i="1"/>
  <c r="I863" i="1"/>
  <c r="J863" i="1"/>
  <c r="B864" i="1"/>
  <c r="C864" i="1"/>
  <c r="D864" i="1"/>
  <c r="E864" i="1"/>
  <c r="F864" i="1"/>
  <c r="G864" i="1"/>
  <c r="H864" i="1"/>
  <c r="I864" i="1"/>
  <c r="J864" i="1"/>
  <c r="B865" i="1"/>
  <c r="C865" i="1"/>
  <c r="D865" i="1"/>
  <c r="E865" i="1"/>
  <c r="F865" i="1"/>
  <c r="G865" i="1"/>
  <c r="H865" i="1"/>
  <c r="I865" i="1"/>
  <c r="J865" i="1"/>
  <c r="B866" i="1"/>
  <c r="C866" i="1"/>
  <c r="D866" i="1"/>
  <c r="E866" i="1"/>
  <c r="F866" i="1"/>
  <c r="G866" i="1"/>
  <c r="H866" i="1"/>
  <c r="I866" i="1"/>
  <c r="J866" i="1"/>
  <c r="B867" i="1"/>
  <c r="C867" i="1"/>
  <c r="D867" i="1"/>
  <c r="E867" i="1"/>
  <c r="F867" i="1"/>
  <c r="G867" i="1"/>
  <c r="H867" i="1"/>
  <c r="I867" i="1"/>
  <c r="J867" i="1"/>
  <c r="B868" i="1"/>
  <c r="C868" i="1"/>
  <c r="D868" i="1"/>
  <c r="E868" i="1"/>
  <c r="F868" i="1"/>
  <c r="G868" i="1"/>
  <c r="H868" i="1"/>
  <c r="I868" i="1"/>
  <c r="J868" i="1"/>
  <c r="B869" i="1"/>
  <c r="C869" i="1"/>
  <c r="D869" i="1"/>
  <c r="E869" i="1"/>
  <c r="F869" i="1"/>
  <c r="G869" i="1"/>
  <c r="H869" i="1"/>
  <c r="I869" i="1"/>
  <c r="J869" i="1"/>
  <c r="B870" i="1"/>
  <c r="C870" i="1"/>
  <c r="D870" i="1"/>
  <c r="E870" i="1"/>
  <c r="F870" i="1"/>
  <c r="G870" i="1"/>
  <c r="H870" i="1"/>
  <c r="I870" i="1"/>
  <c r="J870" i="1"/>
  <c r="B871" i="1"/>
  <c r="C871" i="1"/>
  <c r="D871" i="1"/>
  <c r="E871" i="1"/>
  <c r="F871" i="1"/>
  <c r="G871" i="1"/>
  <c r="H871" i="1"/>
  <c r="I871" i="1"/>
  <c r="J871" i="1"/>
  <c r="B872" i="1"/>
  <c r="C872" i="1"/>
  <c r="D872" i="1"/>
  <c r="E872" i="1"/>
  <c r="F872" i="1"/>
  <c r="G872" i="1"/>
  <c r="H872" i="1"/>
  <c r="I872" i="1"/>
  <c r="J872" i="1"/>
  <c r="B873" i="1"/>
  <c r="C873" i="1"/>
  <c r="D873" i="1"/>
  <c r="E873" i="1"/>
  <c r="F873" i="1"/>
  <c r="G873" i="1"/>
  <c r="H873" i="1"/>
  <c r="I873" i="1"/>
  <c r="J873" i="1"/>
  <c r="B874" i="1"/>
  <c r="C874" i="1"/>
  <c r="D874" i="1"/>
  <c r="E874" i="1"/>
  <c r="F874" i="1"/>
  <c r="G874" i="1"/>
  <c r="H874" i="1"/>
  <c r="I874" i="1"/>
  <c r="J874" i="1"/>
  <c r="B875" i="1"/>
  <c r="C875" i="1"/>
  <c r="D875" i="1"/>
  <c r="E875" i="1"/>
  <c r="F875" i="1"/>
  <c r="G875" i="1"/>
  <c r="H875" i="1"/>
  <c r="I875" i="1"/>
  <c r="J875" i="1"/>
  <c r="B876" i="1"/>
  <c r="C876" i="1"/>
  <c r="D876" i="1"/>
  <c r="E876" i="1"/>
  <c r="F876" i="1"/>
  <c r="G876" i="1"/>
  <c r="H876" i="1"/>
  <c r="I876" i="1"/>
  <c r="J876" i="1"/>
  <c r="B877" i="1"/>
  <c r="C877" i="1"/>
  <c r="D877" i="1"/>
  <c r="E877" i="1"/>
  <c r="F877" i="1"/>
  <c r="G877" i="1"/>
  <c r="H877" i="1"/>
  <c r="I877" i="1"/>
  <c r="J877" i="1"/>
  <c r="B878" i="1"/>
  <c r="C878" i="1"/>
  <c r="D878" i="1"/>
  <c r="E878" i="1"/>
  <c r="F878" i="1"/>
  <c r="G878" i="1"/>
  <c r="H878" i="1"/>
  <c r="I878" i="1"/>
  <c r="J878" i="1"/>
  <c r="B879" i="1"/>
  <c r="C879" i="1"/>
  <c r="D879" i="1"/>
  <c r="E879" i="1"/>
  <c r="F879" i="1"/>
  <c r="G879" i="1"/>
  <c r="H879" i="1"/>
  <c r="I879" i="1"/>
  <c r="J879" i="1"/>
  <c r="B880" i="1"/>
  <c r="C880" i="1"/>
  <c r="D880" i="1"/>
  <c r="E880" i="1"/>
  <c r="F880" i="1"/>
  <c r="G880" i="1"/>
  <c r="H880" i="1"/>
  <c r="I880" i="1"/>
  <c r="J880" i="1"/>
  <c r="B881" i="1"/>
  <c r="C881" i="1"/>
  <c r="D881" i="1"/>
  <c r="E881" i="1"/>
  <c r="F881" i="1"/>
  <c r="G881" i="1"/>
  <c r="H881" i="1"/>
  <c r="I881" i="1"/>
  <c r="J881" i="1"/>
  <c r="B882" i="1"/>
  <c r="C882" i="1"/>
  <c r="D882" i="1"/>
  <c r="E882" i="1"/>
  <c r="F882" i="1"/>
  <c r="G882" i="1"/>
  <c r="H882" i="1"/>
  <c r="I882" i="1"/>
  <c r="J882" i="1"/>
  <c r="B883" i="1"/>
  <c r="C883" i="1"/>
  <c r="D883" i="1"/>
  <c r="E883" i="1"/>
  <c r="F883" i="1"/>
  <c r="G883" i="1"/>
  <c r="H883" i="1"/>
  <c r="I883" i="1"/>
  <c r="J883" i="1"/>
  <c r="B884" i="1"/>
  <c r="C884" i="1"/>
  <c r="D884" i="1"/>
  <c r="E884" i="1"/>
  <c r="F884" i="1"/>
  <c r="G884" i="1"/>
  <c r="H884" i="1"/>
  <c r="I884" i="1"/>
  <c r="J884" i="1"/>
  <c r="B885" i="1"/>
  <c r="C885" i="1"/>
  <c r="D885" i="1"/>
  <c r="E885" i="1"/>
  <c r="F885" i="1"/>
  <c r="G885" i="1"/>
  <c r="H885" i="1"/>
  <c r="I885" i="1"/>
  <c r="J885" i="1"/>
  <c r="B886" i="1"/>
  <c r="C886" i="1"/>
  <c r="D886" i="1"/>
  <c r="E886" i="1"/>
  <c r="F886" i="1"/>
  <c r="G886" i="1"/>
  <c r="H886" i="1"/>
  <c r="I886" i="1"/>
  <c r="J886" i="1"/>
  <c r="B887" i="1"/>
  <c r="C887" i="1"/>
  <c r="D887" i="1"/>
  <c r="E887" i="1"/>
  <c r="F887" i="1"/>
  <c r="G887" i="1"/>
  <c r="H887" i="1"/>
  <c r="I887" i="1"/>
  <c r="J887" i="1"/>
  <c r="B888" i="1"/>
  <c r="C888" i="1"/>
  <c r="D888" i="1"/>
  <c r="E888" i="1"/>
  <c r="F888" i="1"/>
  <c r="G888" i="1"/>
  <c r="H888" i="1"/>
  <c r="I888" i="1"/>
  <c r="J888" i="1"/>
  <c r="B889" i="1"/>
  <c r="C889" i="1"/>
  <c r="D889" i="1"/>
  <c r="E889" i="1"/>
  <c r="F889" i="1"/>
  <c r="G889" i="1"/>
  <c r="H889" i="1"/>
  <c r="I889" i="1"/>
  <c r="J889" i="1"/>
  <c r="B890" i="1"/>
  <c r="C890" i="1"/>
  <c r="D890" i="1"/>
  <c r="E890" i="1"/>
  <c r="F890" i="1"/>
  <c r="G890" i="1"/>
  <c r="H890" i="1"/>
  <c r="I890" i="1"/>
  <c r="J890" i="1"/>
  <c r="B891" i="1"/>
  <c r="C891" i="1"/>
  <c r="D891" i="1"/>
  <c r="E891" i="1"/>
  <c r="F891" i="1"/>
  <c r="G891" i="1"/>
  <c r="H891" i="1"/>
  <c r="I891" i="1"/>
  <c r="J891" i="1"/>
  <c r="B892" i="1"/>
  <c r="C892" i="1"/>
  <c r="D892" i="1"/>
  <c r="E892" i="1"/>
  <c r="F892" i="1"/>
  <c r="G892" i="1"/>
  <c r="H892" i="1"/>
  <c r="I892" i="1"/>
  <c r="J892" i="1"/>
  <c r="B893" i="1"/>
  <c r="C893" i="1"/>
  <c r="D893" i="1"/>
  <c r="E893" i="1"/>
  <c r="F893" i="1"/>
  <c r="G893" i="1"/>
  <c r="H893" i="1"/>
  <c r="I893" i="1"/>
  <c r="J893" i="1"/>
  <c r="B894" i="1"/>
  <c r="C894" i="1"/>
  <c r="D894" i="1"/>
  <c r="E894" i="1"/>
  <c r="F894" i="1"/>
  <c r="G894" i="1"/>
  <c r="H894" i="1"/>
  <c r="I894" i="1"/>
  <c r="J894" i="1"/>
  <c r="B895" i="1"/>
  <c r="C895" i="1"/>
  <c r="D895" i="1"/>
  <c r="E895" i="1"/>
  <c r="F895" i="1"/>
  <c r="G895" i="1"/>
  <c r="H895" i="1"/>
  <c r="I895" i="1"/>
  <c r="J895" i="1"/>
  <c r="B896" i="1"/>
  <c r="C896" i="1"/>
  <c r="D896" i="1"/>
  <c r="E896" i="1"/>
  <c r="F896" i="1"/>
  <c r="G896" i="1"/>
  <c r="H896" i="1"/>
  <c r="I896" i="1"/>
  <c r="J896" i="1"/>
  <c r="B897" i="1"/>
  <c r="C897" i="1"/>
  <c r="D897" i="1"/>
  <c r="E897" i="1"/>
  <c r="F897" i="1"/>
  <c r="G897" i="1"/>
  <c r="H897" i="1"/>
  <c r="I897" i="1"/>
  <c r="J897" i="1"/>
  <c r="B898" i="1"/>
  <c r="C898" i="1"/>
  <c r="D898" i="1"/>
  <c r="E898" i="1"/>
  <c r="F898" i="1"/>
  <c r="G898" i="1"/>
  <c r="H898" i="1"/>
  <c r="I898" i="1"/>
  <c r="J898" i="1"/>
  <c r="B899" i="1"/>
  <c r="C899" i="1"/>
  <c r="D899" i="1"/>
  <c r="E899" i="1"/>
  <c r="F899" i="1"/>
  <c r="G899" i="1"/>
  <c r="H899" i="1"/>
  <c r="I899" i="1"/>
  <c r="J899" i="1"/>
  <c r="B900" i="1"/>
  <c r="C900" i="1"/>
  <c r="D900" i="1"/>
  <c r="E900" i="1"/>
  <c r="F900" i="1"/>
  <c r="G900" i="1"/>
  <c r="H900" i="1"/>
  <c r="I900" i="1"/>
  <c r="J900" i="1"/>
  <c r="B901" i="1"/>
  <c r="C901" i="1"/>
  <c r="D901" i="1"/>
  <c r="E901" i="1"/>
  <c r="F901" i="1"/>
  <c r="G901" i="1"/>
  <c r="H901" i="1"/>
  <c r="I901" i="1"/>
  <c r="J901" i="1"/>
  <c r="B902" i="1"/>
  <c r="C902" i="1"/>
  <c r="D902" i="1"/>
  <c r="E902" i="1"/>
  <c r="F902" i="1"/>
  <c r="G902" i="1"/>
  <c r="H902" i="1"/>
  <c r="I902" i="1"/>
  <c r="J902" i="1"/>
  <c r="B903" i="1"/>
  <c r="C903" i="1"/>
  <c r="D903" i="1"/>
  <c r="E903" i="1"/>
  <c r="F903" i="1"/>
  <c r="G903" i="1"/>
  <c r="H903" i="1"/>
  <c r="I903" i="1"/>
  <c r="J903" i="1"/>
  <c r="B904" i="1"/>
  <c r="C904" i="1"/>
  <c r="D904" i="1"/>
  <c r="E904" i="1"/>
  <c r="F904" i="1"/>
  <c r="G904" i="1"/>
  <c r="H904" i="1"/>
  <c r="I904" i="1"/>
  <c r="J904" i="1"/>
  <c r="B905" i="1"/>
  <c r="C905" i="1"/>
  <c r="D905" i="1"/>
  <c r="E905" i="1"/>
  <c r="F905" i="1"/>
  <c r="G905" i="1"/>
  <c r="H905" i="1"/>
  <c r="I905" i="1"/>
  <c r="J905" i="1"/>
  <c r="B906" i="1"/>
  <c r="C906" i="1"/>
  <c r="D906" i="1"/>
  <c r="E906" i="1"/>
  <c r="F906" i="1"/>
  <c r="G906" i="1"/>
  <c r="H906" i="1"/>
  <c r="I906" i="1"/>
  <c r="J906" i="1"/>
  <c r="B907" i="1"/>
  <c r="C907" i="1"/>
  <c r="D907" i="1"/>
  <c r="E907" i="1"/>
  <c r="F907" i="1"/>
  <c r="G907" i="1"/>
  <c r="H907" i="1"/>
  <c r="I907" i="1"/>
  <c r="J907" i="1"/>
  <c r="B908" i="1"/>
  <c r="C908" i="1"/>
  <c r="D908" i="1"/>
  <c r="E908" i="1"/>
  <c r="F908" i="1"/>
  <c r="G908" i="1"/>
  <c r="H908" i="1"/>
  <c r="I908" i="1"/>
  <c r="J908" i="1"/>
  <c r="B909" i="1"/>
  <c r="C909" i="1"/>
  <c r="D909" i="1"/>
  <c r="E909" i="1"/>
  <c r="F909" i="1"/>
  <c r="G909" i="1"/>
  <c r="H909" i="1"/>
  <c r="I909" i="1"/>
  <c r="J909" i="1"/>
  <c r="B910" i="1"/>
  <c r="C910" i="1"/>
  <c r="D910" i="1"/>
  <c r="E910" i="1"/>
  <c r="F910" i="1"/>
  <c r="G910" i="1"/>
  <c r="H910" i="1"/>
  <c r="I910" i="1"/>
  <c r="J910" i="1"/>
  <c r="B911" i="1"/>
  <c r="C911" i="1"/>
  <c r="D911" i="1"/>
  <c r="E911" i="1"/>
  <c r="F911" i="1"/>
  <c r="G911" i="1"/>
  <c r="H911" i="1"/>
  <c r="I911" i="1"/>
  <c r="J911" i="1"/>
  <c r="B912" i="1"/>
  <c r="C912" i="1"/>
  <c r="D912" i="1"/>
  <c r="E912" i="1"/>
  <c r="F912" i="1"/>
  <c r="G912" i="1"/>
  <c r="H912" i="1"/>
  <c r="I912" i="1"/>
  <c r="J912" i="1"/>
  <c r="B913" i="1"/>
  <c r="C913" i="1"/>
  <c r="D913" i="1"/>
  <c r="E913" i="1"/>
  <c r="F913" i="1"/>
  <c r="G913" i="1"/>
  <c r="H913" i="1"/>
  <c r="I913" i="1"/>
  <c r="J913" i="1"/>
  <c r="B914" i="1"/>
  <c r="C914" i="1"/>
  <c r="D914" i="1"/>
  <c r="E914" i="1"/>
  <c r="F914" i="1"/>
  <c r="G914" i="1"/>
  <c r="H914" i="1"/>
  <c r="I914" i="1"/>
  <c r="J914" i="1"/>
  <c r="B915" i="1"/>
  <c r="C915" i="1"/>
  <c r="D915" i="1"/>
  <c r="E915" i="1"/>
  <c r="F915" i="1"/>
  <c r="G915" i="1"/>
  <c r="H915" i="1"/>
  <c r="I915" i="1"/>
  <c r="J915" i="1"/>
  <c r="B916" i="1"/>
  <c r="C916" i="1"/>
  <c r="D916" i="1"/>
  <c r="E916" i="1"/>
  <c r="F916" i="1"/>
  <c r="G916" i="1"/>
  <c r="H916" i="1"/>
  <c r="I916" i="1"/>
  <c r="J916" i="1"/>
  <c r="B917" i="1"/>
  <c r="C917" i="1"/>
  <c r="D917" i="1"/>
  <c r="E917" i="1"/>
  <c r="F917" i="1"/>
  <c r="G917" i="1"/>
  <c r="H917" i="1"/>
  <c r="I917" i="1"/>
  <c r="J917" i="1"/>
  <c r="B918" i="1"/>
  <c r="C918" i="1"/>
  <c r="D918" i="1"/>
  <c r="E918" i="1"/>
  <c r="F918" i="1"/>
  <c r="G918" i="1"/>
  <c r="H918" i="1"/>
  <c r="I918" i="1"/>
  <c r="J918" i="1"/>
  <c r="B919" i="1"/>
  <c r="C919" i="1"/>
  <c r="D919" i="1"/>
  <c r="E919" i="1"/>
  <c r="F919" i="1"/>
  <c r="G919" i="1"/>
  <c r="H919" i="1"/>
  <c r="I919" i="1"/>
  <c r="J919" i="1"/>
  <c r="B920" i="1"/>
  <c r="C920" i="1"/>
  <c r="D920" i="1"/>
  <c r="E920" i="1"/>
  <c r="F920" i="1"/>
  <c r="G920" i="1"/>
  <c r="H920" i="1"/>
  <c r="I920" i="1"/>
  <c r="J920" i="1"/>
  <c r="B921" i="1"/>
  <c r="C921" i="1"/>
  <c r="D921" i="1"/>
  <c r="E921" i="1"/>
  <c r="F921" i="1"/>
  <c r="G921" i="1"/>
  <c r="H921" i="1"/>
  <c r="I921" i="1"/>
  <c r="J921" i="1"/>
  <c r="B922" i="1"/>
  <c r="C922" i="1"/>
  <c r="D922" i="1"/>
  <c r="E922" i="1"/>
  <c r="F922" i="1"/>
  <c r="G922" i="1"/>
  <c r="H922" i="1"/>
  <c r="I922" i="1"/>
  <c r="J922" i="1"/>
  <c r="B923" i="1"/>
  <c r="C923" i="1"/>
  <c r="D923" i="1"/>
  <c r="E923" i="1"/>
  <c r="F923" i="1"/>
  <c r="G923" i="1"/>
  <c r="H923" i="1"/>
  <c r="I923" i="1"/>
  <c r="J923" i="1"/>
  <c r="B924" i="1"/>
  <c r="C924" i="1"/>
  <c r="D924" i="1"/>
  <c r="E924" i="1"/>
  <c r="F924" i="1"/>
  <c r="G924" i="1"/>
  <c r="H924" i="1"/>
  <c r="I924" i="1"/>
  <c r="J924" i="1"/>
  <c r="B925" i="1"/>
  <c r="C925" i="1"/>
  <c r="D925" i="1"/>
  <c r="E925" i="1"/>
  <c r="F925" i="1"/>
  <c r="G925" i="1"/>
  <c r="H925" i="1"/>
  <c r="I925" i="1"/>
  <c r="J925" i="1"/>
  <c r="B926" i="1"/>
  <c r="C926" i="1"/>
  <c r="D926" i="1"/>
  <c r="E926" i="1"/>
  <c r="F926" i="1"/>
  <c r="G926" i="1"/>
  <c r="H926" i="1"/>
  <c r="I926" i="1"/>
  <c r="J926" i="1"/>
  <c r="B927" i="1"/>
  <c r="C927" i="1"/>
  <c r="D927" i="1"/>
  <c r="E927" i="1"/>
  <c r="F927" i="1"/>
  <c r="G927" i="1"/>
  <c r="H927" i="1"/>
  <c r="I927" i="1"/>
  <c r="J927" i="1"/>
  <c r="B928" i="1"/>
  <c r="C928" i="1"/>
  <c r="D928" i="1"/>
  <c r="E928" i="1"/>
  <c r="F928" i="1"/>
  <c r="G928" i="1"/>
  <c r="H928" i="1"/>
  <c r="I928" i="1"/>
  <c r="J928" i="1"/>
  <c r="B929" i="1"/>
  <c r="C929" i="1"/>
  <c r="D929" i="1"/>
  <c r="E929" i="1"/>
  <c r="F929" i="1"/>
  <c r="G929" i="1"/>
  <c r="H929" i="1"/>
  <c r="I929" i="1"/>
  <c r="J929" i="1"/>
  <c r="B930" i="1"/>
  <c r="C930" i="1"/>
  <c r="D930" i="1"/>
  <c r="E930" i="1"/>
  <c r="F930" i="1"/>
  <c r="G930" i="1"/>
  <c r="H930" i="1"/>
  <c r="I930" i="1"/>
  <c r="J930" i="1"/>
  <c r="B931" i="1"/>
  <c r="C931" i="1"/>
  <c r="D931" i="1"/>
  <c r="E931" i="1"/>
  <c r="F931" i="1"/>
  <c r="G931" i="1"/>
  <c r="H931" i="1"/>
  <c r="I931" i="1"/>
  <c r="J931" i="1"/>
  <c r="B932" i="1"/>
  <c r="C932" i="1"/>
  <c r="D932" i="1"/>
  <c r="E932" i="1"/>
  <c r="F932" i="1"/>
  <c r="G932" i="1"/>
  <c r="H932" i="1"/>
  <c r="I932" i="1"/>
  <c r="J932" i="1"/>
  <c r="B933" i="1"/>
  <c r="C933" i="1"/>
  <c r="D933" i="1"/>
  <c r="E933" i="1"/>
  <c r="F933" i="1"/>
  <c r="G933" i="1"/>
  <c r="H933" i="1"/>
  <c r="I933" i="1"/>
  <c r="J933" i="1"/>
  <c r="B934" i="1"/>
  <c r="C934" i="1"/>
  <c r="D934" i="1"/>
  <c r="E934" i="1"/>
  <c r="F934" i="1"/>
  <c r="G934" i="1"/>
  <c r="H934" i="1"/>
  <c r="I934" i="1"/>
  <c r="J934" i="1"/>
  <c r="B935" i="1"/>
  <c r="C935" i="1"/>
  <c r="D935" i="1"/>
  <c r="E935" i="1"/>
  <c r="F935" i="1"/>
  <c r="G935" i="1"/>
  <c r="H935" i="1"/>
  <c r="I935" i="1"/>
  <c r="J935" i="1"/>
  <c r="B936" i="1"/>
  <c r="C936" i="1"/>
  <c r="D936" i="1"/>
  <c r="E936" i="1"/>
  <c r="F936" i="1"/>
  <c r="G936" i="1"/>
  <c r="H936" i="1"/>
  <c r="I936" i="1"/>
  <c r="J936" i="1"/>
  <c r="B937" i="1"/>
  <c r="C937" i="1"/>
  <c r="D937" i="1"/>
  <c r="E937" i="1"/>
  <c r="F937" i="1"/>
  <c r="G937" i="1"/>
  <c r="H937" i="1"/>
  <c r="I937" i="1"/>
  <c r="J937" i="1"/>
  <c r="B938" i="1"/>
  <c r="C938" i="1"/>
  <c r="D938" i="1"/>
  <c r="E938" i="1"/>
  <c r="F938" i="1"/>
  <c r="G938" i="1"/>
  <c r="H938" i="1"/>
  <c r="I938" i="1"/>
  <c r="J938" i="1"/>
  <c r="B939" i="1"/>
  <c r="C939" i="1"/>
  <c r="D939" i="1"/>
  <c r="E939" i="1"/>
  <c r="F939" i="1"/>
  <c r="G939" i="1"/>
  <c r="H939" i="1"/>
  <c r="I939" i="1"/>
  <c r="J939" i="1"/>
  <c r="B940" i="1"/>
  <c r="C940" i="1"/>
  <c r="D940" i="1"/>
  <c r="E940" i="1"/>
  <c r="F940" i="1"/>
  <c r="G940" i="1"/>
  <c r="H940" i="1"/>
  <c r="I940" i="1"/>
  <c r="J940" i="1"/>
  <c r="B941" i="1"/>
  <c r="C941" i="1"/>
  <c r="D941" i="1"/>
  <c r="E941" i="1"/>
  <c r="F941" i="1"/>
  <c r="G941" i="1"/>
  <c r="H941" i="1"/>
  <c r="I941" i="1"/>
  <c r="J941" i="1"/>
  <c r="B942" i="1"/>
  <c r="C942" i="1"/>
  <c r="D942" i="1"/>
  <c r="E942" i="1"/>
  <c r="F942" i="1"/>
  <c r="G942" i="1"/>
  <c r="H942" i="1"/>
  <c r="I942" i="1"/>
  <c r="J942" i="1"/>
  <c r="B943" i="1"/>
  <c r="C943" i="1"/>
  <c r="D943" i="1"/>
  <c r="E943" i="1"/>
  <c r="F943" i="1"/>
  <c r="G943" i="1"/>
  <c r="H943" i="1"/>
  <c r="I943" i="1"/>
  <c r="J943" i="1"/>
  <c r="B944" i="1"/>
  <c r="C944" i="1"/>
  <c r="D944" i="1"/>
  <c r="E944" i="1"/>
  <c r="F944" i="1"/>
  <c r="G944" i="1"/>
  <c r="H944" i="1"/>
  <c r="I944" i="1"/>
  <c r="J944" i="1"/>
  <c r="B945" i="1"/>
  <c r="C945" i="1"/>
  <c r="D945" i="1"/>
  <c r="E945" i="1"/>
  <c r="F945" i="1"/>
  <c r="G945" i="1"/>
  <c r="H945" i="1"/>
  <c r="I945" i="1"/>
  <c r="J945" i="1"/>
  <c r="B946" i="1"/>
  <c r="C946" i="1"/>
  <c r="D946" i="1"/>
  <c r="E946" i="1"/>
  <c r="F946" i="1"/>
  <c r="G946" i="1"/>
  <c r="H946" i="1"/>
  <c r="I946" i="1"/>
  <c r="J946" i="1"/>
  <c r="B947" i="1"/>
  <c r="C947" i="1"/>
  <c r="D947" i="1"/>
  <c r="E947" i="1"/>
  <c r="F947" i="1"/>
  <c r="G947" i="1"/>
  <c r="H947" i="1"/>
  <c r="I947" i="1"/>
  <c r="J947" i="1"/>
  <c r="B948" i="1"/>
  <c r="C948" i="1"/>
  <c r="D948" i="1"/>
  <c r="E948" i="1"/>
  <c r="F948" i="1"/>
  <c r="G948" i="1"/>
  <c r="H948" i="1"/>
  <c r="I948" i="1"/>
  <c r="J948" i="1"/>
  <c r="B949" i="1"/>
  <c r="C949" i="1"/>
  <c r="D949" i="1"/>
  <c r="E949" i="1"/>
  <c r="F949" i="1"/>
  <c r="G949" i="1"/>
  <c r="H949" i="1"/>
  <c r="I949" i="1"/>
  <c r="J949" i="1"/>
  <c r="B950" i="1"/>
  <c r="C950" i="1"/>
  <c r="D950" i="1"/>
  <c r="E950" i="1"/>
  <c r="F950" i="1"/>
  <c r="G950" i="1"/>
  <c r="H950" i="1"/>
  <c r="I950" i="1"/>
  <c r="J950" i="1"/>
  <c r="B951" i="1"/>
  <c r="C951" i="1"/>
  <c r="D951" i="1"/>
  <c r="E951" i="1"/>
  <c r="F951" i="1"/>
  <c r="G951" i="1"/>
  <c r="H951" i="1"/>
  <c r="I951" i="1"/>
  <c r="J951" i="1"/>
  <c r="B952" i="1"/>
  <c r="C952" i="1"/>
  <c r="D952" i="1"/>
  <c r="E952" i="1"/>
  <c r="F952" i="1"/>
  <c r="G952" i="1"/>
  <c r="H952" i="1"/>
  <c r="I952" i="1"/>
  <c r="J952" i="1"/>
  <c r="B953" i="1"/>
  <c r="C953" i="1"/>
  <c r="D953" i="1"/>
  <c r="E953" i="1"/>
  <c r="F953" i="1"/>
  <c r="G953" i="1"/>
  <c r="H953" i="1"/>
  <c r="I953" i="1"/>
  <c r="J953" i="1"/>
  <c r="B954" i="1"/>
  <c r="C954" i="1"/>
  <c r="D954" i="1"/>
  <c r="E954" i="1"/>
  <c r="F954" i="1"/>
  <c r="G954" i="1"/>
  <c r="H954" i="1"/>
  <c r="I954" i="1"/>
  <c r="J954" i="1"/>
  <c r="B955" i="1"/>
  <c r="C955" i="1"/>
  <c r="D955" i="1"/>
  <c r="E955" i="1"/>
  <c r="F955" i="1"/>
  <c r="G955" i="1"/>
  <c r="H955" i="1"/>
  <c r="I955" i="1"/>
  <c r="J955" i="1"/>
  <c r="B956" i="1"/>
  <c r="C956" i="1"/>
  <c r="D956" i="1"/>
  <c r="E956" i="1"/>
  <c r="F956" i="1"/>
  <c r="G956" i="1"/>
  <c r="H956" i="1"/>
  <c r="I956" i="1"/>
  <c r="J956" i="1"/>
  <c r="B957" i="1"/>
  <c r="C957" i="1"/>
  <c r="D957" i="1"/>
  <c r="E957" i="1"/>
  <c r="F957" i="1"/>
  <c r="G957" i="1"/>
  <c r="H957" i="1"/>
  <c r="I957" i="1"/>
  <c r="J957" i="1"/>
  <c r="B958" i="1"/>
  <c r="C958" i="1"/>
  <c r="D958" i="1"/>
  <c r="E958" i="1"/>
  <c r="F958" i="1"/>
  <c r="G958" i="1"/>
  <c r="H958" i="1"/>
  <c r="I958" i="1"/>
  <c r="J958" i="1"/>
  <c r="B959" i="1"/>
  <c r="C959" i="1"/>
  <c r="D959" i="1"/>
  <c r="E959" i="1"/>
  <c r="F959" i="1"/>
  <c r="G959" i="1"/>
  <c r="H959" i="1"/>
  <c r="I959" i="1"/>
  <c r="J959" i="1"/>
  <c r="B960" i="1"/>
  <c r="C960" i="1"/>
  <c r="D960" i="1"/>
  <c r="E960" i="1"/>
  <c r="F960" i="1"/>
  <c r="G960" i="1"/>
  <c r="H960" i="1"/>
  <c r="I960" i="1"/>
  <c r="J960" i="1"/>
  <c r="B961" i="1"/>
  <c r="C961" i="1"/>
  <c r="D961" i="1"/>
  <c r="E961" i="1"/>
  <c r="F961" i="1"/>
  <c r="G961" i="1"/>
  <c r="H961" i="1"/>
  <c r="I961" i="1"/>
  <c r="J961" i="1"/>
  <c r="B962" i="1"/>
  <c r="C962" i="1"/>
  <c r="D962" i="1"/>
  <c r="E962" i="1"/>
  <c r="F962" i="1"/>
  <c r="G962" i="1"/>
  <c r="H962" i="1"/>
  <c r="I962" i="1"/>
  <c r="J962" i="1"/>
  <c r="B963" i="1"/>
  <c r="C963" i="1"/>
  <c r="D963" i="1"/>
  <c r="E963" i="1"/>
  <c r="F963" i="1"/>
  <c r="G963" i="1"/>
  <c r="H963" i="1"/>
  <c r="I963" i="1"/>
  <c r="J963" i="1"/>
  <c r="B964" i="1"/>
  <c r="C964" i="1"/>
  <c r="D964" i="1"/>
  <c r="E964" i="1"/>
  <c r="F964" i="1"/>
  <c r="G964" i="1"/>
  <c r="H964" i="1"/>
  <c r="I964" i="1"/>
  <c r="J964" i="1"/>
  <c r="B965" i="1"/>
  <c r="C965" i="1"/>
  <c r="D965" i="1"/>
  <c r="E965" i="1"/>
  <c r="F965" i="1"/>
  <c r="G965" i="1"/>
  <c r="H965" i="1"/>
  <c r="I965" i="1"/>
  <c r="J965" i="1"/>
  <c r="B966" i="1"/>
  <c r="C966" i="1"/>
  <c r="D966" i="1"/>
  <c r="E966" i="1"/>
  <c r="F966" i="1"/>
  <c r="G966" i="1"/>
  <c r="H966" i="1"/>
  <c r="I966" i="1"/>
  <c r="J966" i="1"/>
  <c r="B967" i="1"/>
  <c r="C967" i="1"/>
  <c r="D967" i="1"/>
  <c r="E967" i="1"/>
  <c r="F967" i="1"/>
  <c r="G967" i="1"/>
  <c r="H967" i="1"/>
  <c r="I967" i="1"/>
  <c r="J967" i="1"/>
  <c r="B968" i="1"/>
  <c r="C968" i="1"/>
  <c r="D968" i="1"/>
  <c r="E968" i="1"/>
  <c r="F968" i="1"/>
  <c r="G968" i="1"/>
  <c r="H968" i="1"/>
  <c r="I968" i="1"/>
  <c r="J968" i="1"/>
  <c r="B969" i="1"/>
  <c r="C969" i="1"/>
  <c r="D969" i="1"/>
  <c r="E969" i="1"/>
  <c r="F969" i="1"/>
  <c r="G969" i="1"/>
  <c r="H969" i="1"/>
  <c r="I969" i="1"/>
  <c r="J969" i="1"/>
  <c r="B970" i="1"/>
  <c r="C970" i="1"/>
  <c r="D970" i="1"/>
  <c r="E970" i="1"/>
  <c r="F970" i="1"/>
  <c r="G970" i="1"/>
  <c r="H970" i="1"/>
  <c r="I970" i="1"/>
  <c r="J970" i="1"/>
  <c r="B971" i="1"/>
  <c r="C971" i="1"/>
  <c r="D971" i="1"/>
  <c r="E971" i="1"/>
  <c r="F971" i="1"/>
  <c r="G971" i="1"/>
  <c r="H971" i="1"/>
  <c r="I971" i="1"/>
  <c r="J971" i="1"/>
  <c r="B972" i="1"/>
  <c r="C972" i="1"/>
  <c r="D972" i="1"/>
  <c r="E972" i="1"/>
  <c r="F972" i="1"/>
  <c r="G972" i="1"/>
  <c r="H972" i="1"/>
  <c r="I972" i="1"/>
  <c r="J972" i="1"/>
  <c r="B973" i="1"/>
  <c r="C973" i="1"/>
  <c r="D973" i="1"/>
  <c r="E973" i="1"/>
  <c r="F973" i="1"/>
  <c r="G973" i="1"/>
  <c r="H973" i="1"/>
  <c r="I973" i="1"/>
  <c r="J973" i="1"/>
  <c r="B974" i="1"/>
  <c r="C974" i="1"/>
  <c r="D974" i="1"/>
  <c r="E974" i="1"/>
  <c r="F974" i="1"/>
  <c r="G974" i="1"/>
  <c r="H974" i="1"/>
  <c r="I974" i="1"/>
  <c r="J974" i="1"/>
  <c r="B975" i="1"/>
  <c r="C975" i="1"/>
  <c r="D975" i="1"/>
  <c r="E975" i="1"/>
  <c r="F975" i="1"/>
  <c r="G975" i="1"/>
  <c r="H975" i="1"/>
  <c r="I975" i="1"/>
  <c r="J975" i="1"/>
  <c r="B976" i="1"/>
  <c r="C976" i="1"/>
  <c r="D976" i="1"/>
  <c r="E976" i="1"/>
  <c r="F976" i="1"/>
  <c r="G976" i="1"/>
  <c r="H976" i="1"/>
  <c r="I976" i="1"/>
  <c r="J976" i="1"/>
  <c r="B977" i="1"/>
  <c r="C977" i="1"/>
  <c r="D977" i="1"/>
  <c r="E977" i="1"/>
  <c r="F977" i="1"/>
  <c r="G977" i="1"/>
  <c r="H977" i="1"/>
  <c r="I977" i="1"/>
  <c r="J977" i="1"/>
  <c r="B978" i="1"/>
  <c r="C978" i="1"/>
  <c r="D978" i="1"/>
  <c r="E978" i="1"/>
  <c r="F978" i="1"/>
  <c r="G978" i="1"/>
  <c r="H978" i="1"/>
  <c r="I978" i="1"/>
  <c r="J978" i="1"/>
  <c r="B979" i="1"/>
  <c r="C979" i="1"/>
  <c r="D979" i="1"/>
  <c r="E979" i="1"/>
  <c r="F979" i="1"/>
  <c r="G979" i="1"/>
  <c r="H979" i="1"/>
  <c r="I979" i="1"/>
  <c r="J979" i="1"/>
  <c r="B980" i="1"/>
  <c r="C980" i="1"/>
  <c r="D980" i="1"/>
  <c r="E980" i="1"/>
  <c r="F980" i="1"/>
  <c r="G980" i="1"/>
  <c r="H980" i="1"/>
  <c r="I980" i="1"/>
  <c r="J980" i="1"/>
  <c r="B981" i="1"/>
  <c r="C981" i="1"/>
  <c r="D981" i="1"/>
  <c r="E981" i="1"/>
  <c r="F981" i="1"/>
  <c r="G981" i="1"/>
  <c r="H981" i="1"/>
  <c r="I981" i="1"/>
  <c r="J981" i="1"/>
  <c r="B982" i="1"/>
  <c r="C982" i="1"/>
  <c r="D982" i="1"/>
  <c r="E982" i="1"/>
  <c r="F982" i="1"/>
  <c r="G982" i="1"/>
  <c r="H982" i="1"/>
  <c r="I982" i="1"/>
  <c r="J982" i="1"/>
  <c r="B983" i="1"/>
  <c r="C983" i="1"/>
  <c r="D983" i="1"/>
  <c r="E983" i="1"/>
  <c r="F983" i="1"/>
  <c r="G983" i="1"/>
  <c r="H983" i="1"/>
  <c r="I983" i="1"/>
  <c r="J983" i="1"/>
  <c r="B984" i="1"/>
  <c r="C984" i="1"/>
  <c r="D984" i="1"/>
  <c r="E984" i="1"/>
  <c r="F984" i="1"/>
  <c r="G984" i="1"/>
  <c r="H984" i="1"/>
  <c r="I984" i="1"/>
  <c r="J984" i="1"/>
  <c r="B985" i="1"/>
  <c r="C985" i="1"/>
  <c r="D985" i="1"/>
  <c r="E985" i="1"/>
  <c r="F985" i="1"/>
  <c r="G985" i="1"/>
  <c r="H985" i="1"/>
  <c r="I985" i="1"/>
  <c r="J985" i="1"/>
  <c r="B986" i="1"/>
  <c r="C986" i="1"/>
  <c r="D986" i="1"/>
  <c r="E986" i="1"/>
  <c r="F986" i="1"/>
  <c r="G986" i="1"/>
  <c r="H986" i="1"/>
  <c r="I986" i="1"/>
  <c r="J986" i="1"/>
  <c r="B987" i="1"/>
  <c r="C987" i="1"/>
  <c r="D987" i="1"/>
  <c r="E987" i="1"/>
  <c r="F987" i="1"/>
  <c r="G987" i="1"/>
  <c r="H987" i="1"/>
  <c r="I987" i="1"/>
  <c r="J987" i="1"/>
  <c r="B988" i="1"/>
  <c r="C988" i="1"/>
  <c r="D988" i="1"/>
  <c r="E988" i="1"/>
  <c r="F988" i="1"/>
  <c r="G988" i="1"/>
  <c r="H988" i="1"/>
  <c r="I988" i="1"/>
  <c r="J988" i="1"/>
  <c r="B989" i="1"/>
  <c r="C989" i="1"/>
  <c r="D989" i="1"/>
  <c r="E989" i="1"/>
  <c r="F989" i="1"/>
  <c r="G989" i="1"/>
  <c r="H989" i="1"/>
  <c r="I989" i="1"/>
  <c r="J989" i="1"/>
  <c r="B990" i="1"/>
  <c r="C990" i="1"/>
  <c r="D990" i="1"/>
  <c r="E990" i="1"/>
  <c r="F990" i="1"/>
  <c r="G990" i="1"/>
  <c r="H990" i="1"/>
  <c r="I990" i="1"/>
  <c r="J990" i="1"/>
  <c r="B991" i="1"/>
  <c r="C991" i="1"/>
  <c r="D991" i="1"/>
  <c r="E991" i="1"/>
  <c r="F991" i="1"/>
  <c r="G991" i="1"/>
  <c r="H991" i="1"/>
  <c r="I991" i="1"/>
  <c r="J991" i="1"/>
  <c r="B992" i="1"/>
  <c r="C992" i="1"/>
  <c r="D992" i="1"/>
  <c r="E992" i="1"/>
  <c r="F992" i="1"/>
  <c r="G992" i="1"/>
  <c r="H992" i="1"/>
  <c r="I992" i="1"/>
  <c r="J992" i="1"/>
  <c r="B993" i="1"/>
  <c r="C993" i="1"/>
  <c r="D993" i="1"/>
  <c r="E993" i="1"/>
  <c r="F993" i="1"/>
  <c r="G993" i="1"/>
  <c r="H993" i="1"/>
  <c r="I993" i="1"/>
  <c r="J993" i="1"/>
  <c r="B994" i="1"/>
  <c r="C994" i="1"/>
  <c r="D994" i="1"/>
  <c r="E994" i="1"/>
  <c r="F994" i="1"/>
  <c r="G994" i="1"/>
  <c r="H994" i="1"/>
  <c r="I994" i="1"/>
  <c r="J994" i="1"/>
  <c r="B995" i="1"/>
  <c r="C995" i="1"/>
  <c r="D995" i="1"/>
  <c r="E995" i="1"/>
  <c r="F995" i="1"/>
  <c r="G995" i="1"/>
  <c r="H995" i="1"/>
  <c r="I995" i="1"/>
  <c r="J995" i="1"/>
  <c r="B996" i="1"/>
  <c r="C996" i="1"/>
  <c r="D996" i="1"/>
  <c r="E996" i="1"/>
  <c r="F996" i="1"/>
  <c r="G996" i="1"/>
  <c r="H996" i="1"/>
  <c r="I996" i="1"/>
  <c r="J996" i="1"/>
  <c r="B997" i="1"/>
  <c r="C997" i="1"/>
  <c r="D997" i="1"/>
  <c r="E997" i="1"/>
  <c r="F997" i="1"/>
  <c r="G997" i="1"/>
  <c r="H997" i="1"/>
  <c r="I997" i="1"/>
  <c r="J997" i="1"/>
  <c r="B998" i="1"/>
  <c r="C998" i="1"/>
  <c r="D998" i="1"/>
  <c r="E998" i="1"/>
  <c r="F998" i="1"/>
  <c r="G998" i="1"/>
  <c r="H998" i="1"/>
  <c r="I998" i="1"/>
  <c r="J998" i="1"/>
  <c r="B999" i="1"/>
  <c r="C999" i="1"/>
  <c r="D999" i="1"/>
  <c r="E999" i="1"/>
  <c r="F999" i="1"/>
  <c r="G999" i="1"/>
  <c r="H999" i="1"/>
  <c r="I999" i="1"/>
  <c r="J999" i="1"/>
  <c r="B1000" i="1"/>
  <c r="C1000" i="1"/>
  <c r="D1000" i="1"/>
  <c r="E1000" i="1"/>
  <c r="F1000" i="1"/>
  <c r="G1000" i="1"/>
  <c r="H1000" i="1"/>
  <c r="I1000" i="1"/>
  <c r="J1000" i="1"/>
  <c r="B1001" i="1"/>
  <c r="C1001" i="1"/>
  <c r="D1001" i="1"/>
  <c r="E1001" i="1"/>
  <c r="F1001" i="1"/>
  <c r="G1001" i="1"/>
  <c r="H1001" i="1"/>
  <c r="I1001" i="1"/>
  <c r="J1001" i="1"/>
  <c r="B1002" i="1"/>
  <c r="C1002" i="1"/>
  <c r="D1002" i="1"/>
  <c r="E1002" i="1"/>
  <c r="F1002" i="1"/>
  <c r="G1002" i="1"/>
  <c r="H1002" i="1"/>
  <c r="I1002" i="1"/>
  <c r="J1002" i="1"/>
  <c r="B1003" i="1"/>
  <c r="C1003" i="1"/>
  <c r="D1003" i="1"/>
  <c r="E1003" i="1"/>
  <c r="F1003" i="1"/>
  <c r="G1003" i="1"/>
  <c r="H1003" i="1"/>
  <c r="I1003" i="1"/>
  <c r="J1003" i="1"/>
  <c r="B1004" i="1"/>
  <c r="C1004" i="1"/>
  <c r="D1004" i="1"/>
  <c r="E1004" i="1"/>
  <c r="F1004" i="1"/>
  <c r="G1004" i="1"/>
  <c r="H1004" i="1"/>
  <c r="I1004" i="1"/>
  <c r="J1004" i="1"/>
  <c r="B1005" i="1"/>
  <c r="C1005" i="1"/>
  <c r="D1005" i="1"/>
  <c r="E1005" i="1"/>
  <c r="F1005" i="1"/>
  <c r="G1005" i="1"/>
  <c r="H1005" i="1"/>
  <c r="I1005" i="1"/>
  <c r="J1005" i="1"/>
  <c r="B1006" i="1"/>
  <c r="C1006" i="1"/>
  <c r="D1006" i="1"/>
  <c r="E1006" i="1"/>
  <c r="F1006" i="1"/>
  <c r="G1006" i="1"/>
  <c r="H1006" i="1"/>
  <c r="I1006" i="1"/>
  <c r="J1006" i="1"/>
  <c r="B1007" i="1"/>
  <c r="C1007" i="1"/>
  <c r="D1007" i="1"/>
  <c r="E1007" i="1"/>
  <c r="F1007" i="1"/>
  <c r="G1007" i="1"/>
  <c r="H1007" i="1"/>
  <c r="I1007" i="1"/>
  <c r="J1007" i="1"/>
  <c r="B1008" i="1"/>
  <c r="C1008" i="1"/>
  <c r="D1008" i="1"/>
  <c r="E1008" i="1"/>
  <c r="F1008" i="1"/>
  <c r="G1008" i="1"/>
  <c r="H1008" i="1"/>
  <c r="I1008" i="1"/>
  <c r="J1008" i="1"/>
  <c r="B1009" i="1"/>
  <c r="C1009" i="1"/>
  <c r="D1009" i="1"/>
  <c r="E1009" i="1"/>
  <c r="F1009" i="1"/>
  <c r="G1009" i="1"/>
  <c r="H1009" i="1"/>
  <c r="I1009" i="1"/>
  <c r="J1009" i="1"/>
  <c r="B1010" i="1"/>
  <c r="C1010" i="1"/>
  <c r="D1010" i="1"/>
  <c r="E1010" i="1"/>
  <c r="F1010" i="1"/>
  <c r="G1010" i="1"/>
  <c r="H1010" i="1"/>
  <c r="I1010" i="1"/>
  <c r="J1010" i="1"/>
  <c r="B1011" i="1"/>
  <c r="C1011" i="1"/>
  <c r="D1011" i="1"/>
  <c r="E1011" i="1"/>
  <c r="F1011" i="1"/>
  <c r="G1011" i="1"/>
  <c r="H1011" i="1"/>
  <c r="I1011" i="1"/>
  <c r="J1011" i="1"/>
  <c r="B1012" i="1"/>
  <c r="C1012" i="1"/>
  <c r="D1012" i="1"/>
  <c r="E1012" i="1"/>
  <c r="F1012" i="1"/>
  <c r="G1012" i="1"/>
  <c r="H1012" i="1"/>
  <c r="I1012" i="1"/>
  <c r="J1012" i="1"/>
  <c r="B1013" i="1"/>
  <c r="C1013" i="1"/>
  <c r="D1013" i="1"/>
  <c r="E1013" i="1"/>
  <c r="F1013" i="1"/>
  <c r="G1013" i="1"/>
  <c r="H1013" i="1"/>
  <c r="I1013" i="1"/>
  <c r="J1013" i="1"/>
  <c r="B1014" i="1"/>
  <c r="C1014" i="1"/>
  <c r="D1014" i="1"/>
  <c r="E1014" i="1"/>
  <c r="F1014" i="1"/>
  <c r="G1014" i="1"/>
  <c r="H1014" i="1"/>
  <c r="I1014" i="1"/>
  <c r="J1014" i="1"/>
  <c r="B1015" i="1"/>
  <c r="C1015" i="1"/>
  <c r="D1015" i="1"/>
  <c r="E1015" i="1"/>
  <c r="F1015" i="1"/>
  <c r="G1015" i="1"/>
  <c r="H1015" i="1"/>
  <c r="I1015" i="1"/>
  <c r="J1015" i="1"/>
  <c r="B1016" i="1"/>
  <c r="C1016" i="1"/>
  <c r="D1016" i="1"/>
  <c r="E1016" i="1"/>
  <c r="F1016" i="1"/>
  <c r="G1016" i="1"/>
  <c r="H1016" i="1"/>
  <c r="I1016" i="1"/>
  <c r="J1016" i="1"/>
  <c r="B1017" i="1"/>
  <c r="C1017" i="1"/>
  <c r="D1017" i="1"/>
  <c r="E1017" i="1"/>
  <c r="F1017" i="1"/>
  <c r="G1017" i="1"/>
  <c r="H1017" i="1"/>
  <c r="I1017" i="1"/>
  <c r="J1017" i="1"/>
  <c r="B1018" i="1"/>
  <c r="C1018" i="1"/>
  <c r="D1018" i="1"/>
  <c r="E1018" i="1"/>
  <c r="F1018" i="1"/>
  <c r="G1018" i="1"/>
  <c r="H1018" i="1"/>
  <c r="I1018" i="1"/>
  <c r="J1018" i="1"/>
  <c r="B1019" i="1"/>
  <c r="C1019" i="1"/>
  <c r="D1019" i="1"/>
  <c r="E1019" i="1"/>
  <c r="F1019" i="1"/>
  <c r="G1019" i="1"/>
  <c r="H1019" i="1"/>
  <c r="I1019" i="1"/>
  <c r="J1019" i="1"/>
  <c r="B1020" i="1"/>
  <c r="C1020" i="1"/>
  <c r="D1020" i="1"/>
  <c r="E1020" i="1"/>
  <c r="F1020" i="1"/>
  <c r="G1020" i="1"/>
  <c r="H1020" i="1"/>
  <c r="I1020" i="1"/>
  <c r="J1020" i="1"/>
  <c r="B1021" i="1"/>
  <c r="C1021" i="1"/>
  <c r="D1021" i="1"/>
  <c r="E1021" i="1"/>
  <c r="F1021" i="1"/>
  <c r="G1021" i="1"/>
  <c r="H1021" i="1"/>
  <c r="I1021" i="1"/>
  <c r="J1021" i="1"/>
  <c r="B1022" i="1"/>
  <c r="C1022" i="1"/>
  <c r="D1022" i="1"/>
  <c r="E1022" i="1"/>
  <c r="F1022" i="1"/>
  <c r="G1022" i="1"/>
  <c r="H1022" i="1"/>
  <c r="I1022" i="1"/>
  <c r="J1022" i="1"/>
  <c r="B1023" i="1"/>
  <c r="C1023" i="1"/>
  <c r="D1023" i="1"/>
  <c r="E1023" i="1"/>
  <c r="F1023" i="1"/>
  <c r="G1023" i="1"/>
  <c r="H1023" i="1"/>
  <c r="I1023" i="1"/>
  <c r="J1023" i="1"/>
  <c r="B1024" i="1"/>
  <c r="C1024" i="1"/>
  <c r="D1024" i="1"/>
  <c r="E1024" i="1"/>
  <c r="F1024" i="1"/>
  <c r="G1024" i="1"/>
  <c r="H1024" i="1"/>
  <c r="I1024" i="1"/>
  <c r="J1024" i="1"/>
  <c r="B1025" i="1"/>
  <c r="C1025" i="1"/>
  <c r="D1025" i="1"/>
  <c r="E1025" i="1"/>
  <c r="F1025" i="1"/>
  <c r="G1025" i="1"/>
  <c r="H1025" i="1"/>
  <c r="I1025" i="1"/>
  <c r="J1025" i="1"/>
  <c r="B1026" i="1"/>
  <c r="C1026" i="1"/>
  <c r="D1026" i="1"/>
  <c r="E1026" i="1"/>
  <c r="F1026" i="1"/>
  <c r="G1026" i="1"/>
  <c r="H1026" i="1"/>
  <c r="I1026" i="1"/>
  <c r="J1026" i="1"/>
  <c r="B1027" i="1"/>
  <c r="C1027" i="1"/>
  <c r="D1027" i="1"/>
  <c r="E1027" i="1"/>
  <c r="F1027" i="1"/>
  <c r="G1027" i="1"/>
  <c r="H1027" i="1"/>
  <c r="I1027" i="1"/>
  <c r="J1027" i="1"/>
  <c r="B1028" i="1"/>
  <c r="C1028" i="1"/>
  <c r="D1028" i="1"/>
  <c r="E1028" i="1"/>
  <c r="F1028" i="1"/>
  <c r="G1028" i="1"/>
  <c r="H1028" i="1"/>
  <c r="I1028" i="1"/>
  <c r="J1028" i="1"/>
  <c r="B1029" i="1"/>
  <c r="C1029" i="1"/>
  <c r="D1029" i="1"/>
  <c r="E1029" i="1"/>
  <c r="F1029" i="1"/>
  <c r="G1029" i="1"/>
  <c r="H1029" i="1"/>
  <c r="I1029" i="1"/>
  <c r="J1029" i="1"/>
  <c r="B1030" i="1"/>
  <c r="C1030" i="1"/>
  <c r="D1030" i="1"/>
  <c r="E1030" i="1"/>
  <c r="F1030" i="1"/>
  <c r="G1030" i="1"/>
  <c r="H1030" i="1"/>
  <c r="I1030" i="1"/>
  <c r="J1030" i="1"/>
  <c r="B1031" i="1"/>
  <c r="C1031" i="1"/>
  <c r="D1031" i="1"/>
  <c r="E1031" i="1"/>
  <c r="F1031" i="1"/>
  <c r="G1031" i="1"/>
  <c r="H1031" i="1"/>
  <c r="I1031" i="1"/>
  <c r="J1031" i="1"/>
  <c r="B1032" i="1"/>
  <c r="C1032" i="1"/>
  <c r="D1032" i="1"/>
  <c r="E1032" i="1"/>
  <c r="F1032" i="1"/>
  <c r="G1032" i="1"/>
  <c r="H1032" i="1"/>
  <c r="I1032" i="1"/>
  <c r="J1032" i="1"/>
  <c r="B1033" i="1"/>
  <c r="C1033" i="1"/>
  <c r="D1033" i="1"/>
  <c r="E1033" i="1"/>
  <c r="F1033" i="1"/>
  <c r="G1033" i="1"/>
  <c r="H1033" i="1"/>
  <c r="I1033" i="1"/>
  <c r="J1033" i="1"/>
  <c r="B1034" i="1"/>
  <c r="C1034" i="1"/>
  <c r="D1034" i="1"/>
  <c r="E1034" i="1"/>
  <c r="F1034" i="1"/>
  <c r="G1034" i="1"/>
  <c r="H1034" i="1"/>
  <c r="I1034" i="1"/>
  <c r="J1034" i="1"/>
  <c r="B1035" i="1"/>
  <c r="C1035" i="1"/>
  <c r="D1035" i="1"/>
  <c r="E1035" i="1"/>
  <c r="F1035" i="1"/>
  <c r="G1035" i="1"/>
  <c r="H1035" i="1"/>
  <c r="I1035" i="1"/>
  <c r="J1035" i="1"/>
  <c r="B1036" i="1"/>
  <c r="C1036" i="1"/>
  <c r="D1036" i="1"/>
  <c r="E1036" i="1"/>
  <c r="F1036" i="1"/>
  <c r="G1036" i="1"/>
  <c r="H1036" i="1"/>
  <c r="I1036" i="1"/>
  <c r="J1036" i="1"/>
  <c r="B1037" i="1"/>
  <c r="C1037" i="1"/>
  <c r="D1037" i="1"/>
  <c r="E1037" i="1"/>
  <c r="F1037" i="1"/>
  <c r="G1037" i="1"/>
  <c r="H1037" i="1"/>
  <c r="I1037" i="1"/>
  <c r="J1037" i="1"/>
  <c r="B1038" i="1"/>
  <c r="C1038" i="1"/>
  <c r="D1038" i="1"/>
  <c r="E1038" i="1"/>
  <c r="F1038" i="1"/>
  <c r="G1038" i="1"/>
  <c r="H1038" i="1"/>
  <c r="I1038" i="1"/>
  <c r="J1038" i="1"/>
  <c r="B1039" i="1"/>
  <c r="C1039" i="1"/>
  <c r="D1039" i="1"/>
  <c r="E1039" i="1"/>
  <c r="F1039" i="1"/>
  <c r="G1039" i="1"/>
  <c r="H1039" i="1"/>
  <c r="I1039" i="1"/>
  <c r="J1039" i="1"/>
  <c r="B1040" i="1"/>
  <c r="C1040" i="1"/>
  <c r="D1040" i="1"/>
  <c r="E1040" i="1"/>
  <c r="F1040" i="1"/>
  <c r="G1040" i="1"/>
  <c r="H1040" i="1"/>
  <c r="I1040" i="1"/>
  <c r="J1040" i="1"/>
  <c r="B1041" i="1"/>
  <c r="C1041" i="1"/>
  <c r="D1041" i="1"/>
  <c r="E1041" i="1"/>
  <c r="F1041" i="1"/>
  <c r="G1041" i="1"/>
  <c r="H1041" i="1"/>
  <c r="I1041" i="1"/>
  <c r="J1041" i="1"/>
  <c r="B1042" i="1"/>
  <c r="C1042" i="1"/>
  <c r="D1042" i="1"/>
  <c r="E1042" i="1"/>
  <c r="F1042" i="1"/>
  <c r="G1042" i="1"/>
  <c r="H1042" i="1"/>
  <c r="I1042" i="1"/>
  <c r="J1042" i="1"/>
  <c r="B1043" i="1"/>
  <c r="C1043" i="1"/>
  <c r="D1043" i="1"/>
  <c r="E1043" i="1"/>
  <c r="F1043" i="1"/>
  <c r="G1043" i="1"/>
  <c r="H1043" i="1"/>
  <c r="I1043" i="1"/>
  <c r="J1043" i="1"/>
  <c r="B1044" i="1"/>
  <c r="C1044" i="1"/>
  <c r="D1044" i="1"/>
  <c r="E1044" i="1"/>
  <c r="F1044" i="1"/>
  <c r="G1044" i="1"/>
  <c r="H1044" i="1"/>
  <c r="I1044" i="1"/>
  <c r="J1044" i="1"/>
  <c r="B1045" i="1"/>
  <c r="C1045" i="1"/>
  <c r="D1045" i="1"/>
  <c r="E1045" i="1"/>
  <c r="F1045" i="1"/>
  <c r="G1045" i="1"/>
  <c r="H1045" i="1"/>
  <c r="I1045" i="1"/>
  <c r="J1045" i="1"/>
  <c r="B1046" i="1"/>
  <c r="C1046" i="1"/>
  <c r="D1046" i="1"/>
  <c r="E1046" i="1"/>
  <c r="F1046" i="1"/>
  <c r="G1046" i="1"/>
  <c r="H1046" i="1"/>
  <c r="I1046" i="1"/>
  <c r="J1046" i="1"/>
  <c r="B1047" i="1"/>
  <c r="C1047" i="1"/>
  <c r="D1047" i="1"/>
  <c r="E1047" i="1"/>
  <c r="F1047" i="1"/>
  <c r="G1047" i="1"/>
  <c r="H1047" i="1"/>
  <c r="I1047" i="1"/>
  <c r="J1047" i="1"/>
  <c r="B1048" i="1"/>
  <c r="C1048" i="1"/>
  <c r="D1048" i="1"/>
  <c r="E1048" i="1"/>
  <c r="F1048" i="1"/>
  <c r="G1048" i="1"/>
  <c r="H1048" i="1"/>
  <c r="I1048" i="1"/>
  <c r="J1048" i="1"/>
  <c r="L1050" i="1"/>
  <c r="M1050" i="1"/>
  <c r="N1050" i="1"/>
  <c r="O1050" i="1"/>
  <c r="P1050" i="1"/>
  <c r="S1050" i="1"/>
  <c r="J1051" i="1"/>
  <c r="L1051" i="1"/>
  <c r="M1051" i="1"/>
  <c r="N1051" i="1"/>
  <c r="O1051" i="1"/>
  <c r="P1051" i="1"/>
  <c r="D1052" i="1"/>
  <c r="E1052" i="1"/>
  <c r="L1052" i="1"/>
  <c r="M1052" i="1"/>
  <c r="N1052" i="1"/>
  <c r="O1052" i="1"/>
  <c r="P1052" i="1"/>
  <c r="Q1052" i="1"/>
  <c r="E1053" i="1"/>
  <c r="F1053" i="1"/>
  <c r="I1053" i="1"/>
  <c r="J1053" i="1"/>
  <c r="L1053" i="1"/>
  <c r="M1053" i="1"/>
  <c r="N1053" i="1"/>
  <c r="O1053" i="1"/>
  <c r="P1053" i="1"/>
  <c r="Q1053" i="1"/>
  <c r="B1054" i="1"/>
  <c r="C1054" i="1"/>
  <c r="L1054" i="1"/>
  <c r="M1054" i="1"/>
  <c r="N1054" i="1"/>
  <c r="O1054" i="1"/>
  <c r="P1054" i="1"/>
  <c r="Q1054" i="1"/>
  <c r="D1055" i="1"/>
  <c r="L1055" i="1"/>
  <c r="M1055" i="1"/>
  <c r="N1055" i="1"/>
  <c r="O1055" i="1"/>
  <c r="P1055" i="1"/>
  <c r="Q1055" i="1"/>
  <c r="L1056" i="1"/>
  <c r="M1056" i="1"/>
  <c r="N1056" i="1"/>
  <c r="O1056" i="1"/>
  <c r="P1056" i="1"/>
  <c r="Q1056" i="1"/>
  <c r="H1057" i="1"/>
  <c r="L1057" i="1"/>
  <c r="M1057" i="1"/>
  <c r="N1057" i="1"/>
  <c r="O1057" i="1"/>
  <c r="P1057" i="1"/>
  <c r="Q1057" i="1"/>
  <c r="I1058" i="1"/>
  <c r="J1058" i="1"/>
  <c r="L1058" i="1"/>
  <c r="M1058" i="1"/>
  <c r="N1058" i="1"/>
  <c r="O1058" i="1"/>
  <c r="P1058" i="1"/>
  <c r="Q1058" i="1"/>
  <c r="B1059" i="1"/>
  <c r="D1059" i="1"/>
  <c r="L1059" i="1"/>
  <c r="M1059" i="1"/>
  <c r="N1059" i="1"/>
  <c r="O1059" i="1"/>
  <c r="P1059" i="1"/>
  <c r="Q1059" i="1"/>
  <c r="E1060" i="1"/>
  <c r="H1060" i="1"/>
  <c r="L1060" i="1"/>
  <c r="M1060" i="1"/>
  <c r="N1060" i="1"/>
  <c r="O1060" i="1"/>
  <c r="P1060" i="1"/>
  <c r="Q1060" i="1"/>
  <c r="B1061" i="1"/>
  <c r="L1061" i="1"/>
  <c r="M1061" i="1"/>
  <c r="N1061" i="1"/>
  <c r="O1061" i="1"/>
  <c r="P1061" i="1"/>
  <c r="Q1061" i="1"/>
  <c r="L1062" i="1"/>
  <c r="M1062" i="1"/>
  <c r="N1062" i="1"/>
  <c r="O1062" i="1"/>
  <c r="P1062" i="1"/>
  <c r="Q1062" i="1"/>
  <c r="L1063" i="1"/>
  <c r="M1063" i="1"/>
  <c r="N1063" i="1"/>
  <c r="O1063" i="1"/>
  <c r="P1063" i="1"/>
  <c r="Q1063" i="1"/>
  <c r="E1064" i="1"/>
  <c r="L1064" i="1"/>
  <c r="M1064" i="1"/>
  <c r="N1064" i="1"/>
  <c r="O1064" i="1"/>
  <c r="P1064" i="1"/>
  <c r="Q1064" i="1"/>
  <c r="G1065" i="1"/>
  <c r="I1065" i="1"/>
  <c r="L1065" i="1"/>
  <c r="M1065" i="1"/>
  <c r="N1065" i="1"/>
  <c r="O1065" i="1"/>
  <c r="P1065" i="1"/>
  <c r="Q1065" i="1"/>
  <c r="B1066" i="1"/>
  <c r="L1066" i="1"/>
  <c r="M1066" i="1"/>
  <c r="N1066" i="1"/>
  <c r="O1066" i="1"/>
  <c r="P1066" i="1"/>
  <c r="Q1066" i="1"/>
  <c r="C1067" i="1"/>
  <c r="L1067" i="1"/>
  <c r="M1067" i="1"/>
  <c r="N1067" i="1"/>
  <c r="O1067" i="1"/>
  <c r="P1067" i="1"/>
  <c r="Q1067" i="1"/>
  <c r="L1068" i="1"/>
  <c r="M1068" i="1"/>
  <c r="N1068" i="1"/>
  <c r="O1068" i="1"/>
  <c r="P1068" i="1"/>
  <c r="Q1068" i="1"/>
  <c r="D1069" i="1"/>
  <c r="L1069" i="1"/>
  <c r="M1069" i="1"/>
  <c r="N1069" i="1"/>
  <c r="O1069" i="1"/>
  <c r="P1069" i="1"/>
  <c r="Q1069" i="1"/>
  <c r="E1070" i="1"/>
  <c r="F1070" i="1"/>
  <c r="G1070" i="1"/>
  <c r="L1070" i="1"/>
  <c r="M1070" i="1"/>
  <c r="N1070" i="1"/>
  <c r="O1070" i="1"/>
  <c r="P1070" i="1"/>
  <c r="Q1070" i="1"/>
  <c r="C1071" i="1"/>
  <c r="H1071" i="1"/>
  <c r="L1071" i="1"/>
  <c r="M1071" i="1"/>
  <c r="N1071" i="1"/>
  <c r="O1071" i="1"/>
  <c r="P1071" i="1"/>
  <c r="Q1071" i="1"/>
  <c r="E1072" i="1"/>
  <c r="F1072" i="1"/>
  <c r="L1072" i="1"/>
  <c r="M1072" i="1"/>
  <c r="N1072" i="1"/>
  <c r="O1072" i="1"/>
  <c r="P1072" i="1"/>
  <c r="Q1072" i="1"/>
  <c r="A1073" i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L1073" i="1"/>
  <c r="M1073" i="1"/>
  <c r="N1073" i="1"/>
  <c r="O1073" i="1"/>
  <c r="P1073" i="1"/>
  <c r="Q1073" i="1"/>
  <c r="L1074" i="1"/>
  <c r="M1074" i="1"/>
  <c r="N1074" i="1"/>
  <c r="O1074" i="1"/>
  <c r="P1074" i="1"/>
  <c r="Q1074" i="1"/>
  <c r="H1075" i="1"/>
  <c r="I1075" i="1"/>
  <c r="L1075" i="1"/>
  <c r="M1075" i="1"/>
  <c r="N1075" i="1"/>
  <c r="O1075" i="1"/>
  <c r="P1075" i="1"/>
  <c r="Q1075" i="1"/>
  <c r="D1076" i="1"/>
  <c r="I1076" i="1"/>
  <c r="L1076" i="1"/>
  <c r="M1076" i="1"/>
  <c r="N1076" i="1"/>
  <c r="O1076" i="1"/>
  <c r="P1076" i="1"/>
  <c r="Q1076" i="1"/>
  <c r="D1077" i="1"/>
  <c r="E1077" i="1"/>
  <c r="F1077" i="1"/>
  <c r="L1077" i="1"/>
  <c r="M1077" i="1"/>
  <c r="N1077" i="1"/>
  <c r="O1077" i="1"/>
  <c r="P1077" i="1"/>
  <c r="Q1077" i="1"/>
  <c r="G1078" i="1"/>
  <c r="L1078" i="1"/>
  <c r="M1078" i="1"/>
  <c r="N1078" i="1"/>
  <c r="O1078" i="1"/>
  <c r="P1078" i="1"/>
  <c r="Q1078" i="1"/>
  <c r="L1079" i="1"/>
  <c r="M1079" i="1"/>
  <c r="N1079" i="1"/>
  <c r="O1079" i="1"/>
  <c r="P1079" i="1"/>
  <c r="Q1079" i="1"/>
  <c r="H1080" i="1"/>
  <c r="L1080" i="1"/>
  <c r="M1080" i="1"/>
  <c r="N1080" i="1"/>
  <c r="O1080" i="1"/>
  <c r="P1080" i="1"/>
  <c r="Q1080" i="1"/>
  <c r="I1081" i="1"/>
  <c r="L1081" i="1"/>
  <c r="M1081" i="1"/>
  <c r="N1081" i="1"/>
  <c r="O1081" i="1"/>
  <c r="P1081" i="1"/>
  <c r="Q1081" i="1"/>
  <c r="D1082" i="1"/>
  <c r="E1082" i="1"/>
  <c r="F1082" i="1"/>
  <c r="L1082" i="1"/>
  <c r="M1082" i="1"/>
  <c r="N1082" i="1"/>
  <c r="O1082" i="1"/>
  <c r="P1082" i="1"/>
  <c r="Q1082" i="1"/>
  <c r="F1083" i="1"/>
  <c r="G1083" i="1"/>
  <c r="L1083" i="1"/>
  <c r="M1083" i="1"/>
  <c r="N1083" i="1"/>
  <c r="O1083" i="1"/>
  <c r="P1083" i="1"/>
  <c r="Q1083" i="1"/>
  <c r="L1084" i="1"/>
  <c r="M1084" i="1"/>
  <c r="N1084" i="1"/>
  <c r="O1084" i="1"/>
  <c r="P1084" i="1"/>
  <c r="Q1084" i="1"/>
  <c r="L1085" i="1"/>
  <c r="M1085" i="1"/>
  <c r="N1085" i="1"/>
  <c r="O1085" i="1"/>
  <c r="P1085" i="1"/>
  <c r="Q1085" i="1"/>
  <c r="H1086" i="1"/>
  <c r="L1086" i="1"/>
  <c r="M1086" i="1"/>
  <c r="N1086" i="1"/>
  <c r="O1086" i="1"/>
  <c r="P1086" i="1"/>
  <c r="Q1086" i="1"/>
  <c r="E1087" i="1"/>
  <c r="L1087" i="1"/>
  <c r="M1087" i="1"/>
  <c r="N1087" i="1"/>
  <c r="O1087" i="1"/>
  <c r="P1087" i="1"/>
  <c r="Q1087" i="1"/>
  <c r="G1088" i="1"/>
  <c r="L1088" i="1"/>
  <c r="M1088" i="1"/>
  <c r="N1088" i="1"/>
  <c r="O1088" i="1"/>
  <c r="P1088" i="1"/>
  <c r="Q1088" i="1"/>
  <c r="L1089" i="1"/>
  <c r="M1089" i="1"/>
  <c r="N1089" i="1"/>
  <c r="O1089" i="1"/>
  <c r="P1089" i="1"/>
  <c r="Q1089" i="1"/>
  <c r="L1090" i="1"/>
  <c r="M1090" i="1"/>
  <c r="N1090" i="1"/>
  <c r="O1090" i="1"/>
  <c r="P1090" i="1"/>
  <c r="Q1090" i="1"/>
  <c r="I1091" i="1"/>
  <c r="L1091" i="1"/>
  <c r="M1091" i="1"/>
  <c r="N1091" i="1"/>
  <c r="O1091" i="1"/>
  <c r="P1091" i="1"/>
  <c r="Q1091" i="1"/>
  <c r="D1092" i="1"/>
  <c r="L1092" i="1"/>
  <c r="M1092" i="1"/>
  <c r="N1092" i="1"/>
  <c r="O1092" i="1"/>
  <c r="P1092" i="1"/>
  <c r="Q1092" i="1"/>
  <c r="D1093" i="1"/>
  <c r="L1093" i="1"/>
  <c r="M1093" i="1"/>
  <c r="N1093" i="1"/>
  <c r="O1093" i="1"/>
  <c r="P1093" i="1"/>
  <c r="Q1093" i="1"/>
  <c r="L1094" i="1"/>
  <c r="M1094" i="1"/>
  <c r="N1094" i="1"/>
  <c r="O1094" i="1"/>
  <c r="P1094" i="1"/>
  <c r="Q1094" i="1"/>
  <c r="L1095" i="1"/>
  <c r="M1095" i="1"/>
  <c r="N1095" i="1"/>
  <c r="O1095" i="1"/>
  <c r="P1095" i="1"/>
  <c r="Q1095" i="1"/>
  <c r="H1096" i="1"/>
  <c r="L1096" i="1"/>
  <c r="M1096" i="1"/>
  <c r="N1096" i="1"/>
  <c r="O1096" i="1"/>
  <c r="P1096" i="1"/>
  <c r="Q1096" i="1"/>
  <c r="H1097" i="1"/>
  <c r="I1097" i="1"/>
  <c r="C1091" i="3" l="1"/>
  <c r="C1089" i="3"/>
  <c r="C1086" i="3"/>
  <c r="C1081" i="3"/>
  <c r="C1072" i="3"/>
  <c r="C1069" i="3"/>
  <c r="C1066" i="3"/>
  <c r="C1065" i="3"/>
  <c r="C1061" i="3"/>
  <c r="C1057" i="3"/>
  <c r="C1056" i="3"/>
  <c r="C1053" i="3"/>
  <c r="G1094" i="1"/>
  <c r="E1093" i="1"/>
  <c r="F1093" i="1"/>
  <c r="I1092" i="1"/>
  <c r="E1088" i="1"/>
  <c r="F1088" i="1"/>
  <c r="D1087" i="1"/>
  <c r="I1086" i="1"/>
  <c r="G1085" i="1"/>
  <c r="H1081" i="1"/>
  <c r="G1072" i="1"/>
  <c r="C1066" i="1"/>
  <c r="H1065" i="1"/>
  <c r="J1065" i="1"/>
  <c r="F1064" i="1"/>
  <c r="H1063" i="1"/>
  <c r="D1060" i="1"/>
  <c r="C1059" i="1"/>
  <c r="B1094" i="3"/>
  <c r="B1088" i="3"/>
  <c r="B1086" i="3"/>
  <c r="B1080" i="3"/>
  <c r="B1075" i="3"/>
  <c r="B1073" i="3"/>
  <c r="B1062" i="3"/>
  <c r="B1059" i="3"/>
  <c r="H1091" i="1"/>
  <c r="H1051" i="1"/>
  <c r="C1104" i="4"/>
  <c r="I1102" i="4"/>
  <c r="H1057" i="4"/>
  <c r="G1128" i="4"/>
  <c r="G1127" i="4"/>
  <c r="G1123" i="4"/>
  <c r="K1122" i="4"/>
  <c r="G1120" i="4"/>
  <c r="G1119" i="4"/>
  <c r="G1118" i="4"/>
  <c r="G1108" i="4"/>
  <c r="G1106" i="4"/>
  <c r="G1102" i="4"/>
  <c r="G1101" i="4"/>
  <c r="G1098" i="4"/>
  <c r="G1095" i="4"/>
  <c r="K1092" i="4"/>
  <c r="G1090" i="4"/>
  <c r="G1089" i="4"/>
  <c r="G1087" i="4"/>
  <c r="G1078" i="4"/>
  <c r="C1076" i="4"/>
  <c r="G1073" i="4"/>
  <c r="G1072" i="4"/>
  <c r="G1070" i="4"/>
  <c r="G1069" i="4"/>
  <c r="G1067" i="4"/>
  <c r="G1066" i="4"/>
  <c r="G1065" i="4"/>
  <c r="G1061" i="4"/>
  <c r="G1060" i="4"/>
  <c r="G1058" i="4"/>
  <c r="G1057" i="4"/>
  <c r="G1056" i="4"/>
  <c r="G1049" i="4"/>
  <c r="G1047" i="4"/>
  <c r="G1046" i="4"/>
  <c r="D1130" i="4"/>
  <c r="H1129" i="4"/>
  <c r="F1129" i="4"/>
  <c r="D1128" i="4"/>
  <c r="B1127" i="4"/>
  <c r="B1126" i="4"/>
  <c r="J1125" i="4"/>
  <c r="H1124" i="4"/>
  <c r="D1124" i="4"/>
  <c r="J1123" i="4"/>
  <c r="H1122" i="4"/>
  <c r="F1122" i="4"/>
  <c r="B1121" i="4"/>
  <c r="D1120" i="4"/>
  <c r="H1119" i="4"/>
  <c r="D1119" i="4"/>
  <c r="B1118" i="4"/>
  <c r="J1117" i="4"/>
  <c r="J1116" i="4"/>
  <c r="H1115" i="4"/>
  <c r="B1115" i="4"/>
  <c r="D1114" i="4"/>
  <c r="H1113" i="4"/>
  <c r="D1113" i="4"/>
  <c r="B1112" i="4"/>
  <c r="B1111" i="4"/>
  <c r="J1110" i="4"/>
  <c r="D1109" i="4"/>
  <c r="H1108" i="4"/>
  <c r="D1108" i="4"/>
  <c r="J1107" i="4"/>
  <c r="H1106" i="4"/>
  <c r="F1106" i="4"/>
  <c r="H1105" i="4"/>
  <c r="F1105" i="4"/>
  <c r="D1104" i="4"/>
  <c r="J1103" i="4"/>
  <c r="H1102" i="4"/>
  <c r="B1102" i="4"/>
  <c r="B1101" i="4"/>
  <c r="J1100" i="4"/>
  <c r="H1099" i="4"/>
  <c r="D1099" i="4"/>
  <c r="J1098" i="4"/>
  <c r="H1097" i="4"/>
  <c r="F1097" i="4"/>
  <c r="B1096" i="4"/>
  <c r="D1095" i="4"/>
  <c r="B1094" i="4"/>
  <c r="H1093" i="4"/>
  <c r="F1093" i="4"/>
  <c r="H1092" i="4"/>
  <c r="D1092" i="4"/>
  <c r="H1091" i="4"/>
  <c r="F1091" i="4"/>
  <c r="H1090" i="4"/>
  <c r="D1090" i="4"/>
  <c r="H1089" i="4"/>
  <c r="B1089" i="4"/>
  <c r="H1088" i="4"/>
  <c r="F1088" i="4"/>
  <c r="H1087" i="4"/>
  <c r="F1087" i="4"/>
  <c r="D1086" i="4"/>
  <c r="H1084" i="4"/>
  <c r="B1084" i="4"/>
  <c r="H1083" i="4"/>
  <c r="F1083" i="4"/>
  <c r="J1082" i="4"/>
  <c r="H1081" i="4"/>
  <c r="F1081" i="4"/>
  <c r="D1080" i="4"/>
  <c r="H1079" i="4"/>
  <c r="D1079" i="4"/>
  <c r="H1078" i="4"/>
  <c r="D1078" i="4"/>
  <c r="B1077" i="4"/>
  <c r="D1076" i="4"/>
  <c r="H1075" i="4"/>
  <c r="D1075" i="4"/>
  <c r="B1074" i="4"/>
  <c r="B1073" i="4"/>
  <c r="D1072" i="4"/>
  <c r="D1071" i="4"/>
  <c r="D1070" i="4"/>
  <c r="J1069" i="4"/>
  <c r="H1068" i="4"/>
  <c r="F1068" i="4"/>
  <c r="F1067" i="4"/>
  <c r="H1066" i="4"/>
  <c r="F1066" i="4"/>
  <c r="H1065" i="4"/>
  <c r="F1065" i="4"/>
  <c r="H1064" i="4"/>
  <c r="F1064" i="4"/>
  <c r="J1063" i="4"/>
  <c r="B1062" i="4"/>
  <c r="B1061" i="4"/>
  <c r="J1060" i="4"/>
  <c r="J1059" i="4"/>
  <c r="H1045" i="4"/>
  <c r="H1085" i="4"/>
  <c r="B1097" i="1"/>
  <c r="J1097" i="1"/>
  <c r="C1097" i="1"/>
  <c r="L1097" i="1"/>
  <c r="P1097" i="1"/>
  <c r="F1097" i="1"/>
  <c r="Q1097" i="1"/>
  <c r="G1097" i="1"/>
  <c r="A1098" i="1"/>
  <c r="D1097" i="1"/>
  <c r="O1097" i="1"/>
  <c r="E1097" i="1"/>
  <c r="M1097" i="1"/>
  <c r="N1097" i="1"/>
  <c r="G1125" i="4"/>
  <c r="C1119" i="4"/>
  <c r="G1114" i="4"/>
  <c r="G1111" i="4"/>
  <c r="G1110" i="4"/>
  <c r="G1107" i="4"/>
  <c r="G1104" i="4"/>
  <c r="G1100" i="4"/>
  <c r="G1097" i="4"/>
  <c r="G1096" i="4"/>
  <c r="G1092" i="4"/>
  <c r="G1088" i="4"/>
  <c r="G1086" i="4"/>
  <c r="G1084" i="4"/>
  <c r="G1083" i="4"/>
  <c r="G1081" i="4"/>
  <c r="G1077" i="4"/>
  <c r="G1075" i="4"/>
  <c r="G1071" i="4"/>
  <c r="G1068" i="4"/>
  <c r="G1064" i="4"/>
  <c r="G1063" i="4"/>
  <c r="G1048" i="4"/>
  <c r="B1130" i="4"/>
  <c r="B1129" i="4"/>
  <c r="H1128" i="4"/>
  <c r="F1128" i="4"/>
  <c r="D1127" i="4"/>
  <c r="D1126" i="4"/>
  <c r="D1125" i="4"/>
  <c r="F1124" i="4"/>
  <c r="D1123" i="4"/>
  <c r="J1122" i="4"/>
  <c r="J1121" i="4"/>
  <c r="H1120" i="4"/>
  <c r="F1120" i="4"/>
  <c r="F1119" i="4"/>
  <c r="F1118" i="4"/>
  <c r="H1117" i="4"/>
  <c r="F1117" i="4"/>
  <c r="F1116" i="4"/>
  <c r="D1115" i="4"/>
  <c r="J1114" i="4"/>
  <c r="J1113" i="4"/>
  <c r="F1112" i="4"/>
  <c r="D1111" i="4"/>
  <c r="H1110" i="4"/>
  <c r="D1110" i="4"/>
  <c r="J1109" i="4"/>
  <c r="J1108" i="4"/>
  <c r="B1107" i="4"/>
  <c r="B1106" i="4"/>
  <c r="D1105" i="4"/>
  <c r="H1104" i="4"/>
  <c r="F1104" i="4"/>
  <c r="D1103" i="4"/>
  <c r="D1102" i="4"/>
  <c r="D1101" i="4"/>
  <c r="B1100" i="4"/>
  <c r="F1099" i="4"/>
  <c r="D1098" i="4"/>
  <c r="D1097" i="4"/>
  <c r="H1096" i="4"/>
  <c r="F1096" i="4"/>
  <c r="H1095" i="4"/>
  <c r="B1095" i="4"/>
  <c r="D1094" i="4"/>
  <c r="D1093" i="4"/>
  <c r="F1092" i="4"/>
  <c r="J1091" i="4"/>
  <c r="F1090" i="4"/>
  <c r="F1089" i="4"/>
  <c r="B1088" i="4"/>
  <c r="D1087" i="4"/>
  <c r="H1086" i="4"/>
  <c r="F1086" i="4"/>
  <c r="J1084" i="4"/>
  <c r="B1083" i="4"/>
  <c r="B1082" i="4"/>
  <c r="D1081" i="4"/>
  <c r="H1080" i="4"/>
  <c r="F1080" i="4"/>
  <c r="J1079" i="4"/>
  <c r="J1078" i="4"/>
  <c r="D1077" i="4"/>
  <c r="H1076" i="4"/>
  <c r="F1076" i="4"/>
  <c r="F1075" i="4"/>
  <c r="H1074" i="4"/>
  <c r="F1074" i="4"/>
  <c r="H1073" i="4"/>
  <c r="F1073" i="4"/>
  <c r="B1072" i="4"/>
  <c r="J1071" i="4"/>
  <c r="H1070" i="4"/>
  <c r="F1070" i="4"/>
  <c r="B1069" i="4"/>
  <c r="B1068" i="4"/>
  <c r="J1067" i="4"/>
  <c r="J1066" i="4"/>
  <c r="B1065" i="4"/>
  <c r="B1064" i="4"/>
  <c r="B1063" i="4"/>
  <c r="D1062" i="4"/>
  <c r="J1061" i="4"/>
  <c r="D1060" i="4"/>
  <c r="B1059" i="4"/>
  <c r="B1058" i="4"/>
  <c r="J1057" i="4"/>
  <c r="F1057" i="4"/>
  <c r="J1056" i="4"/>
  <c r="F1056" i="4"/>
  <c r="H1055" i="4"/>
  <c r="D1055" i="4"/>
  <c r="H1054" i="4"/>
  <c r="D1054" i="4"/>
  <c r="B1053" i="4"/>
  <c r="H1052" i="4"/>
  <c r="D1052" i="4"/>
  <c r="B1051" i="4"/>
  <c r="G1129" i="4"/>
  <c r="G1124" i="4"/>
  <c r="G1116" i="4"/>
  <c r="G1115" i="4"/>
  <c r="G1112" i="4"/>
  <c r="G1103" i="4"/>
  <c r="G1094" i="4"/>
  <c r="G1093" i="4"/>
  <c r="G1091" i="4"/>
  <c r="G1082" i="4"/>
  <c r="G1074" i="4"/>
  <c r="G1062" i="4"/>
  <c r="G1053" i="4"/>
  <c r="G1051" i="4"/>
  <c r="G1050" i="4"/>
  <c r="E1045" i="4"/>
  <c r="E1085" i="4"/>
  <c r="J1130" i="4"/>
  <c r="D1129" i="4"/>
  <c r="J1128" i="4"/>
  <c r="H1127" i="4"/>
  <c r="F1127" i="4"/>
  <c r="J1126" i="4"/>
  <c r="H1125" i="4"/>
  <c r="F1125" i="4"/>
  <c r="J1124" i="4"/>
  <c r="B1123" i="4"/>
  <c r="D1122" i="4"/>
  <c r="D1121" i="4"/>
  <c r="B1120" i="4"/>
  <c r="B1119" i="4"/>
  <c r="J1118" i="4"/>
  <c r="B1117" i="4"/>
  <c r="B1116" i="4"/>
  <c r="J1115" i="4"/>
  <c r="H1114" i="4"/>
  <c r="F1114" i="4"/>
  <c r="F1113" i="4"/>
  <c r="J1112" i="4"/>
  <c r="H1111" i="4"/>
  <c r="F1111" i="4"/>
  <c r="F1110" i="4"/>
  <c r="H1109" i="4"/>
  <c r="F1109" i="4"/>
  <c r="F1108" i="4"/>
  <c r="D1107" i="4"/>
  <c r="J1106" i="4"/>
  <c r="B1105" i="4"/>
  <c r="B1104" i="4"/>
  <c r="F1103" i="4"/>
  <c r="J1102" i="4"/>
  <c r="J1101" i="4"/>
  <c r="H1100" i="4"/>
  <c r="F1100" i="4"/>
  <c r="J1099" i="4"/>
  <c r="B1098" i="4"/>
  <c r="J1097" i="4"/>
  <c r="J1096" i="4"/>
  <c r="F1095" i="4"/>
  <c r="J1094" i="4"/>
  <c r="B1093" i="4"/>
  <c r="B1092" i="4"/>
  <c r="D1091" i="4"/>
  <c r="J1090" i="4"/>
  <c r="D1089" i="4"/>
  <c r="D1088" i="4"/>
  <c r="J1087" i="4"/>
  <c r="B1086" i="4"/>
  <c r="D1084" i="4"/>
  <c r="J1083" i="4"/>
  <c r="D1082" i="4"/>
  <c r="B1081" i="4"/>
  <c r="B1080" i="4"/>
  <c r="B1079" i="4"/>
  <c r="B1078" i="4"/>
  <c r="J1077" i="4"/>
  <c r="J1076" i="4"/>
  <c r="B1075" i="4"/>
  <c r="J1074" i="4"/>
  <c r="D1073" i="4"/>
  <c r="J1072" i="4"/>
  <c r="B1071" i="4"/>
  <c r="B1070" i="4"/>
  <c r="D1069" i="4"/>
  <c r="J1068" i="4"/>
  <c r="H1067" i="4"/>
  <c r="D1067" i="4"/>
  <c r="D1066" i="4"/>
  <c r="J1065" i="4"/>
  <c r="J1064" i="4"/>
  <c r="D1063" i="4"/>
  <c r="J1062" i="4"/>
  <c r="H1061" i="4"/>
  <c r="F1061" i="4"/>
  <c r="B1060" i="4"/>
  <c r="F1059" i="4"/>
  <c r="H1058" i="4"/>
  <c r="F1058" i="4"/>
  <c r="B1057" i="4"/>
  <c r="D1056" i="4"/>
  <c r="B1055" i="4"/>
  <c r="B1054" i="4"/>
  <c r="J1053" i="4"/>
  <c r="F1053" i="4"/>
  <c r="J1052" i="4"/>
  <c r="F1052" i="4"/>
  <c r="J1051" i="4"/>
  <c r="G1130" i="4"/>
  <c r="G1126" i="4"/>
  <c r="G1122" i="4"/>
  <c r="G1121" i="4"/>
  <c r="G1117" i="4"/>
  <c r="G1113" i="4"/>
  <c r="G1109" i="4"/>
  <c r="G1105" i="4"/>
  <c r="G1099" i="4"/>
  <c r="G1080" i="4"/>
  <c r="G1079" i="4"/>
  <c r="G1076" i="4"/>
  <c r="I1069" i="4"/>
  <c r="G1059" i="4"/>
  <c r="G1055" i="4"/>
  <c r="G1054" i="4"/>
  <c r="G1052" i="4"/>
  <c r="H1130" i="4"/>
  <c r="F1130" i="4"/>
  <c r="J1129" i="4"/>
  <c r="B1128" i="4"/>
  <c r="J1127" i="4"/>
  <c r="H1126" i="4"/>
  <c r="F1126" i="4"/>
  <c r="B1125" i="4"/>
  <c r="B1124" i="4"/>
  <c r="H1123" i="4"/>
  <c r="F1123" i="4"/>
  <c r="B1122" i="4"/>
  <c r="H1121" i="4"/>
  <c r="F1121" i="4"/>
  <c r="J1120" i="4"/>
  <c r="J1119" i="4"/>
  <c r="H1118" i="4"/>
  <c r="D1118" i="4"/>
  <c r="D1117" i="4"/>
  <c r="H1116" i="4"/>
  <c r="D1116" i="4"/>
  <c r="F1115" i="4"/>
  <c r="B1114" i="4"/>
  <c r="B1113" i="4"/>
  <c r="H1112" i="4"/>
  <c r="D1112" i="4"/>
  <c r="J1111" i="4"/>
  <c r="B1110" i="4"/>
  <c r="B1109" i="4"/>
  <c r="B1108" i="4"/>
  <c r="H1107" i="4"/>
  <c r="F1107" i="4"/>
  <c r="D1106" i="4"/>
  <c r="J1105" i="4"/>
  <c r="J1104" i="4"/>
  <c r="H1103" i="4"/>
  <c r="B1103" i="4"/>
  <c r="F1102" i="4"/>
  <c r="H1101" i="4"/>
  <c r="F1101" i="4"/>
  <c r="D1100" i="4"/>
  <c r="B1099" i="4"/>
  <c r="H1098" i="4"/>
  <c r="F1098" i="4"/>
  <c r="B1097" i="4"/>
  <c r="D1096" i="4"/>
  <c r="J1095" i="4"/>
  <c r="H1094" i="4"/>
  <c r="F1094" i="4"/>
  <c r="J1093" i="4"/>
  <c r="J1092" i="4"/>
  <c r="B1091" i="4"/>
  <c r="B1090" i="4"/>
  <c r="J1089" i="4"/>
  <c r="J1088" i="4"/>
  <c r="B1087" i="4"/>
  <c r="J1086" i="4"/>
  <c r="F1084" i="4"/>
  <c r="D1083" i="4"/>
  <c r="H1082" i="4"/>
  <c r="F1082" i="4"/>
  <c r="J1081" i="4"/>
  <c r="J1080" i="4"/>
  <c r="F1079" i="4"/>
  <c r="F1078" i="4"/>
  <c r="H1077" i="4"/>
  <c r="F1077" i="4"/>
  <c r="B1076" i="4"/>
  <c r="J1075" i="4"/>
  <c r="D1074" i="4"/>
  <c r="J1073" i="4"/>
  <c r="H1072" i="4"/>
  <c r="F1072" i="4"/>
  <c r="H1071" i="4"/>
  <c r="F1071" i="4"/>
  <c r="J1070" i="4"/>
  <c r="H1069" i="4"/>
  <c r="F1069" i="4"/>
  <c r="D1068" i="4"/>
  <c r="B1067" i="4"/>
  <c r="B1066" i="4"/>
  <c r="D1065" i="4"/>
  <c r="D1064" i="4"/>
  <c r="H1063" i="4"/>
  <c r="F1063" i="4"/>
  <c r="H1062" i="4"/>
  <c r="F1062" i="4"/>
  <c r="D1061" i="4"/>
  <c r="H1060" i="4"/>
  <c r="F1060" i="4"/>
  <c r="H1059" i="4"/>
  <c r="D1059" i="4"/>
  <c r="J1058" i="4"/>
  <c r="D1058" i="4"/>
  <c r="D1057" i="4"/>
  <c r="H1056" i="4"/>
  <c r="B1056" i="4"/>
  <c r="J1055" i="4"/>
  <c r="F1055" i="4"/>
  <c r="J1054" i="4"/>
  <c r="F1054" i="4"/>
  <c r="H1053" i="4"/>
  <c r="D1053" i="4"/>
  <c r="B1052" i="4"/>
  <c r="H1051" i="4"/>
  <c r="J1045" i="4"/>
  <c r="J1085" i="4"/>
  <c r="F1051" i="4"/>
  <c r="H1050" i="4"/>
  <c r="B1050" i="4"/>
  <c r="F1050" i="4"/>
  <c r="H1049" i="4"/>
  <c r="B1049" i="4"/>
  <c r="F1049" i="4"/>
  <c r="J1048" i="4"/>
  <c r="D1048" i="4"/>
  <c r="H1047" i="4"/>
  <c r="B1047" i="4"/>
  <c r="F1047" i="4"/>
  <c r="H1046" i="4"/>
  <c r="D1046" i="4"/>
  <c r="B1045" i="4"/>
  <c r="B1085" i="4"/>
  <c r="K1114" i="4"/>
  <c r="C1097" i="3"/>
  <c r="K1126" i="4"/>
  <c r="E1104" i="4"/>
  <c r="I1092" i="4"/>
  <c r="C1095" i="1"/>
  <c r="C1093" i="1"/>
  <c r="G1092" i="1"/>
  <c r="C1091" i="1"/>
  <c r="G1090" i="1"/>
  <c r="C1089" i="1"/>
  <c r="C1087" i="1"/>
  <c r="G1086" i="1"/>
  <c r="C1085" i="1"/>
  <c r="G1084" i="1"/>
  <c r="C1083" i="1"/>
  <c r="G1082" i="1"/>
  <c r="C1081" i="1"/>
  <c r="G1080" i="1"/>
  <c r="C1079" i="1"/>
  <c r="C1077" i="1"/>
  <c r="G1076" i="1"/>
  <c r="C1075" i="1"/>
  <c r="G1074" i="1"/>
  <c r="C1073" i="1"/>
  <c r="C1069" i="1"/>
  <c r="G1068" i="1"/>
  <c r="G1066" i="1"/>
  <c r="C1065" i="1"/>
  <c r="G1064" i="1"/>
  <c r="C1063" i="1"/>
  <c r="G1062" i="1"/>
  <c r="C1061" i="1"/>
  <c r="G1060" i="1"/>
  <c r="G1058" i="1"/>
  <c r="C1057" i="1"/>
  <c r="G1056" i="1"/>
  <c r="C1055" i="1"/>
  <c r="G1054" i="1"/>
  <c r="C1053" i="1"/>
  <c r="G1052" i="1"/>
  <c r="I1052" i="1"/>
  <c r="C1052" i="1"/>
  <c r="G1051" i="1"/>
  <c r="R1051" i="1"/>
  <c r="C1051" i="1"/>
  <c r="R1050" i="1"/>
  <c r="D1050" i="1"/>
  <c r="G1050" i="1"/>
  <c r="D1051" i="4"/>
  <c r="J1050" i="4"/>
  <c r="D1050" i="4"/>
  <c r="J1049" i="4"/>
  <c r="D1049" i="4"/>
  <c r="H1048" i="4"/>
  <c r="B1048" i="4"/>
  <c r="F1048" i="4"/>
  <c r="J1047" i="4"/>
  <c r="D1047" i="4"/>
  <c r="J1046" i="4"/>
  <c r="B1046" i="4"/>
  <c r="F1046" i="4"/>
  <c r="F1045" i="4"/>
  <c r="F1085" i="4"/>
  <c r="D1045" i="4"/>
  <c r="D1085" i="4"/>
  <c r="A1098" i="3"/>
  <c r="E1097" i="3"/>
  <c r="D1097" i="3"/>
  <c r="K1076" i="4"/>
  <c r="C1060" i="4"/>
  <c r="I1096" i="1"/>
  <c r="J1096" i="1"/>
  <c r="B1096" i="1"/>
  <c r="C1096" i="1"/>
  <c r="D1096" i="1"/>
  <c r="E1096" i="1"/>
  <c r="F1096" i="1"/>
  <c r="D1095" i="1"/>
  <c r="E1095" i="1"/>
  <c r="F1095" i="1"/>
  <c r="G1095" i="1"/>
  <c r="H1095" i="1"/>
  <c r="I1095" i="1"/>
  <c r="J1095" i="1"/>
  <c r="B1095" i="1"/>
  <c r="H1094" i="1"/>
  <c r="I1094" i="1"/>
  <c r="J1094" i="1"/>
  <c r="B1094" i="1"/>
  <c r="C1094" i="1"/>
  <c r="D1094" i="1"/>
  <c r="E1094" i="1"/>
  <c r="F1094" i="1"/>
  <c r="G1093" i="1"/>
  <c r="H1093" i="1"/>
  <c r="I1093" i="1"/>
  <c r="J1093" i="1"/>
  <c r="B1093" i="1"/>
  <c r="H1092" i="1"/>
  <c r="J1092" i="1"/>
  <c r="B1092" i="1"/>
  <c r="C1092" i="1"/>
  <c r="E1092" i="1"/>
  <c r="F1092" i="1"/>
  <c r="D1091" i="1"/>
  <c r="E1091" i="1"/>
  <c r="F1091" i="1"/>
  <c r="G1091" i="1"/>
  <c r="J1091" i="1"/>
  <c r="B1091" i="1"/>
  <c r="H1090" i="1"/>
  <c r="I1090" i="1"/>
  <c r="J1090" i="1"/>
  <c r="B1090" i="1"/>
  <c r="C1090" i="1"/>
  <c r="D1090" i="1"/>
  <c r="E1090" i="1"/>
  <c r="F1090" i="1"/>
  <c r="D1089" i="1"/>
  <c r="E1089" i="1"/>
  <c r="F1089" i="1"/>
  <c r="G1089" i="1"/>
  <c r="H1089" i="1"/>
  <c r="I1089" i="1"/>
  <c r="J1089" i="1"/>
  <c r="B1089" i="1"/>
  <c r="H1088" i="1"/>
  <c r="I1088" i="1"/>
  <c r="J1088" i="1"/>
  <c r="B1088" i="1"/>
  <c r="C1088" i="1"/>
  <c r="D1088" i="1"/>
  <c r="F1087" i="1"/>
  <c r="G1087" i="1"/>
  <c r="H1087" i="1"/>
  <c r="I1087" i="1"/>
  <c r="J1087" i="1"/>
  <c r="B1087" i="1"/>
  <c r="J1086" i="1"/>
  <c r="B1086" i="1"/>
  <c r="C1086" i="1"/>
  <c r="D1086" i="1"/>
  <c r="E1086" i="1"/>
  <c r="F1086" i="1"/>
  <c r="D1085" i="1"/>
  <c r="E1085" i="1"/>
  <c r="F1085" i="1"/>
  <c r="H1085" i="1"/>
  <c r="I1085" i="1"/>
  <c r="J1085" i="1"/>
  <c r="B1085" i="1"/>
  <c r="I1084" i="1"/>
  <c r="D1084" i="1"/>
  <c r="H1083" i="1"/>
  <c r="I1083" i="1"/>
  <c r="E1080" i="1"/>
  <c r="F1080" i="1"/>
  <c r="D1079" i="1"/>
  <c r="E1079" i="1"/>
  <c r="H1078" i="1"/>
  <c r="I1078" i="1"/>
  <c r="G1077" i="1"/>
  <c r="F1075" i="1"/>
  <c r="G1075" i="1"/>
  <c r="D1074" i="1"/>
  <c r="E1074" i="1"/>
  <c r="F1074" i="1"/>
  <c r="H1073" i="1"/>
  <c r="I1073" i="1"/>
  <c r="H1072" i="1"/>
  <c r="D1070" i="1"/>
  <c r="B1069" i="1"/>
  <c r="H1068" i="1"/>
  <c r="I1068" i="1"/>
  <c r="J1068" i="1"/>
  <c r="D1067" i="1"/>
  <c r="G1067" i="1"/>
  <c r="H1067" i="1"/>
  <c r="J1066" i="1"/>
  <c r="D1064" i="1"/>
  <c r="F1063" i="1"/>
  <c r="G1063" i="1"/>
  <c r="B1062" i="1"/>
  <c r="C1062" i="1"/>
  <c r="D1062" i="1"/>
  <c r="E1062" i="1"/>
  <c r="I1061" i="1"/>
  <c r="J1061" i="1"/>
  <c r="I1060" i="1"/>
  <c r="H1058" i="1"/>
  <c r="E1057" i="1"/>
  <c r="F1057" i="1"/>
  <c r="G1057" i="1"/>
  <c r="I1056" i="1"/>
  <c r="D1056" i="1"/>
  <c r="E1055" i="1"/>
  <c r="F1055" i="1"/>
  <c r="G1055" i="1"/>
  <c r="J1054" i="1"/>
  <c r="B1052" i="1"/>
  <c r="J1050" i="1"/>
  <c r="H1050" i="1"/>
  <c r="F1050" i="1"/>
  <c r="E1129" i="4"/>
  <c r="G1096" i="1"/>
  <c r="B1084" i="1"/>
  <c r="F1084" i="1"/>
  <c r="H1082" i="1"/>
  <c r="C1082" i="1"/>
  <c r="G1081" i="1"/>
  <c r="B1081" i="1"/>
  <c r="J1080" i="1"/>
  <c r="F1079" i="1"/>
  <c r="J1079" i="1"/>
  <c r="C1078" i="1"/>
  <c r="B1077" i="1"/>
  <c r="B1076" i="1"/>
  <c r="D1075" i="1"/>
  <c r="J1074" i="1"/>
  <c r="G1073" i="1"/>
  <c r="I1072" i="1"/>
  <c r="C1072" i="1"/>
  <c r="D1071" i="1"/>
  <c r="I1071" i="1"/>
  <c r="C1070" i="1"/>
  <c r="F1069" i="1"/>
  <c r="I1069" i="1"/>
  <c r="B1068" i="1"/>
  <c r="E1068" i="1"/>
  <c r="B1067" i="1"/>
  <c r="H1066" i="1"/>
  <c r="D1066" i="1"/>
  <c r="I1064" i="1"/>
  <c r="D1063" i="1"/>
  <c r="B1063" i="1"/>
  <c r="E1061" i="1"/>
  <c r="B1060" i="1"/>
  <c r="G1059" i="1"/>
  <c r="D1058" i="1"/>
  <c r="B1057" i="1"/>
  <c r="J1056" i="1"/>
  <c r="F1056" i="1"/>
  <c r="B1055" i="1"/>
  <c r="E1054" i="1"/>
  <c r="B1053" i="1"/>
  <c r="B1051" i="1"/>
  <c r="K1050" i="1"/>
  <c r="K1128" i="4"/>
  <c r="E1127" i="4"/>
  <c r="E1125" i="4"/>
  <c r="K1124" i="4"/>
  <c r="C1123" i="4"/>
  <c r="E1121" i="4"/>
  <c r="K1120" i="4"/>
  <c r="E1119" i="4"/>
  <c r="C1118" i="4"/>
  <c r="C1117" i="4"/>
  <c r="K1116" i="4"/>
  <c r="K1115" i="4"/>
  <c r="E1113" i="4"/>
  <c r="I1112" i="4"/>
  <c r="E1111" i="4"/>
  <c r="C1110" i="4"/>
  <c r="K1109" i="4"/>
  <c r="K1108" i="4"/>
  <c r="K1107" i="4"/>
  <c r="C1106" i="4"/>
  <c r="E1105" i="4"/>
  <c r="K1104" i="4"/>
  <c r="E1103" i="4"/>
  <c r="E1102" i="4"/>
  <c r="E1101" i="4"/>
  <c r="E1100" i="4"/>
  <c r="E1097" i="4"/>
  <c r="E1096" i="4"/>
  <c r="E1095" i="4"/>
  <c r="C1094" i="4"/>
  <c r="C1093" i="4"/>
  <c r="E1092" i="4"/>
  <c r="K1091" i="4"/>
  <c r="K1089" i="4"/>
  <c r="K1088" i="4"/>
  <c r="E1087" i="4"/>
  <c r="C1084" i="4"/>
  <c r="C1083" i="4"/>
  <c r="E1082" i="4"/>
  <c r="K1080" i="4"/>
  <c r="K1079" i="4"/>
  <c r="K1078" i="4"/>
  <c r="K1077" i="4"/>
  <c r="E1075" i="4"/>
  <c r="C1074" i="4"/>
  <c r="E1073" i="4"/>
  <c r="E1072" i="4"/>
  <c r="C1070" i="4"/>
  <c r="E1068" i="4"/>
  <c r="E1067" i="4"/>
  <c r="E1064" i="4"/>
  <c r="K1063" i="4"/>
  <c r="K1062" i="4"/>
  <c r="C1061" i="4"/>
  <c r="K1060" i="4"/>
  <c r="E1059" i="4"/>
  <c r="K1058" i="4"/>
  <c r="C1057" i="4"/>
  <c r="E1056" i="4"/>
  <c r="I1055" i="4"/>
  <c r="K1054" i="4"/>
  <c r="K1052" i="4"/>
  <c r="C1051" i="4"/>
  <c r="E1049" i="4"/>
  <c r="C1048" i="4"/>
  <c r="K1047" i="4"/>
  <c r="C1046" i="4"/>
  <c r="K1045" i="4"/>
  <c r="K1085" i="4"/>
  <c r="J1084" i="1"/>
  <c r="D1083" i="1"/>
  <c r="J1083" i="1"/>
  <c r="I1082" i="1"/>
  <c r="E1081" i="1"/>
  <c r="J1081" i="1"/>
  <c r="D1080" i="1"/>
  <c r="G1079" i="1"/>
  <c r="B1079" i="1"/>
  <c r="J1078" i="1"/>
  <c r="E1078" i="1"/>
  <c r="I1077" i="1"/>
  <c r="J1076" i="1"/>
  <c r="F1076" i="1"/>
  <c r="B1075" i="1"/>
  <c r="I1074" i="1"/>
  <c r="D1073" i="1"/>
  <c r="J1073" i="1"/>
  <c r="B1072" i="1"/>
  <c r="G1071" i="1"/>
  <c r="B1071" i="1"/>
  <c r="J1070" i="1"/>
  <c r="G1069" i="1"/>
  <c r="C1068" i="1"/>
  <c r="F1067" i="1"/>
  <c r="J1067" i="1"/>
  <c r="I1066" i="1"/>
  <c r="E1065" i="1"/>
  <c r="H1064" i="1"/>
  <c r="C1064" i="1"/>
  <c r="J1063" i="1"/>
  <c r="D1061" i="1"/>
  <c r="H1061" i="1"/>
  <c r="J1060" i="1"/>
  <c r="F1059" i="1"/>
  <c r="J1059" i="1"/>
  <c r="C1058" i="1"/>
  <c r="J1057" i="1"/>
  <c r="B1056" i="1"/>
  <c r="H1055" i="1"/>
  <c r="G1053" i="1"/>
  <c r="J1052" i="1"/>
  <c r="F1051" i="1"/>
  <c r="E1130" i="4"/>
  <c r="I1127" i="4"/>
  <c r="C1126" i="4"/>
  <c r="C1124" i="4"/>
  <c r="K1123" i="4"/>
  <c r="C1121" i="4"/>
  <c r="E1120" i="4"/>
  <c r="E1117" i="4"/>
  <c r="I1116" i="4"/>
  <c r="K1113" i="4"/>
  <c r="E1112" i="4"/>
  <c r="K1110" i="4"/>
  <c r="C1109" i="4"/>
  <c r="E1107" i="4"/>
  <c r="K1106" i="4"/>
  <c r="K1105" i="4"/>
  <c r="K1103" i="4"/>
  <c r="C1100" i="4"/>
  <c r="C1099" i="4"/>
  <c r="C1098" i="4"/>
  <c r="K1097" i="4"/>
  <c r="C1096" i="4"/>
  <c r="K1095" i="4"/>
  <c r="K1094" i="4"/>
  <c r="K1093" i="4"/>
  <c r="E1090" i="4"/>
  <c r="E1089" i="4"/>
  <c r="E1086" i="4"/>
  <c r="E1084" i="4"/>
  <c r="K1083" i="4"/>
  <c r="K1082" i="4"/>
  <c r="K1081" i="4"/>
  <c r="E1080" i="4"/>
  <c r="C1079" i="4"/>
  <c r="E1078" i="4"/>
  <c r="I1077" i="4"/>
  <c r="K1075" i="4"/>
  <c r="E1074" i="4"/>
  <c r="K1073" i="4"/>
  <c r="K1071" i="4"/>
  <c r="E1070" i="4"/>
  <c r="C1069" i="4"/>
  <c r="C1068" i="4"/>
  <c r="C1067" i="4"/>
  <c r="K1066" i="4"/>
  <c r="E1065" i="4"/>
  <c r="C1063" i="4"/>
  <c r="C1062" i="4"/>
  <c r="K1061" i="4"/>
  <c r="K1059" i="4"/>
  <c r="K1057" i="4"/>
  <c r="K1056" i="4"/>
  <c r="C1055" i="4"/>
  <c r="E1054" i="4"/>
  <c r="C1053" i="4"/>
  <c r="I1052" i="4"/>
  <c r="E1051" i="4"/>
  <c r="C1050" i="4"/>
  <c r="K1049" i="4"/>
  <c r="E1048" i="4"/>
  <c r="I1047" i="4"/>
  <c r="E1047" i="4"/>
  <c r="E1046" i="4"/>
  <c r="I1045" i="4"/>
  <c r="H1084" i="1"/>
  <c r="C1084" i="1"/>
  <c r="B1083" i="1"/>
  <c r="J1082" i="1"/>
  <c r="D1081" i="1"/>
  <c r="B1080" i="1"/>
  <c r="I1079" i="1"/>
  <c r="D1078" i="1"/>
  <c r="H1077" i="1"/>
  <c r="H1076" i="1"/>
  <c r="C1076" i="1"/>
  <c r="H1074" i="1"/>
  <c r="C1074" i="1"/>
  <c r="F1073" i="1"/>
  <c r="D1072" i="1"/>
  <c r="F1071" i="1"/>
  <c r="E1069" i="1"/>
  <c r="J1069" i="1"/>
  <c r="F1068" i="1"/>
  <c r="I1067" i="1"/>
  <c r="F1066" i="1"/>
  <c r="B1065" i="1"/>
  <c r="J1064" i="1"/>
  <c r="E1063" i="1"/>
  <c r="J1062" i="1"/>
  <c r="F1061" i="1"/>
  <c r="F1060" i="1"/>
  <c r="I1059" i="1"/>
  <c r="E1058" i="1"/>
  <c r="E1056" i="1"/>
  <c r="I1055" i="1"/>
  <c r="D1054" i="1"/>
  <c r="D1053" i="1"/>
  <c r="H1053" i="1"/>
  <c r="F1052" i="1"/>
  <c r="B1050" i="1"/>
  <c r="C1130" i="4"/>
  <c r="K1129" i="4"/>
  <c r="E1128" i="4"/>
  <c r="K1127" i="4"/>
  <c r="K1125" i="4"/>
  <c r="E1122" i="4"/>
  <c r="K1121" i="4"/>
  <c r="C1120" i="4"/>
  <c r="E1118" i="4"/>
  <c r="E1116" i="4"/>
  <c r="E1115" i="4"/>
  <c r="C1114" i="4"/>
  <c r="C1112" i="4"/>
  <c r="K1111" i="4"/>
  <c r="E1110" i="4"/>
  <c r="E1109" i="4"/>
  <c r="E1108" i="4"/>
  <c r="C1107" i="4"/>
  <c r="K1102" i="4"/>
  <c r="C1101" i="4"/>
  <c r="E1099" i="4"/>
  <c r="K1098" i="4"/>
  <c r="I1096" i="4"/>
  <c r="I1095" i="4"/>
  <c r="E1094" i="4"/>
  <c r="E1093" i="4"/>
  <c r="C1092" i="4"/>
  <c r="E1091" i="4"/>
  <c r="C1090" i="4"/>
  <c r="I1089" i="4"/>
  <c r="E1088" i="4"/>
  <c r="K1087" i="4"/>
  <c r="K1086" i="4"/>
  <c r="K1084" i="4"/>
  <c r="C1082" i="4"/>
  <c r="C1081" i="4"/>
  <c r="E1079" i="4"/>
  <c r="C1077" i="4"/>
  <c r="E1076" i="4"/>
  <c r="C1075" i="4"/>
  <c r="K1072" i="4"/>
  <c r="C1071" i="4"/>
  <c r="K1070" i="4"/>
  <c r="E1069" i="4"/>
  <c r="K1068" i="4"/>
  <c r="K1067" i="4"/>
  <c r="C1066" i="4"/>
  <c r="K1065" i="4"/>
  <c r="C1064" i="4"/>
  <c r="E1063" i="4"/>
  <c r="E1062" i="4"/>
  <c r="E1061" i="4"/>
  <c r="E1060" i="4"/>
  <c r="E1058" i="4"/>
  <c r="E1057" i="4"/>
  <c r="C1056" i="4"/>
  <c r="E1055" i="4"/>
  <c r="C1054" i="4"/>
  <c r="E1053" i="4"/>
  <c r="E1052" i="4"/>
  <c r="E1050" i="4"/>
  <c r="I1049" i="4"/>
  <c r="E1084" i="1"/>
  <c r="E1083" i="1"/>
  <c r="B1082" i="1"/>
  <c r="F1081" i="1"/>
  <c r="I1080" i="1"/>
  <c r="C1080" i="1"/>
  <c r="H1079" i="1"/>
  <c r="B1078" i="1"/>
  <c r="F1078" i="1"/>
  <c r="J1077" i="1"/>
  <c r="E1076" i="1"/>
  <c r="E1075" i="1"/>
  <c r="J1075" i="1"/>
  <c r="B1074" i="1"/>
  <c r="E1073" i="1"/>
  <c r="B1073" i="1"/>
  <c r="J1072" i="1"/>
  <c r="E1071" i="1"/>
  <c r="J1071" i="1"/>
  <c r="B1070" i="1"/>
  <c r="H1069" i="1"/>
  <c r="D1068" i="1"/>
  <c r="E1066" i="1"/>
  <c r="F1065" i="1"/>
  <c r="B1064" i="1"/>
  <c r="I1063" i="1"/>
  <c r="F1062" i="1"/>
  <c r="G1061" i="1"/>
  <c r="C1060" i="1"/>
  <c r="H1059" i="1"/>
  <c r="B1058" i="1"/>
  <c r="F1058" i="1"/>
  <c r="I1057" i="1"/>
  <c r="H1056" i="1"/>
  <c r="C1056" i="1"/>
  <c r="J1055" i="1"/>
  <c r="F1054" i="1"/>
  <c r="H1052" i="1"/>
  <c r="C1050" i="1"/>
  <c r="K1130" i="4"/>
  <c r="C1129" i="4"/>
  <c r="C1128" i="4"/>
  <c r="C1127" i="4"/>
  <c r="E1126" i="4"/>
  <c r="C1125" i="4"/>
  <c r="E1124" i="4"/>
  <c r="E1123" i="4"/>
  <c r="C1122" i="4"/>
  <c r="K1119" i="4"/>
  <c r="K1118" i="4"/>
  <c r="K1117" i="4"/>
  <c r="C1116" i="4"/>
  <c r="C1115" i="4"/>
  <c r="E1114" i="4"/>
  <c r="C1113" i="4"/>
  <c r="K1112" i="4"/>
  <c r="C1111" i="4"/>
  <c r="I1110" i="4"/>
  <c r="C1108" i="4"/>
  <c r="E1106" i="4"/>
  <c r="C1105" i="4"/>
  <c r="C1103" i="4"/>
  <c r="C1102" i="4"/>
  <c r="K1101" i="4"/>
  <c r="K1100" i="4"/>
  <c r="K1099" i="4"/>
  <c r="E1098" i="4"/>
  <c r="C1097" i="4"/>
  <c r="K1096" i="4"/>
  <c r="C1095" i="4"/>
  <c r="I1093" i="4"/>
  <c r="C1091" i="4"/>
  <c r="K1090" i="4"/>
  <c r="C1089" i="4"/>
  <c r="C1088" i="4"/>
  <c r="C1087" i="4"/>
  <c r="C1086" i="4"/>
  <c r="I1084" i="4"/>
  <c r="E1083" i="4"/>
  <c r="E1081" i="4"/>
  <c r="C1080" i="4"/>
  <c r="C1078" i="4"/>
  <c r="E1077" i="4"/>
  <c r="K1074" i="4"/>
  <c r="C1073" i="4"/>
  <c r="C1072" i="4"/>
  <c r="E1071" i="4"/>
  <c r="K1069" i="4"/>
  <c r="E1066" i="4"/>
  <c r="C1065" i="4"/>
  <c r="K1064" i="4"/>
  <c r="C1059" i="4"/>
  <c r="C1058" i="4"/>
  <c r="I1057" i="4"/>
  <c r="K1055" i="4"/>
  <c r="K1053" i="4"/>
  <c r="C1052" i="4"/>
  <c r="K1051" i="4"/>
  <c r="K1050" i="4"/>
  <c r="C1049" i="4"/>
  <c r="K1048" i="4"/>
  <c r="C1047" i="4"/>
  <c r="K1046" i="4"/>
  <c r="C1045" i="4"/>
  <c r="C1085" i="4"/>
  <c r="I1085" i="4"/>
  <c r="H1070" i="1"/>
  <c r="D1065" i="1"/>
  <c r="H1062" i="1"/>
  <c r="D1057" i="1"/>
  <c r="H1054" i="1"/>
  <c r="D1051" i="1"/>
  <c r="E1050" i="1"/>
  <c r="I1070" i="1"/>
  <c r="E1067" i="1"/>
  <c r="I1062" i="1"/>
  <c r="E1059" i="1"/>
  <c r="I1054" i="1"/>
  <c r="E1051" i="1"/>
  <c r="I1103" i="4"/>
  <c r="I1100" i="4"/>
  <c r="I1098" i="4"/>
  <c r="I1087" i="4"/>
  <c r="B1073" i="2"/>
  <c r="B1074" i="2"/>
  <c r="A1075" i="2"/>
  <c r="C1096" i="3"/>
  <c r="C1095" i="3"/>
  <c r="C1094" i="3"/>
  <c r="C1093" i="3"/>
  <c r="C1092" i="3"/>
  <c r="C1090" i="3"/>
  <c r="C1088" i="3"/>
  <c r="C1087" i="3"/>
  <c r="C1085" i="3"/>
  <c r="C1084" i="3"/>
  <c r="C1082" i="3"/>
  <c r="C1079" i="3"/>
  <c r="C1077" i="3"/>
  <c r="C1075" i="3"/>
  <c r="C1074" i="3"/>
  <c r="C1073" i="3"/>
  <c r="C1071" i="3"/>
  <c r="C1068" i="3"/>
  <c r="C1063" i="3"/>
  <c r="C1062" i="3"/>
  <c r="C1060" i="3"/>
  <c r="C1058" i="3"/>
  <c r="C1055" i="3"/>
  <c r="C1052" i="3"/>
  <c r="C1051" i="3"/>
  <c r="I1130" i="4"/>
  <c r="I1129" i="4"/>
  <c r="I1128" i="4"/>
  <c r="I1126" i="4"/>
  <c r="I1125" i="4"/>
  <c r="I1124" i="4"/>
  <c r="I1123" i="4"/>
  <c r="I1122" i="4"/>
  <c r="I1121" i="4"/>
  <c r="I1120" i="4"/>
  <c r="I1119" i="4"/>
  <c r="I1118" i="4"/>
  <c r="I1117" i="4"/>
  <c r="I1115" i="4"/>
  <c r="I1114" i="4"/>
  <c r="I1113" i="4"/>
  <c r="I1111" i="4"/>
  <c r="I1109" i="4"/>
  <c r="I1108" i="4"/>
  <c r="I1107" i="4"/>
  <c r="I1106" i="4"/>
  <c r="I1105" i="4"/>
  <c r="I1104" i="4"/>
  <c r="I1101" i="4"/>
  <c r="I1099" i="4"/>
  <c r="I1097" i="4"/>
  <c r="I1094" i="4"/>
  <c r="I1091" i="4"/>
  <c r="I1090" i="4"/>
  <c r="I1088" i="4"/>
  <c r="I1086" i="4"/>
  <c r="I1083" i="4"/>
  <c r="I1082" i="4"/>
  <c r="I1081" i="4"/>
  <c r="I1080" i="4"/>
  <c r="I1079" i="4"/>
  <c r="I1078" i="4"/>
  <c r="I1076" i="4"/>
  <c r="I1075" i="4"/>
  <c r="I1074" i="4"/>
  <c r="I1073" i="4"/>
  <c r="I1072" i="4"/>
  <c r="I1071" i="4"/>
  <c r="I1070" i="4"/>
  <c r="I1068" i="4"/>
  <c r="I1067" i="4"/>
  <c r="I1066" i="4"/>
  <c r="I1065" i="4"/>
  <c r="I1064" i="4"/>
  <c r="I1063" i="4"/>
  <c r="I1062" i="4"/>
  <c r="I1061" i="4"/>
  <c r="I1060" i="4"/>
  <c r="I1059" i="4"/>
  <c r="I1058" i="4"/>
  <c r="I1056" i="4"/>
  <c r="I1054" i="4"/>
  <c r="I1053" i="4"/>
  <c r="I1051" i="4"/>
  <c r="I1050" i="4"/>
  <c r="I1048" i="4"/>
  <c r="I1046" i="4"/>
  <c r="G1045" i="4"/>
  <c r="G1085" i="4"/>
  <c r="B1095" i="3"/>
  <c r="B1092" i="3"/>
  <c r="B1090" i="3"/>
  <c r="B1087" i="3"/>
  <c r="B1084" i="3"/>
  <c r="B1082" i="3"/>
  <c r="B1079" i="3"/>
  <c r="B1076" i="3"/>
  <c r="B1071" i="3"/>
  <c r="B1069" i="3"/>
  <c r="B1068" i="3"/>
  <c r="B1066" i="3"/>
  <c r="B1063" i="3"/>
  <c r="B1061" i="3"/>
  <c r="B1060" i="3"/>
  <c r="B1058" i="3"/>
  <c r="B1055" i="3"/>
  <c r="B1053" i="3"/>
  <c r="B1052" i="3"/>
  <c r="B1050" i="3"/>
  <c r="B1074" i="3"/>
  <c r="E1075" i="3"/>
  <c r="E1072" i="3"/>
  <c r="E1070" i="3"/>
  <c r="E1068" i="3"/>
  <c r="E1066" i="3"/>
  <c r="E1064" i="3"/>
  <c r="E1062" i="3"/>
  <c r="E1060" i="3"/>
  <c r="E1058" i="3"/>
  <c r="E1056" i="3"/>
  <c r="E1054" i="3"/>
  <c r="E1052" i="3"/>
  <c r="E1050" i="3"/>
  <c r="D1072" i="3"/>
  <c r="D1070" i="3"/>
  <c r="D1068" i="3"/>
  <c r="D1066" i="3"/>
  <c r="D1064" i="3"/>
  <c r="D1062" i="3"/>
  <c r="D1060" i="3"/>
  <c r="D1058" i="3"/>
  <c r="D1056" i="3"/>
  <c r="D1054" i="3"/>
  <c r="D1052" i="3"/>
  <c r="D1050" i="3"/>
  <c r="B1098" i="3" l="1"/>
  <c r="C1098" i="3"/>
  <c r="D1098" i="3"/>
  <c r="E1098" i="3"/>
  <c r="A1099" i="3"/>
  <c r="B1075" i="2"/>
  <c r="A1076" i="2"/>
  <c r="B1098" i="1"/>
  <c r="J1098" i="1"/>
  <c r="C1098" i="1"/>
  <c r="L1098" i="1"/>
  <c r="M1098" i="1"/>
  <c r="N1098" i="1"/>
  <c r="H1098" i="1"/>
  <c r="I1098" i="1"/>
  <c r="F1098" i="1"/>
  <c r="G1098" i="1"/>
  <c r="D1098" i="1"/>
  <c r="E1098" i="1"/>
  <c r="O1098" i="1"/>
  <c r="P1098" i="1"/>
  <c r="A1099" i="1"/>
  <c r="Q1098" i="1"/>
  <c r="B1099" i="1" l="1"/>
  <c r="J1099" i="1"/>
  <c r="C1099" i="1"/>
  <c r="L1099" i="1"/>
  <c r="F1099" i="1"/>
  <c r="Q1099" i="1"/>
  <c r="A1100" i="1"/>
  <c r="G1099" i="1"/>
  <c r="D1099" i="1"/>
  <c r="O1099" i="1"/>
  <c r="E1099" i="1"/>
  <c r="P1099" i="1"/>
  <c r="I1099" i="1"/>
  <c r="M1099" i="1"/>
  <c r="N1099" i="1"/>
  <c r="H1099" i="1"/>
  <c r="B1076" i="2"/>
  <c r="A1077" i="2"/>
  <c r="E1099" i="3"/>
  <c r="A1100" i="3"/>
  <c r="B1099" i="3"/>
  <c r="C1099" i="3"/>
  <c r="D1099" i="3"/>
  <c r="B1100" i="1" l="1"/>
  <c r="J1100" i="1"/>
  <c r="C1100" i="1"/>
  <c r="L1100" i="1"/>
  <c r="I1100" i="1"/>
  <c r="M1100" i="1"/>
  <c r="N1100" i="1"/>
  <c r="H1100" i="1"/>
  <c r="Q1100" i="1"/>
  <c r="A1101" i="1"/>
  <c r="O1100" i="1"/>
  <c r="P1100" i="1"/>
  <c r="F1100" i="1"/>
  <c r="G1100" i="1"/>
  <c r="E1100" i="1"/>
  <c r="D1100" i="1"/>
  <c r="B1100" i="3"/>
  <c r="A1101" i="3"/>
  <c r="D1100" i="3"/>
  <c r="E1100" i="3"/>
  <c r="C1100" i="3"/>
  <c r="A1078" i="2"/>
  <c r="B1077" i="2"/>
  <c r="B1078" i="2" l="1"/>
  <c r="A1079" i="2"/>
  <c r="C1101" i="3"/>
  <c r="D1101" i="3"/>
  <c r="E1101" i="3"/>
  <c r="B1101" i="3"/>
  <c r="A1102" i="3"/>
  <c r="B1101" i="1"/>
  <c r="J1101" i="1"/>
  <c r="C1101" i="1"/>
  <c r="L1101" i="1"/>
  <c r="F1101" i="1"/>
  <c r="Q1101" i="1"/>
  <c r="G1101" i="1"/>
  <c r="A1102" i="1"/>
  <c r="D1101" i="1"/>
  <c r="O1101" i="1"/>
  <c r="E1101" i="1"/>
  <c r="P1101" i="1"/>
  <c r="H1101" i="1"/>
  <c r="I1101" i="1"/>
  <c r="M1101" i="1"/>
  <c r="N1101" i="1"/>
  <c r="B1102" i="1" l="1"/>
  <c r="J1102" i="1"/>
  <c r="C1102" i="1"/>
  <c r="L1102" i="1"/>
  <c r="I1102" i="1"/>
  <c r="M1102" i="1"/>
  <c r="N1102" i="1"/>
  <c r="H1102" i="1"/>
  <c r="F1102" i="1"/>
  <c r="G1102" i="1"/>
  <c r="D1102" i="1"/>
  <c r="E1102" i="1"/>
  <c r="Q1102" i="1"/>
  <c r="A1103" i="1"/>
  <c r="O1102" i="1"/>
  <c r="P1102" i="1"/>
  <c r="A1103" i="3"/>
  <c r="C1102" i="3"/>
  <c r="D1102" i="3"/>
  <c r="E1102" i="3"/>
  <c r="B1102" i="3"/>
  <c r="A1080" i="2"/>
  <c r="B1079" i="2"/>
  <c r="B1080" i="2" l="1"/>
  <c r="A1081" i="2"/>
  <c r="B1103" i="1"/>
  <c r="J1103" i="1"/>
  <c r="C1103" i="1"/>
  <c r="L1103" i="1"/>
  <c r="F1103" i="1"/>
  <c r="Q1103" i="1"/>
  <c r="A1104" i="1"/>
  <c r="G1103" i="1"/>
  <c r="D1103" i="1"/>
  <c r="O1103" i="1"/>
  <c r="E1103" i="1"/>
  <c r="P1103" i="1"/>
  <c r="M1103" i="1"/>
  <c r="N1103" i="1"/>
  <c r="H1103" i="1"/>
  <c r="I1103" i="1"/>
  <c r="B1103" i="3"/>
  <c r="C1103" i="3"/>
  <c r="E1103" i="3"/>
  <c r="A1104" i="3"/>
  <c r="D1103" i="3"/>
  <c r="D1104" i="3" l="1"/>
  <c r="E1104" i="3"/>
  <c r="A1105" i="3"/>
  <c r="B1104" i="3"/>
  <c r="C1104" i="3"/>
  <c r="A1082" i="2"/>
  <c r="B1081" i="2"/>
  <c r="B1104" i="1"/>
  <c r="J1104" i="1"/>
  <c r="C1104" i="1"/>
  <c r="L1104" i="1"/>
  <c r="I1104" i="1"/>
  <c r="M1104" i="1"/>
  <c r="N1104" i="1"/>
  <c r="H1104" i="1"/>
  <c r="P1104" i="1"/>
  <c r="Q1104" i="1"/>
  <c r="A1105" i="1"/>
  <c r="O1104" i="1"/>
  <c r="D1104" i="1"/>
  <c r="E1104" i="1"/>
  <c r="F1104" i="1"/>
  <c r="G1104" i="1"/>
  <c r="A1106" i="3" l="1"/>
  <c r="D1105" i="3"/>
  <c r="E1105" i="3"/>
  <c r="C1105" i="3"/>
  <c r="B1105" i="3"/>
  <c r="B1082" i="2"/>
  <c r="A1083" i="2"/>
  <c r="B1105" i="1"/>
  <c r="J1105" i="1"/>
  <c r="C1105" i="1"/>
  <c r="L1105" i="1"/>
  <c r="P1105" i="1"/>
  <c r="F1105" i="1"/>
  <c r="Q1105" i="1"/>
  <c r="G1105" i="1"/>
  <c r="A1106" i="1"/>
  <c r="D1105" i="1"/>
  <c r="O1105" i="1"/>
  <c r="E1105" i="1"/>
  <c r="M1105" i="1"/>
  <c r="N1105" i="1"/>
  <c r="I1105" i="1"/>
  <c r="H1105" i="1"/>
  <c r="B1106" i="1" l="1"/>
  <c r="J1106" i="1"/>
  <c r="C1106" i="1"/>
  <c r="L1106" i="1"/>
  <c r="M1106" i="1"/>
  <c r="N1106" i="1"/>
  <c r="H1106" i="1"/>
  <c r="I1106" i="1"/>
  <c r="F1106" i="1"/>
  <c r="G1106" i="1"/>
  <c r="D1106" i="1"/>
  <c r="E1106" i="1"/>
  <c r="O1106" i="1"/>
  <c r="P1106" i="1"/>
  <c r="Q1106" i="1"/>
  <c r="A1107" i="1"/>
  <c r="B1083" i="2"/>
  <c r="A1084" i="2"/>
  <c r="B1106" i="3"/>
  <c r="C1106" i="3"/>
  <c r="D1106" i="3"/>
  <c r="E1106" i="3"/>
  <c r="A1107" i="3"/>
  <c r="B1107" i="1" l="1"/>
  <c r="J1107" i="1"/>
  <c r="C1107" i="1"/>
  <c r="L1107" i="1"/>
  <c r="E1107" i="1"/>
  <c r="F1107" i="1"/>
  <c r="Q1107" i="1"/>
  <c r="G1107" i="1"/>
  <c r="A1108" i="1"/>
  <c r="D1107" i="1"/>
  <c r="O1107" i="1"/>
  <c r="P1107" i="1"/>
  <c r="M1107" i="1"/>
  <c r="N1107" i="1"/>
  <c r="H1107" i="1"/>
  <c r="I1107" i="1"/>
  <c r="E1107" i="3"/>
  <c r="A1108" i="3"/>
  <c r="C1107" i="3"/>
  <c r="D1107" i="3"/>
  <c r="B1107" i="3"/>
  <c r="B1084" i="2"/>
  <c r="A1085" i="2"/>
  <c r="A1086" i="2" l="1"/>
  <c r="B1085" i="2"/>
  <c r="B1108" i="3"/>
  <c r="E1108" i="3"/>
  <c r="A1109" i="3"/>
  <c r="D1108" i="3"/>
  <c r="C1108" i="3"/>
  <c r="B1108" i="1"/>
  <c r="J1108" i="1"/>
  <c r="C1108" i="1"/>
  <c r="L1108" i="1"/>
  <c r="I1108" i="1"/>
  <c r="M1108" i="1"/>
  <c r="N1108" i="1"/>
  <c r="H1108" i="1"/>
  <c r="P1108" i="1"/>
  <c r="Q1108" i="1"/>
  <c r="A1109" i="1"/>
  <c r="O1108" i="1"/>
  <c r="F1108" i="1"/>
  <c r="G1108" i="1"/>
  <c r="D1108" i="1"/>
  <c r="E1108" i="1"/>
  <c r="C1109" i="3" l="1"/>
  <c r="D1109" i="3"/>
  <c r="E1109" i="3"/>
  <c r="B1109" i="3"/>
  <c r="A1110" i="3"/>
  <c r="B1109" i="1"/>
  <c r="J1109" i="1"/>
  <c r="C1109" i="1"/>
  <c r="L1109" i="1"/>
  <c r="P1109" i="1"/>
  <c r="F1109" i="1"/>
  <c r="Q1109" i="1"/>
  <c r="A1110" i="1"/>
  <c r="G1109" i="1"/>
  <c r="D1109" i="1"/>
  <c r="O1109" i="1"/>
  <c r="E1109" i="1"/>
  <c r="H1109" i="1"/>
  <c r="M1109" i="1"/>
  <c r="I1109" i="1"/>
  <c r="N1109" i="1"/>
  <c r="B1086" i="2"/>
  <c r="A1087" i="2"/>
  <c r="A1088" i="2" l="1"/>
  <c r="B1087" i="2"/>
  <c r="A1111" i="3"/>
  <c r="B1110" i="3"/>
  <c r="E1110" i="3"/>
  <c r="D1110" i="3"/>
  <c r="C1110" i="3"/>
  <c r="B1110" i="1"/>
  <c r="J1110" i="1"/>
  <c r="C1110" i="1"/>
  <c r="L1110" i="1"/>
  <c r="M1110" i="1"/>
  <c r="N1110" i="1"/>
  <c r="H1110" i="1"/>
  <c r="I1110" i="1"/>
  <c r="F1110" i="1"/>
  <c r="G1110" i="1"/>
  <c r="D1110" i="1"/>
  <c r="E1110" i="1"/>
  <c r="Q1110" i="1"/>
  <c r="A1111" i="1"/>
  <c r="P1110" i="1"/>
  <c r="O1110" i="1"/>
  <c r="B1111" i="1" l="1"/>
  <c r="J1111" i="1"/>
  <c r="C1111" i="1"/>
  <c r="L1111" i="1"/>
  <c r="P1111" i="1"/>
  <c r="F1111" i="1"/>
  <c r="Q1111" i="1"/>
  <c r="G1111" i="1"/>
  <c r="A1112" i="1"/>
  <c r="D1111" i="1"/>
  <c r="O1111" i="1"/>
  <c r="E1111" i="1"/>
  <c r="M1111" i="1"/>
  <c r="N1111" i="1"/>
  <c r="H1111" i="1"/>
  <c r="I1111" i="1"/>
  <c r="B1111" i="3"/>
  <c r="C1111" i="3"/>
  <c r="D1111" i="3"/>
  <c r="E1111" i="3"/>
  <c r="A1112" i="3"/>
  <c r="B1088" i="2"/>
  <c r="A1089" i="2"/>
  <c r="A1090" i="2" l="1"/>
  <c r="B1089" i="2"/>
  <c r="D1112" i="3"/>
  <c r="E1112" i="3"/>
  <c r="A1113" i="3"/>
  <c r="C1112" i="3"/>
  <c r="B1112" i="3"/>
  <c r="B1112" i="1"/>
  <c r="J1112" i="1"/>
  <c r="C1112" i="1"/>
  <c r="L1112" i="1"/>
  <c r="M1112" i="1"/>
  <c r="N1112" i="1"/>
  <c r="H1112" i="1"/>
  <c r="O1112" i="1"/>
  <c r="P1112" i="1"/>
  <c r="Q1112" i="1"/>
  <c r="I1112" i="1"/>
  <c r="D1112" i="1"/>
  <c r="E1112" i="1"/>
  <c r="G1112" i="1"/>
  <c r="F1112" i="1"/>
  <c r="A1113" i="1"/>
  <c r="B1113" i="1" l="1"/>
  <c r="J1113" i="1"/>
  <c r="C1113" i="1"/>
  <c r="L1113" i="1"/>
  <c r="F1113" i="1"/>
  <c r="Q1113" i="1"/>
  <c r="A1114" i="1"/>
  <c r="G1113" i="1"/>
  <c r="D1113" i="1"/>
  <c r="O1113" i="1"/>
  <c r="P1113" i="1"/>
  <c r="M1113" i="1"/>
  <c r="N1113" i="1"/>
  <c r="H1113" i="1"/>
  <c r="I1113" i="1"/>
  <c r="E1113" i="1"/>
  <c r="E1113" i="3"/>
  <c r="A1114" i="3"/>
  <c r="B1113" i="3"/>
  <c r="C1113" i="3"/>
  <c r="D1113" i="3"/>
  <c r="B1090" i="2"/>
  <c r="A1091" i="2"/>
  <c r="B1091" i="2" l="1"/>
  <c r="A1092" i="2"/>
  <c r="B1114" i="1"/>
  <c r="J1114" i="1"/>
  <c r="C1114" i="1"/>
  <c r="L1114" i="1"/>
  <c r="M1114" i="1"/>
  <c r="N1114" i="1"/>
  <c r="H1114" i="1"/>
  <c r="Q1114" i="1"/>
  <c r="D1114" i="1"/>
  <c r="A1115" i="1"/>
  <c r="O1114" i="1"/>
  <c r="P1114" i="1"/>
  <c r="E1114" i="1"/>
  <c r="F1114" i="1"/>
  <c r="G1114" i="1"/>
  <c r="I1114" i="1"/>
  <c r="B1114" i="3"/>
  <c r="C1114" i="3"/>
  <c r="D1114" i="3"/>
  <c r="E1114" i="3"/>
  <c r="A1115" i="3"/>
  <c r="E1115" i="3" l="1"/>
  <c r="A1116" i="3"/>
  <c r="D1115" i="3"/>
  <c r="C1115" i="3"/>
  <c r="B1115" i="3"/>
  <c r="C1115" i="1"/>
  <c r="E1115" i="1"/>
  <c r="N1115" i="1"/>
  <c r="F1115" i="1"/>
  <c r="O1115" i="1"/>
  <c r="B1115" i="1"/>
  <c r="L1115" i="1"/>
  <c r="M1115" i="1"/>
  <c r="P1115" i="1"/>
  <c r="Q1115" i="1"/>
  <c r="J1115" i="1"/>
  <c r="A1116" i="1"/>
  <c r="H1115" i="1"/>
  <c r="I1115" i="1"/>
  <c r="D1115" i="1"/>
  <c r="G1115" i="1"/>
  <c r="A1093" i="2"/>
  <c r="B1092" i="2"/>
  <c r="A1094" i="2" l="1"/>
  <c r="B1093" i="2"/>
  <c r="B1116" i="3"/>
  <c r="D1116" i="3"/>
  <c r="E1116" i="3"/>
  <c r="C1116" i="3"/>
  <c r="A1117" i="3"/>
  <c r="E1116" i="1"/>
  <c r="N1116" i="1"/>
  <c r="F1116" i="1"/>
  <c r="O1116" i="1"/>
  <c r="C1116" i="1"/>
  <c r="L1116" i="1"/>
  <c r="J1116" i="1"/>
  <c r="M1116" i="1"/>
  <c r="H1116" i="1"/>
  <c r="I1116" i="1"/>
  <c r="B1116" i="1"/>
  <c r="D1116" i="1"/>
  <c r="G1116" i="1"/>
  <c r="A1117" i="1"/>
  <c r="Q1116" i="1"/>
  <c r="P1116" i="1"/>
  <c r="C1117" i="3" l="1"/>
  <c r="D1117" i="3"/>
  <c r="E1117" i="3"/>
  <c r="B1117" i="3"/>
  <c r="A1118" i="3"/>
  <c r="E1117" i="1"/>
  <c r="N1117" i="1"/>
  <c r="F1117" i="1"/>
  <c r="O1117" i="1"/>
  <c r="C1117" i="1"/>
  <c r="L1117" i="1"/>
  <c r="H1117" i="1"/>
  <c r="I1117" i="1"/>
  <c r="D1117" i="1"/>
  <c r="A1118" i="1"/>
  <c r="G1117" i="1"/>
  <c r="J1117" i="1"/>
  <c r="M1117" i="1"/>
  <c r="Q1117" i="1"/>
  <c r="B1117" i="1"/>
  <c r="P1117" i="1"/>
  <c r="B1094" i="2"/>
  <c r="A1095" i="2"/>
  <c r="B1095" i="2" l="1"/>
  <c r="A1096" i="2"/>
  <c r="E1118" i="1"/>
  <c r="N1118" i="1"/>
  <c r="F1118" i="1"/>
  <c r="O1118" i="1"/>
  <c r="C1118" i="1"/>
  <c r="L1118" i="1"/>
  <c r="B1118" i="1"/>
  <c r="D1118" i="1"/>
  <c r="A1119" i="1"/>
  <c r="G1118" i="1"/>
  <c r="P1118" i="1"/>
  <c r="Q1118" i="1"/>
  <c r="J1118" i="1"/>
  <c r="M1118" i="1"/>
  <c r="I1118" i="1"/>
  <c r="H1118" i="1"/>
  <c r="A1119" i="3"/>
  <c r="E1118" i="3"/>
  <c r="D1118" i="3"/>
  <c r="B1118" i="3"/>
  <c r="C1118" i="3"/>
  <c r="B1119" i="3" l="1"/>
  <c r="C1119" i="3"/>
  <c r="D1119" i="3"/>
  <c r="E1119" i="3"/>
  <c r="A1120" i="3"/>
  <c r="E1119" i="1"/>
  <c r="N1119" i="1"/>
  <c r="F1119" i="1"/>
  <c r="O1119" i="1"/>
  <c r="C1119" i="1"/>
  <c r="L1119" i="1"/>
  <c r="P1119" i="1"/>
  <c r="Q1119" i="1"/>
  <c r="J1119" i="1"/>
  <c r="M1119" i="1"/>
  <c r="B1119" i="1"/>
  <c r="D1119" i="1"/>
  <c r="H1119" i="1"/>
  <c r="I1119" i="1"/>
  <c r="G1119" i="1"/>
  <c r="A1120" i="1"/>
  <c r="B1096" i="2"/>
  <c r="A1097" i="2"/>
  <c r="E1120" i="1" l="1"/>
  <c r="N1120" i="1"/>
  <c r="F1120" i="1"/>
  <c r="O1120" i="1"/>
  <c r="C1120" i="1"/>
  <c r="L1120" i="1"/>
  <c r="I1120" i="1"/>
  <c r="M1120" i="1"/>
  <c r="J1120" i="1"/>
  <c r="H1120" i="1"/>
  <c r="P1120" i="1"/>
  <c r="Q1120" i="1"/>
  <c r="D1120" i="1"/>
  <c r="G1120" i="1"/>
  <c r="A1121" i="1"/>
  <c r="B1120" i="1"/>
  <c r="C1097" i="2"/>
  <c r="A1098" i="2"/>
  <c r="D1097" i="2"/>
  <c r="J1097" i="2"/>
  <c r="B1097" i="2"/>
  <c r="I1097" i="2"/>
  <c r="E1097" i="2"/>
  <c r="F1097" i="2"/>
  <c r="G1097" i="2"/>
  <c r="H1097" i="2"/>
  <c r="D1120" i="3"/>
  <c r="E1120" i="3"/>
  <c r="A1121" i="3"/>
  <c r="B1120" i="3"/>
  <c r="C1120" i="3"/>
  <c r="I1098" i="2" l="1"/>
  <c r="B1098" i="2"/>
  <c r="J1098" i="2"/>
  <c r="C1098" i="2"/>
  <c r="D1098" i="2"/>
  <c r="E1098" i="2"/>
  <c r="F1098" i="2"/>
  <c r="A1099" i="2"/>
  <c r="H1098" i="2"/>
  <c r="G1098" i="2"/>
  <c r="E1121" i="1"/>
  <c r="N1121" i="1"/>
  <c r="F1121" i="1"/>
  <c r="O1121" i="1"/>
  <c r="C1121" i="1"/>
  <c r="L1121" i="1"/>
  <c r="H1121" i="1"/>
  <c r="I1121" i="1"/>
  <c r="D1121" i="1"/>
  <c r="A1122" i="1"/>
  <c r="G1121" i="1"/>
  <c r="P1121" i="1"/>
  <c r="Q1121" i="1"/>
  <c r="B1121" i="1"/>
  <c r="J1121" i="1"/>
  <c r="M1121" i="1"/>
  <c r="D1121" i="3"/>
  <c r="E1121" i="3"/>
  <c r="B1121" i="3"/>
  <c r="C1121" i="3"/>
  <c r="A1122" i="3"/>
  <c r="G1099" i="2" l="1"/>
  <c r="H1099" i="2"/>
  <c r="B1099" i="2"/>
  <c r="C1099" i="2"/>
  <c r="F1099" i="2"/>
  <c r="I1099" i="2"/>
  <c r="J1099" i="2"/>
  <c r="E1099" i="2"/>
  <c r="D1099" i="2"/>
  <c r="A1100" i="2"/>
  <c r="B1122" i="3"/>
  <c r="C1122" i="3"/>
  <c r="D1122" i="3"/>
  <c r="A1123" i="3"/>
  <c r="E1122" i="3"/>
  <c r="E1122" i="1"/>
  <c r="N1122" i="1"/>
  <c r="O1122" i="1"/>
  <c r="F1122" i="1"/>
  <c r="C1122" i="1"/>
  <c r="L1122" i="1"/>
  <c r="Q1122" i="1"/>
  <c r="D1122" i="1"/>
  <c r="A1123" i="1"/>
  <c r="P1122" i="1"/>
  <c r="B1122" i="1"/>
  <c r="G1122" i="1"/>
  <c r="H1122" i="1"/>
  <c r="I1122" i="1"/>
  <c r="J1122" i="1"/>
  <c r="M1122" i="1"/>
  <c r="E1123" i="3" l="1"/>
  <c r="A1124" i="3"/>
  <c r="B1123" i="3"/>
  <c r="C1123" i="3"/>
  <c r="D1123" i="3"/>
  <c r="E1123" i="1"/>
  <c r="N1123" i="1"/>
  <c r="O1123" i="1"/>
  <c r="F1123" i="1"/>
  <c r="C1123" i="1"/>
  <c r="L1123" i="1"/>
  <c r="B1123" i="1"/>
  <c r="P1123" i="1"/>
  <c r="Q1123" i="1"/>
  <c r="J1123" i="1"/>
  <c r="M1123" i="1"/>
  <c r="A1124" i="1"/>
  <c r="H1123" i="1"/>
  <c r="I1123" i="1"/>
  <c r="D1123" i="1"/>
  <c r="G1123" i="1"/>
  <c r="E1100" i="2"/>
  <c r="F1100" i="2"/>
  <c r="B1100" i="2"/>
  <c r="C1100" i="2"/>
  <c r="J1100" i="2"/>
  <c r="A1101" i="2"/>
  <c r="I1100" i="2"/>
  <c r="D1100" i="2"/>
  <c r="G1100" i="2"/>
  <c r="H1100" i="2"/>
  <c r="C1101" i="2" l="1"/>
  <c r="A1102" i="2"/>
  <c r="D1101" i="2"/>
  <c r="B1101" i="2"/>
  <c r="E1101" i="2"/>
  <c r="F1101" i="2"/>
  <c r="J1101" i="2"/>
  <c r="I1101" i="2"/>
  <c r="G1101" i="2"/>
  <c r="H1101" i="2"/>
  <c r="B1124" i="3"/>
  <c r="C1124" i="3"/>
  <c r="D1124" i="3"/>
  <c r="A1125" i="3"/>
  <c r="E1124" i="3"/>
  <c r="E1124" i="1"/>
  <c r="N1124" i="1"/>
  <c r="O1124" i="1"/>
  <c r="F1124" i="1"/>
  <c r="C1124" i="1"/>
  <c r="L1124" i="1"/>
  <c r="J1124" i="1"/>
  <c r="H1124" i="1"/>
  <c r="I1124" i="1"/>
  <c r="M1124" i="1"/>
  <c r="B1124" i="1"/>
  <c r="D1124" i="1"/>
  <c r="G1124" i="1"/>
  <c r="A1125" i="1"/>
  <c r="Q1124" i="1"/>
  <c r="P1124" i="1"/>
  <c r="E1125" i="1" l="1"/>
  <c r="N1125" i="1"/>
  <c r="O1125" i="1"/>
  <c r="F1125" i="1"/>
  <c r="C1125" i="1"/>
  <c r="L1125" i="1"/>
  <c r="G1125" i="1"/>
  <c r="I1125" i="1"/>
  <c r="H1125" i="1"/>
  <c r="D1125" i="1"/>
  <c r="A1126" i="1"/>
  <c r="J1125" i="1"/>
  <c r="M1125" i="1"/>
  <c r="P1125" i="1"/>
  <c r="B1125" i="1"/>
  <c r="Q1125" i="1"/>
  <c r="I1102" i="2"/>
  <c r="B1102" i="2"/>
  <c r="J1102" i="2"/>
  <c r="D1102" i="2"/>
  <c r="E1102" i="2"/>
  <c r="F1102" i="2"/>
  <c r="G1102" i="2"/>
  <c r="H1102" i="2"/>
  <c r="C1102" i="2"/>
  <c r="A1103" i="2"/>
  <c r="C1125" i="3"/>
  <c r="D1125" i="3"/>
  <c r="E1125" i="3"/>
  <c r="A1126" i="3"/>
  <c r="B1125" i="3"/>
  <c r="E1126" i="1" l="1"/>
  <c r="N1126" i="1"/>
  <c r="O1126" i="1"/>
  <c r="F1126" i="1"/>
  <c r="C1126" i="1"/>
  <c r="L1126" i="1"/>
  <c r="Q1126" i="1"/>
  <c r="D1126" i="1"/>
  <c r="A1127" i="1"/>
  <c r="P1126" i="1"/>
  <c r="B1126" i="1"/>
  <c r="G1126" i="1"/>
  <c r="J1126" i="1"/>
  <c r="M1126" i="1"/>
  <c r="I1126" i="1"/>
  <c r="H1126" i="1"/>
  <c r="A1127" i="3"/>
  <c r="D1126" i="3"/>
  <c r="E1126" i="3"/>
  <c r="B1126" i="3"/>
  <c r="C1126" i="3"/>
  <c r="G1103" i="2"/>
  <c r="H1103" i="2"/>
  <c r="D1103" i="2"/>
  <c r="E1103" i="2"/>
  <c r="J1103" i="2"/>
  <c r="A1104" i="2"/>
  <c r="I1103" i="2"/>
  <c r="B1103" i="2"/>
  <c r="C1103" i="2"/>
  <c r="F1103" i="2"/>
  <c r="E1104" i="2" l="1"/>
  <c r="F1104" i="2"/>
  <c r="D1104" i="2"/>
  <c r="G1104" i="2"/>
  <c r="B1104" i="2"/>
  <c r="A1105" i="2"/>
  <c r="J1104" i="2"/>
  <c r="I1104" i="2"/>
  <c r="H1104" i="2"/>
  <c r="C1104" i="2"/>
  <c r="B1127" i="3"/>
  <c r="C1127" i="3"/>
  <c r="D1127" i="3"/>
  <c r="A1128" i="3"/>
  <c r="E1127" i="3"/>
  <c r="E1127" i="1"/>
  <c r="N1127" i="1"/>
  <c r="O1127" i="1"/>
  <c r="F1127" i="1"/>
  <c r="C1127" i="1"/>
  <c r="L1127" i="1"/>
  <c r="B1127" i="1"/>
  <c r="P1127" i="1"/>
  <c r="Q1127" i="1"/>
  <c r="J1127" i="1"/>
  <c r="M1127" i="1"/>
  <c r="D1127" i="1"/>
  <c r="G1127" i="1"/>
  <c r="I1127" i="1"/>
  <c r="H1127" i="1"/>
  <c r="A1128" i="1"/>
  <c r="E1128" i="1" l="1"/>
  <c r="N1128" i="1"/>
  <c r="O1128" i="1"/>
  <c r="F1128" i="1"/>
  <c r="C1128" i="1"/>
  <c r="L1128" i="1"/>
  <c r="J1128" i="1"/>
  <c r="H1128" i="1"/>
  <c r="I1128" i="1"/>
  <c r="M1128" i="1"/>
  <c r="P1128" i="1"/>
  <c r="Q1128" i="1"/>
  <c r="A1129" i="1"/>
  <c r="D1128" i="1"/>
  <c r="G1128" i="1"/>
  <c r="B1128" i="1"/>
  <c r="D1128" i="3"/>
  <c r="E1128" i="3"/>
  <c r="A1129" i="3"/>
  <c r="B1128" i="3"/>
  <c r="C1128" i="3"/>
  <c r="C1105" i="2"/>
  <c r="A1106" i="2"/>
  <c r="D1105" i="2"/>
  <c r="F1105" i="2"/>
  <c r="G1105" i="2"/>
  <c r="B1105" i="2"/>
  <c r="E1105" i="2"/>
  <c r="H1105" i="2"/>
  <c r="I1105" i="2"/>
  <c r="J1105" i="2"/>
  <c r="I1106" i="2" l="1"/>
  <c r="B1106" i="2"/>
  <c r="J1106" i="2"/>
  <c r="F1106" i="2"/>
  <c r="G1106" i="2"/>
  <c r="H1106" i="2"/>
  <c r="A1107" i="2"/>
  <c r="E1106" i="2"/>
  <c r="C1106" i="2"/>
  <c r="D1106" i="2"/>
  <c r="E1129" i="1"/>
  <c r="N1129" i="1"/>
  <c r="F1129" i="1"/>
  <c r="O1129" i="1"/>
  <c r="C1129" i="1"/>
  <c r="L1129" i="1"/>
  <c r="G1129" i="1"/>
  <c r="I1129" i="1"/>
  <c r="H1129" i="1"/>
  <c r="D1129" i="1"/>
  <c r="A1130" i="1"/>
  <c r="B1129" i="1"/>
  <c r="P1129" i="1"/>
  <c r="Q1129" i="1"/>
  <c r="M1129" i="1"/>
  <c r="J1129" i="1"/>
  <c r="C1129" i="3"/>
  <c r="D1129" i="3"/>
  <c r="E1129" i="3"/>
  <c r="A1130" i="3"/>
  <c r="B1129" i="3"/>
  <c r="G1107" i="2" l="1"/>
  <c r="H1107" i="2"/>
  <c r="F1107" i="2"/>
  <c r="I1107" i="2"/>
  <c r="B1107" i="2"/>
  <c r="A1108" i="2"/>
  <c r="J1107" i="2"/>
  <c r="E1107" i="2"/>
  <c r="C1107" i="2"/>
  <c r="D1107" i="2"/>
  <c r="B1130" i="3"/>
  <c r="C1130" i="3"/>
  <c r="D1130" i="3"/>
  <c r="E1130" i="3"/>
  <c r="A1131" i="3"/>
  <c r="E1130" i="1"/>
  <c r="N1130" i="1"/>
  <c r="F1130" i="1"/>
  <c r="O1130" i="1"/>
  <c r="C1130" i="1"/>
  <c r="L1130" i="1"/>
  <c r="D1130" i="1"/>
  <c r="A1131" i="1"/>
  <c r="P1130" i="1"/>
  <c r="B1130" i="1"/>
  <c r="Q1130" i="1"/>
  <c r="G1130" i="1"/>
  <c r="H1130" i="1"/>
  <c r="J1130" i="1"/>
  <c r="M1130" i="1"/>
  <c r="I1130" i="1"/>
  <c r="E1131" i="1" l="1"/>
  <c r="N1131" i="1"/>
  <c r="F1131" i="1"/>
  <c r="O1131" i="1"/>
  <c r="C1131" i="1"/>
  <c r="L1131" i="1"/>
  <c r="M1131" i="1"/>
  <c r="B1131" i="1"/>
  <c r="P1131" i="1"/>
  <c r="J1131" i="1"/>
  <c r="Q1131" i="1"/>
  <c r="A1132" i="1"/>
  <c r="H1131" i="1"/>
  <c r="I1131" i="1"/>
  <c r="G1131" i="1"/>
  <c r="D1131" i="1"/>
  <c r="E1131" i="3"/>
  <c r="A1132" i="3"/>
  <c r="D1131" i="3"/>
  <c r="B1131" i="3"/>
  <c r="C1131" i="3"/>
  <c r="E1108" i="2"/>
  <c r="F1108" i="2"/>
  <c r="H1108" i="2"/>
  <c r="I1108" i="2"/>
  <c r="B1108" i="2"/>
  <c r="C1108" i="2"/>
  <c r="D1108" i="2"/>
  <c r="G1108" i="2"/>
  <c r="J1108" i="2"/>
  <c r="A1109" i="2"/>
  <c r="C1109" i="2" l="1"/>
  <c r="A1110" i="2"/>
  <c r="D1109" i="2"/>
  <c r="H1109" i="2"/>
  <c r="I1109" i="2"/>
  <c r="F1109" i="2"/>
  <c r="G1109" i="2"/>
  <c r="J1109" i="2"/>
  <c r="E1109" i="2"/>
  <c r="B1109" i="2"/>
  <c r="E1132" i="1"/>
  <c r="N1132" i="1"/>
  <c r="F1132" i="1"/>
  <c r="O1132" i="1"/>
  <c r="C1132" i="1"/>
  <c r="L1132" i="1"/>
  <c r="J1132" i="1"/>
  <c r="M1132" i="1"/>
  <c r="H1132" i="1"/>
  <c r="I1132" i="1"/>
  <c r="B1132" i="1"/>
  <c r="A1133" i="1"/>
  <c r="D1132" i="1"/>
  <c r="G1132" i="1"/>
  <c r="P1132" i="1"/>
  <c r="Q1132" i="1"/>
  <c r="B1132" i="3"/>
  <c r="C1132" i="3"/>
  <c r="A1133" i="3"/>
  <c r="E1132" i="3"/>
  <c r="D1132" i="3"/>
  <c r="C1133" i="3" l="1"/>
  <c r="D1133" i="3"/>
  <c r="E1133" i="3"/>
  <c r="B1133" i="3"/>
  <c r="A1134" i="3"/>
  <c r="I1110" i="2"/>
  <c r="B1110" i="2"/>
  <c r="J1110" i="2"/>
  <c r="H1110" i="2"/>
  <c r="A1111" i="2"/>
  <c r="G1110" i="2"/>
  <c r="F1110" i="2"/>
  <c r="E1110" i="2"/>
  <c r="D1110" i="2"/>
  <c r="C1110" i="2"/>
  <c r="E1133" i="1"/>
  <c r="N1133" i="1"/>
  <c r="F1133" i="1"/>
  <c r="O1133" i="1"/>
  <c r="C1133" i="1"/>
  <c r="L1133" i="1"/>
  <c r="G1133" i="1"/>
  <c r="I1133" i="1"/>
  <c r="H1133" i="1"/>
  <c r="D1133" i="1"/>
  <c r="A1134" i="1"/>
  <c r="J1133" i="1"/>
  <c r="M1133" i="1"/>
  <c r="P1133" i="1"/>
  <c r="Q1133" i="1"/>
  <c r="B1133" i="1"/>
  <c r="A1135" i="3" l="1"/>
  <c r="C1134" i="3"/>
  <c r="D1134" i="3"/>
  <c r="E1134" i="3"/>
  <c r="B1134" i="3"/>
  <c r="E1134" i="1"/>
  <c r="N1134" i="1"/>
  <c r="F1134" i="1"/>
  <c r="O1134" i="1"/>
  <c r="C1134" i="1"/>
  <c r="L1134" i="1"/>
  <c r="Q1134" i="1"/>
  <c r="D1134" i="1"/>
  <c r="A1135" i="1"/>
  <c r="P1134" i="1"/>
  <c r="B1134" i="1"/>
  <c r="G1134" i="1"/>
  <c r="J1134" i="1"/>
  <c r="M1134" i="1"/>
  <c r="H1134" i="1"/>
  <c r="I1134" i="1"/>
  <c r="G1111" i="2"/>
  <c r="H1111" i="2"/>
  <c r="J1111" i="2"/>
  <c r="A1112" i="2"/>
  <c r="B1111" i="2"/>
  <c r="C1111" i="2"/>
  <c r="D1111" i="2"/>
  <c r="E1111" i="2"/>
  <c r="F1111" i="2"/>
  <c r="I1111" i="2"/>
  <c r="E1135" i="1" l="1"/>
  <c r="N1135" i="1"/>
  <c r="F1135" i="1"/>
  <c r="O1135" i="1"/>
  <c r="C1135" i="1"/>
  <c r="L1135" i="1"/>
  <c r="B1135" i="1"/>
  <c r="P1135" i="1"/>
  <c r="J1135" i="1"/>
  <c r="M1135" i="1"/>
  <c r="Q1135" i="1"/>
  <c r="D1135" i="1"/>
  <c r="G1135" i="1"/>
  <c r="H1135" i="1"/>
  <c r="I1135" i="1"/>
  <c r="E1112" i="2"/>
  <c r="F1112" i="2"/>
  <c r="J1112" i="2"/>
  <c r="A1113" i="2"/>
  <c r="D1112" i="2"/>
  <c r="G1112" i="2"/>
  <c r="H1112" i="2"/>
  <c r="C1112" i="2"/>
  <c r="B1112" i="2"/>
  <c r="I1112" i="2"/>
  <c r="B1135" i="3"/>
  <c r="C1135" i="3"/>
  <c r="D1135" i="3"/>
  <c r="E1135" i="3"/>
  <c r="C1113" i="2" l="1"/>
  <c r="A1114" i="2"/>
  <c r="D1113" i="2"/>
  <c r="J1113" i="2"/>
  <c r="H1113" i="2"/>
  <c r="I1113" i="2"/>
  <c r="G1113" i="2"/>
  <c r="F1113" i="2"/>
  <c r="E1113" i="2"/>
  <c r="B1113" i="2"/>
  <c r="I1114" i="2" l="1"/>
  <c r="B1114" i="2"/>
  <c r="J1114" i="2"/>
  <c r="C1114" i="2"/>
  <c r="D1114" i="2"/>
  <c r="A1115" i="2"/>
  <c r="E1114" i="2"/>
  <c r="F1114" i="2"/>
  <c r="H1114" i="2"/>
  <c r="G1114" i="2"/>
  <c r="G1115" i="2" l="1"/>
  <c r="H1115" i="2"/>
  <c r="B1115" i="2"/>
  <c r="C1115" i="2"/>
  <c r="D1115" i="2"/>
  <c r="E1115" i="2"/>
  <c r="F1115" i="2"/>
  <c r="A1116" i="2"/>
  <c r="J1115" i="2"/>
  <c r="I1115" i="2"/>
  <c r="E1116" i="2" l="1"/>
  <c r="F1116" i="2"/>
  <c r="B1116" i="2"/>
  <c r="C1116" i="2"/>
  <c r="H1116" i="2"/>
  <c r="I1116" i="2"/>
  <c r="J1116" i="2"/>
  <c r="G1116" i="2"/>
  <c r="D1116" i="2"/>
  <c r="A1117" i="2"/>
  <c r="C1117" i="2" l="1"/>
  <c r="A1118" i="2"/>
  <c r="D1117" i="2"/>
  <c r="B1117" i="2"/>
  <c r="E1117" i="2"/>
  <c r="J1117" i="2"/>
  <c r="I1117" i="2"/>
  <c r="F1117" i="2"/>
  <c r="G1117" i="2"/>
  <c r="H1117" i="2"/>
  <c r="I1118" i="2" l="1"/>
  <c r="B1118" i="2"/>
  <c r="J1118" i="2"/>
  <c r="D1118" i="2"/>
  <c r="E1118" i="2"/>
  <c r="C1118" i="2"/>
  <c r="F1118" i="2"/>
  <c r="A1119" i="2"/>
  <c r="G1118" i="2"/>
  <c r="H1118" i="2"/>
  <c r="G1119" i="2" l="1"/>
  <c r="H1119" i="2"/>
  <c r="D1119" i="2"/>
  <c r="E1119" i="2"/>
  <c r="F1119" i="2"/>
  <c r="I1119" i="2"/>
  <c r="J1119" i="2"/>
  <c r="C1119" i="2"/>
  <c r="B1119" i="2"/>
  <c r="A1120" i="2"/>
  <c r="E1120" i="2" l="1"/>
  <c r="F1120" i="2"/>
  <c r="D1120" i="2"/>
  <c r="G1120" i="2"/>
  <c r="J1120" i="2"/>
  <c r="A1121" i="2"/>
  <c r="I1120" i="2"/>
  <c r="B1120" i="2"/>
  <c r="C1120" i="2"/>
  <c r="H1120" i="2"/>
  <c r="C1121" i="2" l="1"/>
  <c r="A1122" i="2"/>
  <c r="D1121" i="2"/>
  <c r="F1121" i="2"/>
  <c r="G1121" i="2"/>
  <c r="B1121" i="2"/>
  <c r="J1121" i="2"/>
  <c r="I1121" i="2"/>
  <c r="H1121" i="2"/>
  <c r="E1121" i="2"/>
  <c r="I1122" i="2" l="1"/>
  <c r="B1122" i="2"/>
  <c r="J1122" i="2"/>
  <c r="F1122" i="2"/>
  <c r="G1122" i="2"/>
  <c r="D1122" i="2"/>
  <c r="E1122" i="2"/>
  <c r="H1122" i="2"/>
  <c r="C1122" i="2"/>
  <c r="A1123" i="2"/>
  <c r="G1123" i="2" l="1"/>
  <c r="H1123" i="2"/>
  <c r="F1123" i="2"/>
  <c r="I1123" i="2"/>
  <c r="J1123" i="2"/>
  <c r="A1124" i="2"/>
  <c r="E1123" i="2"/>
  <c r="B1123" i="2"/>
  <c r="C1123" i="2"/>
  <c r="D1123" i="2"/>
  <c r="E1124" i="2" l="1"/>
  <c r="F1124" i="2"/>
  <c r="H1124" i="2"/>
  <c r="I1124" i="2"/>
  <c r="B1124" i="2"/>
  <c r="A1125" i="2"/>
  <c r="J1124" i="2"/>
  <c r="G1124" i="2"/>
  <c r="C1124" i="2"/>
  <c r="D1124" i="2"/>
  <c r="C1125" i="2" l="1"/>
  <c r="A1126" i="2"/>
  <c r="D1125" i="2"/>
  <c r="H1125" i="2"/>
  <c r="I1125" i="2"/>
  <c r="B1125" i="2"/>
  <c r="E1125" i="2"/>
  <c r="F1125" i="2"/>
  <c r="G1125" i="2"/>
  <c r="J1125" i="2"/>
  <c r="I1126" i="2" l="1"/>
  <c r="B1126" i="2"/>
  <c r="J1126" i="2"/>
  <c r="H1126" i="2"/>
  <c r="A1127" i="2"/>
  <c r="F1126" i="2"/>
  <c r="G1126" i="2"/>
  <c r="E1126" i="2"/>
  <c r="D1126" i="2"/>
  <c r="C1126" i="2"/>
  <c r="G1127" i="2" l="1"/>
  <c r="H1127" i="2"/>
  <c r="J1127" i="2"/>
  <c r="A1128" i="2"/>
  <c r="B1127" i="2"/>
  <c r="I1127" i="2"/>
  <c r="F1127" i="2"/>
  <c r="E1127" i="2"/>
  <c r="D1127" i="2"/>
  <c r="C1127" i="2"/>
  <c r="E1128" i="2" l="1"/>
  <c r="F1128" i="2"/>
  <c r="J1128" i="2"/>
  <c r="A1129" i="2"/>
  <c r="B1128" i="2"/>
  <c r="C1128" i="2"/>
  <c r="D1128" i="2"/>
  <c r="G1128" i="2"/>
  <c r="H1128" i="2"/>
  <c r="I1128" i="2"/>
  <c r="C1129" i="2" l="1"/>
  <c r="A1130" i="2"/>
  <c r="D1129" i="2"/>
  <c r="J1129" i="2"/>
  <c r="F1129" i="2"/>
  <c r="G1129" i="2"/>
  <c r="H1129" i="2"/>
  <c r="E1129" i="2"/>
  <c r="B1129" i="2"/>
  <c r="I1129" i="2"/>
  <c r="I1130" i="2" l="1"/>
  <c r="B1130" i="2"/>
  <c r="J1130" i="2"/>
  <c r="C1130" i="2"/>
  <c r="H1130" i="2"/>
  <c r="A1131" i="2"/>
  <c r="G1130" i="2"/>
  <c r="F1130" i="2"/>
  <c r="E1130" i="2"/>
  <c r="D1130" i="2"/>
  <c r="G1131" i="2" l="1"/>
  <c r="H1131" i="2"/>
  <c r="B1131" i="2"/>
  <c r="C1131" i="2"/>
  <c r="D1131" i="2"/>
  <c r="A1132" i="2"/>
  <c r="E1131" i="2"/>
  <c r="F1131" i="2"/>
  <c r="I1131" i="2"/>
  <c r="J1131" i="2"/>
  <c r="E1132" i="2" l="1"/>
  <c r="F1132" i="2"/>
  <c r="B1132" i="2"/>
  <c r="C1132" i="2"/>
  <c r="D1132" i="2"/>
  <c r="G1132" i="2"/>
  <c r="H1132" i="2"/>
  <c r="A1133" i="2"/>
  <c r="J1132" i="2"/>
  <c r="I1132" i="2"/>
  <c r="C1133" i="2" l="1"/>
  <c r="A1134" i="2"/>
  <c r="D1133" i="2"/>
  <c r="B1133" i="2"/>
  <c r="E1133" i="2"/>
  <c r="H1133" i="2"/>
  <c r="I1133" i="2"/>
  <c r="J1133" i="2"/>
  <c r="G1133" i="2"/>
  <c r="F1133" i="2"/>
  <c r="I1134" i="2" l="1"/>
  <c r="B1134" i="2"/>
  <c r="J1134" i="2"/>
  <c r="D1134" i="2"/>
  <c r="E1134" i="2"/>
  <c r="A1135" i="2"/>
  <c r="C1134" i="2"/>
  <c r="F1134" i="2"/>
  <c r="G1134" i="2"/>
  <c r="H1134" i="2"/>
  <c r="G1135" i="2" l="1"/>
  <c r="H1135" i="2"/>
  <c r="D1135" i="2"/>
  <c r="E1135" i="2"/>
  <c r="B1135" i="2"/>
  <c r="C1135" i="2"/>
  <c r="F1135" i="2"/>
  <c r="I1135" i="2"/>
  <c r="J1135" i="2"/>
</calcChain>
</file>

<file path=xl/sharedStrings.xml><?xml version="1.0" encoding="utf-8"?>
<sst xmlns="http://schemas.openxmlformats.org/spreadsheetml/2006/main" count="161" uniqueCount="74">
  <si>
    <t>MM$</t>
  </si>
  <si>
    <t>$/MMBTU</t>
  </si>
  <si>
    <t>MONTH</t>
  </si>
  <si>
    <t>UPS REPLACEMENT SUNK DEMAND CHARGE</t>
  </si>
  <si>
    <t>BAY GAS STORAGE DEMAND CHARGE</t>
  </si>
  <si>
    <t>SABAL TRAIL &amp; FSC</t>
  </si>
  <si>
    <t>GULF SOUTH</t>
  </si>
  <si>
    <t>TRANSCO 4A</t>
  </si>
  <si>
    <t>SESH</t>
  </si>
  <si>
    <t>GULFSTREAM</t>
  </si>
  <si>
    <t>FGT</t>
  </si>
  <si>
    <t>UPS REPLACEMENT DISPATCH PRICE</t>
  </si>
  <si>
    <t>HENRY HUB</t>
  </si>
  <si>
    <r>
      <t xml:space="preserve">FSC FIRM     FROM                          </t>
    </r>
    <r>
      <rPr>
        <b/>
        <sz val="12"/>
        <color theme="5" tint="-0.249977111117893"/>
        <rFont val="Arial"/>
        <family val="2"/>
      </rPr>
      <t>SABAL TRAIL</t>
    </r>
  </si>
  <si>
    <t>GULFSTREAM NON-FIRM</t>
  </si>
  <si>
    <t>WEIGHTED AVERAGE GULFSTREAM FIRM</t>
  </si>
  <si>
    <t>FGT NON-FIRM</t>
  </si>
  <si>
    <t>WEIGHTED AVERAGE FGT FIRM</t>
  </si>
  <si>
    <t>WEIGHTED AVERAGE Z3 FGT FIRM</t>
  </si>
  <si>
    <t>ZONE 2 FGT FIRM</t>
  </si>
  <si>
    <t>ZONE 1 FGT FIRM</t>
  </si>
  <si>
    <t>FIRM TRANSPORT AND STORAGE CONTRACTS THROUGH FGT PHASE VIII</t>
  </si>
  <si>
    <t>SUNK DEMAND CHARGE FOR ALL CURRENT</t>
  </si>
  <si>
    <t>HIGH</t>
  </si>
  <si>
    <t>LOW</t>
  </si>
  <si>
    <t>November 02, 2015 - MANNY ACOSTA</t>
  </si>
  <si>
    <t>LONG-TERM FORECAST METHODOLOGY - GAS PRICE</t>
  </si>
  <si>
    <t>MMCF/DAY</t>
  </si>
  <si>
    <t>DAYS</t>
  </si>
  <si>
    <t>GULFSTREAM NON-FIRM &amp; NON-FIRM BACKHAUL</t>
  </si>
  <si>
    <t>TOTAL GULFSTREAM FIRM</t>
  </si>
  <si>
    <t>SABAL TRAIL PIPELINE</t>
  </si>
  <si>
    <t>TOTAL FGT FIRM</t>
  </si>
  <si>
    <t>ZONE 3 FGT FIRM</t>
  </si>
  <si>
    <t>FGT FIRM BY ZONE</t>
  </si>
  <si>
    <t>LONG-TERM FORECAST METHODOLOGY - CAPACITY</t>
  </si>
  <si>
    <t>$/BBL.</t>
  </si>
  <si>
    <t>WTI</t>
  </si>
  <si>
    <t>ALL PLANTS DISTILLATE</t>
  </si>
  <si>
    <t>MANATEE / TURKEY POINT RESIDUAL</t>
  </si>
  <si>
    <t>MARTIN RESIDUAL</t>
  </si>
  <si>
    <t>DISTILLATE</t>
  </si>
  <si>
    <t>RESIDUAL</t>
  </si>
  <si>
    <t>LONG-TERM FORECAST METHODOLOGY - OIL PRICE</t>
  </si>
  <si>
    <t>DISPATCH PRICE WITH SO2 &amp; NOx</t>
  </si>
  <si>
    <t>DISPATCH PRICE WITHOUT SO2 &amp; NOx</t>
  </si>
  <si>
    <t>WEIGHTED AVERAGE WITHOUT SO2 &amp; NOx</t>
  </si>
  <si>
    <t>CEDAR BAY</t>
  </si>
  <si>
    <t>ICL</t>
  </si>
  <si>
    <t>ST. JOHNS RIVER POWER PARK</t>
  </si>
  <si>
    <t>PLANT SCHERER UNIT 4</t>
  </si>
  <si>
    <t xml:space="preserve"> </t>
  </si>
  <si>
    <t>WITHOUT NOx</t>
  </si>
  <si>
    <t>WITH NOx</t>
  </si>
  <si>
    <t>Selection</t>
  </si>
  <si>
    <t>Natural Gas</t>
  </si>
  <si>
    <t>WITHOUT SO2 &amp; NOx</t>
  </si>
  <si>
    <t>WITH SO2 &amp; NOx</t>
  </si>
  <si>
    <t>Oil SO2</t>
  </si>
  <si>
    <t>HIGH PRICES</t>
  </si>
  <si>
    <t>MEDIUM PRICES</t>
  </si>
  <si>
    <t>LOW PRICES</t>
  </si>
  <si>
    <t>Coal</t>
  </si>
  <si>
    <t>Heavy &amp; Light Oil</t>
  </si>
  <si>
    <t>Florida Power &amp; Light Company</t>
  </si>
  <si>
    <t>Docket No. 160154-EI</t>
  </si>
  <si>
    <t>Staff's First Set of Interrogatories</t>
  </si>
  <si>
    <t>Interrogatory No. 2</t>
  </si>
  <si>
    <t>Tab 1 of 5</t>
  </si>
  <si>
    <t>Attachment No. 46</t>
  </si>
  <si>
    <t>Tab 5 of 5</t>
  </si>
  <si>
    <t>Tab 2 of 5</t>
  </si>
  <si>
    <t>Tab 3 of 5</t>
  </si>
  <si>
    <t>Tab 4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</si>
</sst>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"/>
    <numFmt numFmtId="166" formatCode="&quot;$&quot;#,##0.00"/>
    <numFmt numFmtId="167" formatCode="&quot;$&quot;#,##0.0"/>
    <numFmt numFmtId="168" formatCode="&quot;$&quot;#,##0.0_);[Red]\(&quot;$&quot;#,##0.0\)"/>
    <numFmt numFmtId="169" formatCode="[$-409]mmm\-yy;@"/>
    <numFmt numFmtId="170" formatCode="0.0000"/>
    <numFmt numFmtId="171" formatCode="0.0"/>
    <numFmt numFmtId="172" formatCode="_(* #,##0_);_(* \(#,##0\);_(* &quot;-&quot;??_);_(@_)"/>
  </numFmts>
  <fonts count="20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00B0F0"/>
      <name val="Arial"/>
      <family val="2"/>
    </font>
    <font>
      <b/>
      <u/>
      <sz val="16"/>
      <name val="Arial"/>
      <family val="2"/>
    </font>
    <font>
      <sz val="9"/>
      <name val="Geneva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7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12"/>
      <name val="Helv"/>
    </font>
    <font>
      <b/>
      <sz val="12"/>
      <name val="Helv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164" fontId="0" fillId="0" borderId="0">
      <alignment horizontal="left" wrapText="1"/>
    </xf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>
      <alignment wrapText="1"/>
    </xf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</cellStyleXfs>
  <cellXfs count="96">
    <xf numFmtId="164" fontId="0" fillId="0" borderId="0" xfId="0">
      <alignment horizontal="left" wrapText="1"/>
    </xf>
    <xf numFmtId="0" fontId="3" fillId="0" borderId="0" xfId="4" applyFont="1"/>
    <xf numFmtId="0" fontId="3" fillId="0" borderId="0" xfId="4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4" applyNumberFormat="1" applyFont="1" applyAlignment="1">
      <alignment horizontal="center"/>
    </xf>
    <xf numFmtId="167" fontId="3" fillId="0" borderId="0" xfId="4" applyNumberFormat="1" applyFont="1" applyAlignment="1">
      <alignment horizontal="center"/>
    </xf>
    <xf numFmtId="167" fontId="3" fillId="0" borderId="0" xfId="4" applyNumberFormat="1" applyFont="1"/>
    <xf numFmtId="166" fontId="3" fillId="0" borderId="0" xfId="4" applyNumberFormat="1" applyFont="1"/>
    <xf numFmtId="166" fontId="3" fillId="2" borderId="0" xfId="4" applyNumberFormat="1" applyFont="1" applyFill="1" applyAlignment="1">
      <alignment horizontal="center"/>
    </xf>
    <xf numFmtId="168" fontId="3" fillId="0" borderId="0" xfId="4" applyNumberFormat="1" applyFont="1" applyAlignment="1">
      <alignment horizontal="center"/>
    </xf>
    <xf numFmtId="165" fontId="3" fillId="0" borderId="0" xfId="0" applyNumberFormat="1" applyFont="1" applyAlignment="1"/>
    <xf numFmtId="167" fontId="5" fillId="0" borderId="0" xfId="4" applyNumberFormat="1" applyFont="1" applyAlignment="1">
      <alignment horizontal="center"/>
    </xf>
    <xf numFmtId="166" fontId="6" fillId="2" borderId="0" xfId="4" applyNumberFormat="1" applyFont="1" applyFill="1" applyAlignment="1">
      <alignment horizontal="center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7" fontId="5" fillId="3" borderId="0" xfId="4" applyNumberFormat="1" applyFont="1" applyFill="1" applyAlignment="1">
      <alignment horizontal="center"/>
    </xf>
    <xf numFmtId="167" fontId="5" fillId="4" borderId="0" xfId="4" applyNumberFormat="1" applyFont="1" applyFill="1" applyAlignment="1">
      <alignment horizontal="center"/>
    </xf>
    <xf numFmtId="167" fontId="5" fillId="5" borderId="0" xfId="4" applyNumberFormat="1" applyFont="1" applyFill="1" applyAlignment="1">
      <alignment horizontal="center"/>
    </xf>
    <xf numFmtId="0" fontId="3" fillId="0" borderId="0" xfId="4" applyFont="1" applyAlignment="1">
      <alignment horizontal="center" wrapText="1"/>
    </xf>
    <xf numFmtId="0" fontId="6" fillId="6" borderId="0" xfId="4" applyFont="1" applyFill="1" applyAlignment="1">
      <alignment horizontal="center" wrapText="1"/>
    </xf>
    <xf numFmtId="0" fontId="6" fillId="0" borderId="0" xfId="4" applyFont="1" applyAlignment="1">
      <alignment horizontal="center" wrapText="1"/>
    </xf>
    <xf numFmtId="0" fontId="6" fillId="2" borderId="0" xfId="4" applyFont="1" applyFill="1" applyAlignment="1">
      <alignment horizontal="center" wrapText="1"/>
    </xf>
    <xf numFmtId="0" fontId="6" fillId="6" borderId="0" xfId="4" quotePrefix="1" applyFont="1" applyFill="1" applyAlignment="1">
      <alignment horizontal="center" wrapText="1"/>
    </xf>
    <xf numFmtId="0" fontId="6" fillId="0" borderId="0" xfId="4" quotePrefix="1" applyFont="1" applyAlignment="1">
      <alignment horizontal="center" wrapText="1"/>
    </xf>
    <xf numFmtId="0" fontId="6" fillId="0" borderId="0" xfId="4" applyFont="1" applyAlignment="1">
      <alignment horizontal="center"/>
    </xf>
    <xf numFmtId="0" fontId="6" fillId="0" borderId="0" xfId="4" applyFont="1" applyAlignment="1"/>
    <xf numFmtId="10" fontId="8" fillId="7" borderId="0" xfId="4" applyNumberFormat="1" applyFont="1" applyFill="1" applyAlignment="1">
      <alignment horizontal="center"/>
    </xf>
    <xf numFmtId="0" fontId="6" fillId="7" borderId="0" xfId="4" applyFont="1" applyFill="1" applyAlignment="1">
      <alignment horizontal="center"/>
    </xf>
    <xf numFmtId="170" fontId="3" fillId="0" borderId="0" xfId="4" applyNumberFormat="1" applyFont="1"/>
    <xf numFmtId="1" fontId="3" fillId="0" borderId="0" xfId="4" applyNumberFormat="1" applyFont="1"/>
    <xf numFmtId="15" fontId="6" fillId="0" borderId="0" xfId="4" applyNumberFormat="1" applyFont="1" applyAlignment="1">
      <alignment horizontal="left"/>
    </xf>
    <xf numFmtId="165" fontId="9" fillId="0" borderId="0" xfId="0" quotePrefix="1" applyNumberFormat="1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0" xfId="4"/>
    <xf numFmtId="1" fontId="3" fillId="0" borderId="0" xfId="4" applyNumberFormat="1" applyFont="1" applyAlignment="1">
      <alignment horizontal="center"/>
    </xf>
    <xf numFmtId="1" fontId="2" fillId="0" borderId="0" xfId="4" applyNumberFormat="1" applyFont="1" applyAlignment="1">
      <alignment horizontal="center"/>
    </xf>
    <xf numFmtId="1" fontId="3" fillId="8" borderId="0" xfId="4" applyNumberFormat="1" applyFont="1" applyFill="1" applyAlignment="1">
      <alignment horizontal="center"/>
    </xf>
    <xf numFmtId="3" fontId="3" fillId="0" borderId="0" xfId="4" applyNumberFormat="1" applyFont="1" applyAlignment="1">
      <alignment horizontal="center"/>
    </xf>
    <xf numFmtId="3" fontId="3" fillId="8" borderId="0" xfId="4" applyNumberFormat="1" applyFont="1" applyFill="1" applyAlignment="1">
      <alignment horizontal="center"/>
    </xf>
    <xf numFmtId="171" fontId="6" fillId="9" borderId="0" xfId="4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/>
    <xf numFmtId="1" fontId="6" fillId="0" borderId="0" xfId="4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/>
    <xf numFmtId="0" fontId="6" fillId="0" borderId="0" xfId="4" applyFont="1" applyFill="1" applyAlignment="1">
      <alignment horizontal="center" wrapText="1"/>
    </xf>
    <xf numFmtId="0" fontId="6" fillId="9" borderId="0" xfId="4" applyFont="1" applyFill="1" applyAlignment="1">
      <alignment horizontal="center" wrapText="1"/>
    </xf>
    <xf numFmtId="0" fontId="6" fillId="2" borderId="0" xfId="4" quotePrefix="1" applyFont="1" applyFill="1" applyAlignment="1">
      <alignment horizontal="center" wrapText="1"/>
    </xf>
    <xf numFmtId="0" fontId="6" fillId="0" borderId="0" xfId="4" quotePrefix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4" applyFont="1" applyFill="1" applyAlignment="1"/>
    <xf numFmtId="0" fontId="6" fillId="10" borderId="0" xfId="4" applyFont="1" applyFill="1" applyAlignment="1">
      <alignment horizontal="center"/>
    </xf>
    <xf numFmtId="0" fontId="6" fillId="0" borderId="0" xfId="4" applyFont="1"/>
    <xf numFmtId="0" fontId="2" fillId="0" borderId="0" xfId="4" applyFont="1" applyAlignment="1">
      <alignment horizontal="center" wrapText="1"/>
    </xf>
    <xf numFmtId="0" fontId="6" fillId="0" borderId="0" xfId="4" quotePrefix="1" applyFont="1" applyFill="1" applyAlignment="1">
      <alignment horizontal="center" wrapText="1"/>
    </xf>
    <xf numFmtId="0" fontId="6" fillId="8" borderId="0" xfId="4" applyFont="1" applyFill="1" applyAlignment="1"/>
    <xf numFmtId="15" fontId="6" fillId="0" borderId="0" xfId="4" applyNumberFormat="1" applyFont="1" applyFill="1" applyAlignment="1">
      <alignment horizontal="left"/>
    </xf>
    <xf numFmtId="9" fontId="11" fillId="13" borderId="0" xfId="3" applyFont="1" applyFill="1" applyAlignment="1">
      <alignment horizontal="center"/>
    </xf>
    <xf numFmtId="0" fontId="12" fillId="13" borderId="0" xfId="4" applyFont="1" applyFill="1" applyAlignment="1">
      <alignment horizontal="center"/>
    </xf>
    <xf numFmtId="0" fontId="2" fillId="0" borderId="0" xfId="4" applyFont="1" applyFill="1"/>
    <xf numFmtId="0" fontId="13" fillId="0" borderId="0" xfId="4" applyFont="1" applyFill="1"/>
    <xf numFmtId="0" fontId="14" fillId="0" borderId="0" xfId="4" quotePrefix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44" fontId="15" fillId="0" borderId="0" xfId="2" applyFont="1" applyAlignment="1">
      <alignment horizontal="center"/>
    </xf>
    <xf numFmtId="44" fontId="6" fillId="0" borderId="0" xfId="2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14" borderId="0" xfId="0" quotePrefix="1" applyNumberFormat="1" applyFont="1" applyFill="1" applyAlignment="1">
      <alignment horizontal="center" vertical="center" wrapText="1"/>
    </xf>
    <xf numFmtId="165" fontId="6" fillId="2" borderId="0" xfId="0" quotePrefix="1" applyNumberFormat="1" applyFont="1" applyFill="1" applyAlignment="1">
      <alignment horizontal="center" vertical="center" wrapText="1"/>
    </xf>
    <xf numFmtId="165" fontId="6" fillId="10" borderId="0" xfId="0" quotePrefix="1" applyNumberFormat="1" applyFont="1" applyFill="1" applyAlignment="1">
      <alignment horizontal="center" vertical="center" wrapText="1"/>
    </xf>
    <xf numFmtId="0" fontId="16" fillId="0" borderId="0" xfId="4" applyFont="1"/>
    <xf numFmtId="10" fontId="8" fillId="7" borderId="0" xfId="4" quotePrefix="1" applyNumberFormat="1" applyFont="1" applyFill="1" applyAlignment="1">
      <alignment horizontal="center"/>
    </xf>
    <xf numFmtId="15" fontId="6" fillId="7" borderId="0" xfId="4" applyNumberFormat="1" applyFont="1" applyFill="1" applyAlignment="1">
      <alignment horizontal="left"/>
    </xf>
    <xf numFmtId="15" fontId="6" fillId="0" borderId="0" xfId="4" quotePrefix="1" applyNumberFormat="1" applyFont="1" applyAlignment="1">
      <alignment horizontal="left"/>
    </xf>
    <xf numFmtId="0" fontId="17" fillId="0" borderId="0" xfId="4" applyFont="1"/>
    <xf numFmtId="165" fontId="0" fillId="0" borderId="0" xfId="0" applyNumberFormat="1" applyAlignment="1"/>
    <xf numFmtId="43" fontId="0" fillId="0" borderId="0" xfId="1" applyFont="1" applyAlignment="1"/>
    <xf numFmtId="165" fontId="0" fillId="0" borderId="0" xfId="0" quotePrefix="1" applyNumberFormat="1" applyAlignment="1"/>
    <xf numFmtId="165" fontId="18" fillId="0" borderId="1" xfId="0" quotePrefix="1" applyNumberFormat="1" applyFont="1" applyBorder="1" applyAlignment="1">
      <alignment horizontal="left"/>
    </xf>
    <xf numFmtId="165" fontId="18" fillId="0" borderId="3" xfId="0" quotePrefix="1" applyNumberFormat="1" applyFont="1" applyBorder="1" applyAlignment="1">
      <alignment horizontal="left"/>
    </xf>
    <xf numFmtId="165" fontId="19" fillId="0" borderId="4" xfId="0" applyNumberFormat="1" applyFont="1" applyBorder="1" applyAlignment="1"/>
    <xf numFmtId="165" fontId="18" fillId="0" borderId="1" xfId="0" applyNumberFormat="1" applyFont="1" applyBorder="1" applyAlignment="1"/>
    <xf numFmtId="165" fontId="18" fillId="0" borderId="3" xfId="0" applyNumberFormat="1" applyFont="1" applyBorder="1" applyAlignment="1"/>
    <xf numFmtId="165" fontId="19" fillId="0" borderId="0" xfId="0" applyNumberFormat="1" applyFont="1" applyAlignment="1">
      <alignment horizontal="left"/>
    </xf>
    <xf numFmtId="0" fontId="6" fillId="6" borderId="0" xfId="4" quotePrefix="1" applyFont="1" applyFill="1" applyAlignment="1">
      <alignment horizontal="center"/>
    </xf>
    <xf numFmtId="0" fontId="6" fillId="11" borderId="0" xfId="4" quotePrefix="1" applyFont="1" applyFill="1" applyAlignment="1">
      <alignment horizontal="center"/>
    </xf>
    <xf numFmtId="0" fontId="6" fillId="12" borderId="0" xfId="4" applyFont="1" applyFill="1" applyAlignment="1">
      <alignment horizontal="center"/>
    </xf>
    <xf numFmtId="165" fontId="6" fillId="11" borderId="0" xfId="0" quotePrefix="1" applyNumberFormat="1" applyFont="1" applyFill="1" applyAlignment="1">
      <alignment horizontal="center"/>
    </xf>
    <xf numFmtId="0" fontId="6" fillId="0" borderId="0" xfId="4" applyFont="1" applyAlignment="1">
      <alignment horizontal="center"/>
    </xf>
    <xf numFmtId="0" fontId="6" fillId="9" borderId="0" xfId="4" quotePrefix="1" applyFont="1" applyFill="1" applyAlignment="1">
      <alignment horizontal="center"/>
    </xf>
    <xf numFmtId="0" fontId="6" fillId="9" borderId="0" xfId="4" applyFont="1" applyFill="1" applyAlignment="1">
      <alignment horizontal="center"/>
    </xf>
    <xf numFmtId="0" fontId="6" fillId="11" borderId="0" xfId="4" applyFont="1" applyFill="1" applyAlignment="1">
      <alignment horizontal="center"/>
    </xf>
    <xf numFmtId="165" fontId="18" fillId="0" borderId="2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</cellXfs>
  <cellStyles count="52">
    <cellStyle name="_x0013_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Comma" xfId="1" builtinId="3"/>
    <cellStyle name="Comma 2" xfId="25"/>
    <cellStyle name="Comma 3" xfId="26"/>
    <cellStyle name="Comma 3 2" xfId="27"/>
    <cellStyle name="Comma 4" xfId="28"/>
    <cellStyle name="Comma 5" xfId="29"/>
    <cellStyle name="Currency" xfId="2" builtinId="4"/>
    <cellStyle name="Normal" xfId="0" builtinId="0"/>
    <cellStyle name="Normal 10" xfId="30"/>
    <cellStyle name="Normal 10 2" xfId="31"/>
    <cellStyle name="Normal 2" xfId="32"/>
    <cellStyle name="Normal 2 2" xfId="33"/>
    <cellStyle name="Normal 2 2 2" xfId="34"/>
    <cellStyle name="Normal 2 3" xfId="35"/>
    <cellStyle name="Normal 2 3 2" xfId="36"/>
    <cellStyle name="Normal 2 4" xfId="37"/>
    <cellStyle name="Normal 2 4 2" xfId="38"/>
    <cellStyle name="Normal 2 5" xfId="39"/>
    <cellStyle name="Normal 2 6" xfId="40"/>
    <cellStyle name="Normal 2 7" xfId="41"/>
    <cellStyle name="Normal 3" xfId="42"/>
    <cellStyle name="Normal 4" xfId="43"/>
    <cellStyle name="Normal 5" xfId="44"/>
    <cellStyle name="Normal 5 2" xfId="45"/>
    <cellStyle name="Normal 6" xfId="46"/>
    <cellStyle name="Normal 6 2" xfId="47"/>
    <cellStyle name="Normal 7" xfId="48"/>
    <cellStyle name="Normal 7 2" xfId="49"/>
    <cellStyle name="Normal 8" xfId="50"/>
    <cellStyle name="Normal 9" xfId="51"/>
    <cellStyle name="Normal_060415 RAP Fuel Price Forecast Template - Case 1 (Historical Spread)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8" fmlaLink="CONTROL!$C$15" fmlaRange="CONTROL!$B$15:$B$17" sel="2" val="0"/>
</file>

<file path=xl/ctrlProps/ctrlProp2.xml><?xml version="1.0" encoding="utf-8"?>
<formControlPr xmlns="http://schemas.microsoft.com/office/spreadsheetml/2009/9/main" objectType="Drop" dropLines="2" dropStyle="combo" dx="18" fmlaLink="CONTROL!$C$32" fmlaRange="CONTROL!$B$32:$B$33" val="0"/>
</file>

<file path=xl/ctrlProps/ctrlProp3.xml><?xml version="1.0" encoding="utf-8"?>
<formControlPr xmlns="http://schemas.microsoft.com/office/spreadsheetml/2009/9/main" objectType="Drop" dropLines="3" dropStyle="combo" dx="18" fmlaLink="CONTROL!$C$9" fmlaRange="CONTROL!$B$9:$B$11" sel="2" val="0"/>
</file>

<file path=xl/ctrlProps/ctrlProp4.xml><?xml version="1.0" encoding="utf-8"?>
<formControlPr xmlns="http://schemas.microsoft.com/office/spreadsheetml/2009/9/main" objectType="Drop" dropLines="2" dropStyle="combo" dx="18" fmlaLink="CONTROL!$C$28" fmlaRange="CONTROL!$B$28:$B$29" val="0"/>
</file>

<file path=xl/ctrlProps/ctrlProp5.xml><?xml version="1.0" encoding="utf-8"?>
<formControlPr xmlns="http://schemas.microsoft.com/office/spreadsheetml/2009/9/main" objectType="Drop" dropLines="3" dropStyle="combo" dx="18" fmlaLink="CONTROL!$C$22" fmlaRange="CONTROL!$B$22:$B$24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171450</xdr:rowOff>
        </xdr:from>
        <xdr:to>
          <xdr:col>4</xdr:col>
          <xdr:colOff>533400</xdr:colOff>
          <xdr:row>13</xdr:row>
          <xdr:rowOff>104775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11</xdr:row>
          <xdr:rowOff>171450</xdr:rowOff>
        </xdr:from>
        <xdr:to>
          <xdr:col>6</xdr:col>
          <xdr:colOff>257175</xdr:colOff>
          <xdr:row>13</xdr:row>
          <xdr:rowOff>95250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171450</xdr:rowOff>
        </xdr:from>
        <xdr:to>
          <xdr:col>2</xdr:col>
          <xdr:colOff>666750</xdr:colOff>
          <xdr:row>11</xdr:row>
          <xdr:rowOff>104775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171450</xdr:rowOff>
        </xdr:from>
        <xdr:to>
          <xdr:col>4</xdr:col>
          <xdr:colOff>371475</xdr:colOff>
          <xdr:row>11</xdr:row>
          <xdr:rowOff>95250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11</xdr:row>
          <xdr:rowOff>38100</xdr:rowOff>
        </xdr:from>
        <xdr:to>
          <xdr:col>6</xdr:col>
          <xdr:colOff>381000</xdr:colOff>
          <xdr:row>12</xdr:row>
          <xdr:rowOff>142875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hab0ptk\0600911%20-%20SJRPP%20Solid%20Fuel%20Historic%20Prices%20-%20Commodity%20&amp;%20Ra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XD0FJ7\AppData\Local\Temp\Temp1_2015.zip\2015\11.%20November\151102%202015%20-%202100%20LONG-TERM%20FORECAST%20FPL%20METHODOLOGY%20-%20To%20Dele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- $ Per Ton - Q"/>
      <sheetName val="Chart 2 - $ Per MMBtu - Q"/>
      <sheetName val="Chart 3 - $ Per Ton - A"/>
      <sheetName val="Chart 4 - $ Per MMBtu - A"/>
      <sheetName val="History Delivered"/>
      <sheetName val="History Mine Mouth"/>
      <sheetName val="HIS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Pub Index"/>
      <sheetName val="_Setup_"/>
      <sheetName val="GAS BASIS"/>
      <sheetName val="FPL LONG TERM GAS &amp; OIL INDEX"/>
      <sheetName val="OIL &amp; GAS SEASONALITY"/>
      <sheetName val="TRANSPORT"/>
      <sheetName val="DEMAND CHARGE"/>
      <sheetName val="CAPACITY"/>
      <sheetName val="GAS AVAILABILITY WORKSHEET"/>
      <sheetName val="NATURAL GAS PRICES WORKSHEET"/>
      <sheetName val="FGT PRIMARY FIRM ZONE 1"/>
      <sheetName val="FGT PRIMARY FIRM ZONE 2"/>
      <sheetName val="FGT PRIMARY FIRM ZONE 3"/>
      <sheetName val="FGT NON-FIRM"/>
      <sheetName val="SESH TO FTS 3"/>
      <sheetName val="TRANSCO 4A  FTS 3"/>
      <sheetName val="GULF SOUTH TO FTS 1&amp;2"/>
      <sheetName val="INCREMENTAL Z3"/>
      <sheetName val="SESH TO GULFSTREAM"/>
      <sheetName val="TRANSCO 4A TO GULFSTREAM"/>
      <sheetName val="GULF SOUTH TO GULFSTREAM"/>
      <sheetName val="GULFSTREAM FIRM "/>
      <sheetName val="GULFSTREAM NON-FIRM"/>
      <sheetName val="FSC DLVD"/>
      <sheetName val="UPS REPLACEMENT"/>
      <sheetName val="Upload"/>
      <sheetName val="DISTILLATE &amp; RESIDUAL FUEL OIL"/>
      <sheetName val="COAL &amp; PET COKE FORECAST"/>
      <sheetName val="COAL - Monthly"/>
      <sheetName val="COAL SO2 &amp; NOX Calculations"/>
      <sheetName val="COAL - Monthly OLD"/>
      <sheetName val="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S1150"/>
  <sheetViews>
    <sheetView tabSelected="1" zoomScale="70" zoomScaleNormal="70" workbookViewId="0">
      <pane xSplit="1" ySplit="16" topLeftCell="B17" activePane="bottomRight" state="frozen"/>
      <selection sqref="A1:XFD7"/>
      <selection pane="topRight" sqref="A1:XFD7"/>
      <selection pane="bottomLeft" sqref="A1:XFD7"/>
      <selection pane="bottomRight" activeCell="B17" sqref="B17"/>
    </sheetView>
  </sheetViews>
  <sheetFormatPr defaultColWidth="7.109375" defaultRowHeight="15"/>
  <cols>
    <col min="1" max="1" width="7.5546875" style="2" bestFit="1" customWidth="1"/>
    <col min="2" max="5" width="10" style="1" customWidth="1"/>
    <col min="6" max="6" width="9.33203125" style="2" customWidth="1"/>
    <col min="7" max="7" width="13.33203125" style="1" customWidth="1"/>
    <col min="8" max="8" width="12.6640625" style="2" customWidth="1"/>
    <col min="9" max="9" width="10" style="1" customWidth="1"/>
    <col min="10" max="10" width="9.6640625" style="1" customWidth="1"/>
    <col min="11" max="11" width="13.33203125" style="1" customWidth="1"/>
    <col min="12" max="12" width="7.21875" style="1" bestFit="1" customWidth="1"/>
    <col min="13" max="13" width="13.6640625" style="1" bestFit="1" customWidth="1"/>
    <col min="14" max="14" width="6.109375" style="1" bestFit="1" customWidth="1"/>
    <col min="15" max="15" width="10.21875" style="1" customWidth="1"/>
    <col min="16" max="16" width="9.21875" style="1" customWidth="1"/>
    <col min="17" max="17" width="9.88671875" style="1" customWidth="1"/>
    <col min="18" max="18" width="9.33203125" style="1" customWidth="1"/>
    <col min="19" max="19" width="9.21875" style="1" customWidth="1"/>
    <col min="20" max="20" width="10.21875" style="1" customWidth="1"/>
    <col min="21" max="21" width="11.77734375" style="1" customWidth="1"/>
    <col min="22" max="22" width="7.109375" style="1" customWidth="1"/>
    <col min="23" max="23" width="8.77734375" style="1" customWidth="1"/>
    <col min="24" max="24" width="9.21875" style="1" customWidth="1"/>
    <col min="25" max="25" width="11.77734375" style="1" customWidth="1"/>
    <col min="26" max="26" width="7.109375" style="1" customWidth="1"/>
    <col min="27" max="27" width="9.21875" style="1" customWidth="1"/>
    <col min="28" max="28" width="9.33203125" style="1" customWidth="1"/>
    <col min="29" max="29" width="8.21875" style="1" customWidth="1"/>
    <col min="30" max="30" width="9" style="1" customWidth="1"/>
    <col min="31" max="16384" width="7.109375" style="1"/>
  </cols>
  <sheetData>
    <row r="1" spans="1:19" ht="15.75">
      <c r="A1" s="84" t="s">
        <v>64</v>
      </c>
    </row>
    <row r="2" spans="1:19" ht="15.75">
      <c r="A2" s="84" t="s">
        <v>65</v>
      </c>
    </row>
    <row r="3" spans="1:19" ht="15.75">
      <c r="A3" s="84" t="s">
        <v>66</v>
      </c>
    </row>
    <row r="4" spans="1:19" ht="15.75">
      <c r="A4" s="84" t="s">
        <v>67</v>
      </c>
    </row>
    <row r="5" spans="1:19" ht="15.75">
      <c r="A5" s="84" t="s">
        <v>69</v>
      </c>
    </row>
    <row r="6" spans="1:19" ht="15.75">
      <c r="A6" s="84" t="s">
        <v>68</v>
      </c>
    </row>
    <row r="8" spans="1:19" ht="24.75" customHeight="1">
      <c r="A8" s="31" t="s">
        <v>26</v>
      </c>
    </row>
    <row r="9" spans="1:19" ht="15" customHeight="1">
      <c r="A9" s="30" t="s">
        <v>25</v>
      </c>
    </row>
    <row r="10" spans="1:19" ht="15" customHeight="1">
      <c r="A10" s="1"/>
      <c r="G10" s="29"/>
      <c r="N10" s="28"/>
    </row>
    <row r="11" spans="1:19" ht="15" customHeight="1">
      <c r="C11" s="27" t="s">
        <v>24</v>
      </c>
      <c r="D11" s="26">
        <f>1-0.198</f>
        <v>0.80200000000000005</v>
      </c>
      <c r="E11" s="27" t="s">
        <v>23</v>
      </c>
      <c r="F11" s="26">
        <f>1+0.198</f>
        <v>1.198</v>
      </c>
    </row>
    <row r="12" spans="1:19" ht="15" customHeight="1">
      <c r="A12" s="1"/>
    </row>
    <row r="13" spans="1:19" ht="15" customHeight="1">
      <c r="D13" s="10"/>
      <c r="E13" s="10"/>
      <c r="F13" s="10"/>
      <c r="G13" s="10"/>
      <c r="I13" s="10"/>
      <c r="K13" s="25"/>
      <c r="L13" s="85" t="s">
        <v>22</v>
      </c>
      <c r="M13" s="85"/>
      <c r="N13" s="85"/>
      <c r="O13" s="85"/>
      <c r="P13" s="85"/>
      <c r="Q13" s="85"/>
      <c r="R13" s="85"/>
      <c r="S13" s="85"/>
    </row>
    <row r="14" spans="1:19" ht="15" customHeight="1">
      <c r="B14" s="10"/>
      <c r="C14" s="10"/>
      <c r="D14" s="10"/>
      <c r="E14" s="10"/>
      <c r="F14" s="10"/>
      <c r="G14" s="10"/>
      <c r="I14" s="10"/>
      <c r="K14" s="24"/>
      <c r="L14" s="85" t="s">
        <v>21</v>
      </c>
      <c r="M14" s="85"/>
      <c r="N14" s="85"/>
      <c r="O14" s="85"/>
      <c r="P14" s="85"/>
      <c r="Q14" s="85"/>
      <c r="R14" s="85"/>
      <c r="S14" s="85"/>
    </row>
    <row r="15" spans="1:19" s="18" customFormat="1" ht="112.5" customHeight="1">
      <c r="B15" s="21" t="s">
        <v>20</v>
      </c>
      <c r="C15" s="21" t="s">
        <v>19</v>
      </c>
      <c r="D15" s="21" t="s">
        <v>18</v>
      </c>
      <c r="E15" s="21" t="s">
        <v>17</v>
      </c>
      <c r="F15" s="20" t="s">
        <v>16</v>
      </c>
      <c r="G15" s="21" t="s">
        <v>15</v>
      </c>
      <c r="H15" s="20" t="s">
        <v>14</v>
      </c>
      <c r="I15" s="21" t="s">
        <v>13</v>
      </c>
      <c r="J15" s="20" t="s">
        <v>12</v>
      </c>
      <c r="K15" s="23" t="s">
        <v>11</v>
      </c>
      <c r="L15" s="19" t="s">
        <v>10</v>
      </c>
      <c r="M15" s="19" t="s">
        <v>9</v>
      </c>
      <c r="N15" s="19" t="s">
        <v>8</v>
      </c>
      <c r="O15" s="19" t="s">
        <v>7</v>
      </c>
      <c r="P15" s="19" t="s">
        <v>6</v>
      </c>
      <c r="Q15" s="19" t="s">
        <v>5</v>
      </c>
      <c r="R15" s="19" t="s">
        <v>4</v>
      </c>
      <c r="S15" s="22" t="s">
        <v>3</v>
      </c>
    </row>
    <row r="16" spans="1:19" s="18" customFormat="1" ht="15" customHeight="1">
      <c r="A16" s="20" t="s">
        <v>2</v>
      </c>
      <c r="B16" s="21" t="s">
        <v>1</v>
      </c>
      <c r="C16" s="21" t="s">
        <v>1</v>
      </c>
      <c r="D16" s="21" t="s">
        <v>1</v>
      </c>
      <c r="E16" s="21" t="s">
        <v>1</v>
      </c>
      <c r="F16" s="20" t="s">
        <v>1</v>
      </c>
      <c r="G16" s="21" t="s">
        <v>1</v>
      </c>
      <c r="H16" s="20" t="s">
        <v>1</v>
      </c>
      <c r="I16" s="21" t="s">
        <v>1</v>
      </c>
      <c r="J16" s="20" t="s">
        <v>1</v>
      </c>
      <c r="K16" s="20" t="s">
        <v>1</v>
      </c>
      <c r="L16" s="19" t="s">
        <v>0</v>
      </c>
      <c r="M16" s="19" t="s">
        <v>0</v>
      </c>
      <c r="N16" s="19" t="s">
        <v>0</v>
      </c>
      <c r="O16" s="19" t="s">
        <v>0</v>
      </c>
      <c r="P16" s="19" t="s">
        <v>0</v>
      </c>
      <c r="Q16" s="19" t="s">
        <v>0</v>
      </c>
      <c r="R16" s="19" t="s">
        <v>0</v>
      </c>
      <c r="S16" s="19" t="s">
        <v>0</v>
      </c>
    </row>
    <row r="17" spans="1:19" ht="15" customHeight="1">
      <c r="A17" s="13">
        <v>42005</v>
      </c>
      <c r="B17" s="8">
        <f>3.329 * CHOOSE(CONTROL!$C$15, $D$11, 100%, $F$11)</f>
        <v>3.3290000000000002</v>
      </c>
      <c r="C17" s="8">
        <f>3.3341 * CHOOSE(CONTROL!$C$15, $D$11, 100%, $F$11)</f>
        <v>3.3340999999999998</v>
      </c>
      <c r="D17" s="8">
        <f>3.3295 * CHOOSE( CONTROL!$C$15, $D$11, 100%, $F$11)</f>
        <v>3.3294999999999999</v>
      </c>
      <c r="E17" s="12">
        <f>3.3306 * CHOOSE( CONTROL!$C$15, $D$11, 100%, $F$11)</f>
        <v>3.3306</v>
      </c>
      <c r="F17" s="4">
        <f>3.9713 * CHOOSE(CONTROL!$C$15, $D$11, 100%, $F$11)</f>
        <v>3.9712999999999998</v>
      </c>
      <c r="G17" s="8">
        <f>3.2635 * CHOOSE( CONTROL!$C$15, $D$11, 100%, $F$11)</f>
        <v>3.2635000000000001</v>
      </c>
      <c r="H17" s="4">
        <f>4.1342 * CHOOSE(CONTROL!$C$15, $D$11, 100%, $F$11)</f>
        <v>4.1341999999999999</v>
      </c>
      <c r="I17" s="8">
        <f>3.3042 * CHOOSE(CONTROL!$C$15, $D$11, 100%, $F$11)</f>
        <v>3.3041999999999998</v>
      </c>
      <c r="J17" s="4">
        <f>3.189 * CHOOSE(CONTROL!$C$15, $D$11, 100%, $F$11)</f>
        <v>3.1890000000000001</v>
      </c>
      <c r="K17" s="4">
        <f>3.2683 * CHOOSE(CONTROL!$C$15, $D$11, 100%, $F$11)</f>
        <v>3.2683</v>
      </c>
      <c r="L17" s="9">
        <v>28.872</v>
      </c>
      <c r="M17" s="9">
        <v>12.063700000000001</v>
      </c>
      <c r="N17" s="9">
        <v>4.9444999999999997</v>
      </c>
      <c r="O17" s="9">
        <v>0.61570000000000003</v>
      </c>
      <c r="P17" s="9">
        <v>0</v>
      </c>
      <c r="Q17" s="9"/>
      <c r="R17" s="9">
        <f t="shared" ref="R17:R28" si="0">(0.12*2500000)/1000000</f>
        <v>0.3</v>
      </c>
      <c r="S17" s="17">
        <v>1.0592999999999999</v>
      </c>
    </row>
    <row r="18" spans="1:19" ht="15" customHeight="1">
      <c r="A18" s="13">
        <v>42036</v>
      </c>
      <c r="B18" s="8">
        <f>2.9949 * CHOOSE(CONTROL!$C$15, $D$11, 100%, $F$11)</f>
        <v>2.9948999999999999</v>
      </c>
      <c r="C18" s="8">
        <f>3 * CHOOSE(CONTROL!$C$15, $D$11, 100%, $F$11)</f>
        <v>3</v>
      </c>
      <c r="D18" s="8">
        <f>2.9973 * CHOOSE( CONTROL!$C$15, $D$11, 100%, $F$11)</f>
        <v>2.9973000000000001</v>
      </c>
      <c r="E18" s="12">
        <f>2.9977 * CHOOSE( CONTROL!$C$15, $D$11, 100%, $F$11)</f>
        <v>2.9977</v>
      </c>
      <c r="F18" s="4">
        <f>3.645 * CHOOSE(CONTROL!$C$15, $D$11, 100%, $F$11)</f>
        <v>3.645</v>
      </c>
      <c r="G18" s="8">
        <f>2.937 * CHOOSE( CONTROL!$C$15, $D$11, 100%, $F$11)</f>
        <v>2.9369999999999998</v>
      </c>
      <c r="H18" s="4">
        <f>3.8133 * CHOOSE(CONTROL!$C$15, $D$11, 100%, $F$11)</f>
        <v>3.8132999999999999</v>
      </c>
      <c r="I18" s="8">
        <f>2.982 * CHOOSE(CONTROL!$C$15, $D$11, 100%, $F$11)</f>
        <v>2.9820000000000002</v>
      </c>
      <c r="J18" s="4">
        <f>2.866 * CHOOSE(CONTROL!$C$15, $D$11, 100%, $F$11)</f>
        <v>2.8660000000000001</v>
      </c>
      <c r="K18" s="4">
        <f>2.9392 * CHOOSE(CONTROL!$C$15, $D$11, 100%, $F$11)</f>
        <v>2.9392</v>
      </c>
      <c r="L18" s="9">
        <v>26.0779</v>
      </c>
      <c r="M18" s="9">
        <v>10.8962</v>
      </c>
      <c r="N18" s="9">
        <v>4.4660000000000002</v>
      </c>
      <c r="O18" s="9">
        <v>0.55610000000000004</v>
      </c>
      <c r="P18" s="9">
        <v>0</v>
      </c>
      <c r="Q18" s="9"/>
      <c r="R18" s="9">
        <f t="shared" si="0"/>
        <v>0.3</v>
      </c>
      <c r="S18" s="17">
        <v>1.0592999999999999</v>
      </c>
    </row>
    <row r="19" spans="1:19" ht="15" customHeight="1">
      <c r="A19" s="13">
        <v>42064</v>
      </c>
      <c r="B19" s="8">
        <f>3.0239 * CHOOSE(CONTROL!$C$15, $D$11, 100%, $F$11)</f>
        <v>3.0238999999999998</v>
      </c>
      <c r="C19" s="8">
        <f>3.029 * CHOOSE(CONTROL!$C$15, $D$11, 100%, $F$11)</f>
        <v>3.0289999999999999</v>
      </c>
      <c r="D19" s="8">
        <f>3.0369 * CHOOSE( CONTROL!$C$15, $D$11, 100%, $F$11)</f>
        <v>3.0369000000000002</v>
      </c>
      <c r="E19" s="12">
        <f>3.0335 * CHOOSE( CONTROL!$C$15, $D$11, 100%, $F$11)</f>
        <v>3.0335000000000001</v>
      </c>
      <c r="F19" s="4">
        <f>3.6843 * CHOOSE(CONTROL!$C$15, $D$11, 100%, $F$11)</f>
        <v>3.6842999999999999</v>
      </c>
      <c r="G19" s="8">
        <f>2.9756 * CHOOSE( CONTROL!$C$15, $D$11, 100%, $F$11)</f>
        <v>2.9756</v>
      </c>
      <c r="H19" s="4">
        <f>3.8519 * CHOOSE(CONTROL!$C$15, $D$11, 100%, $F$11)</f>
        <v>3.8519000000000001</v>
      </c>
      <c r="I19" s="8">
        <f>2.9903 * CHOOSE(CONTROL!$C$15, $D$11, 100%, $F$11)</f>
        <v>2.9903</v>
      </c>
      <c r="J19" s="4">
        <f>2.894 * CHOOSE(CONTROL!$C$15, $D$11, 100%, $F$11)</f>
        <v>2.8940000000000001</v>
      </c>
      <c r="K19" s="4">
        <f>2.974 * CHOOSE(CONTROL!$C$15, $D$11, 100%, $F$11)</f>
        <v>2.9740000000000002</v>
      </c>
      <c r="L19" s="9">
        <v>28.872</v>
      </c>
      <c r="M19" s="9">
        <v>12.063700000000001</v>
      </c>
      <c r="N19" s="9">
        <v>4.9444999999999997</v>
      </c>
      <c r="O19" s="9">
        <v>0.61570000000000003</v>
      </c>
      <c r="P19" s="9">
        <v>0</v>
      </c>
      <c r="Q19" s="9"/>
      <c r="R19" s="9">
        <f t="shared" si="0"/>
        <v>0.3</v>
      </c>
      <c r="S19" s="17">
        <v>1.0592999999999999</v>
      </c>
    </row>
    <row r="20" spans="1:19" ht="15" customHeight="1">
      <c r="A20" s="13">
        <v>42095</v>
      </c>
      <c r="B20" s="8">
        <f>2.7102 * CHOOSE(CONTROL!$C$15, $D$11, 100%, $F$11)</f>
        <v>2.7101999999999999</v>
      </c>
      <c r="C20" s="8">
        <f>2.7147 * CHOOSE(CONTROL!$C$15, $D$11, 100%, $F$11)</f>
        <v>2.7147000000000001</v>
      </c>
      <c r="D20" s="8">
        <f>2.6934 * CHOOSE( CONTROL!$C$15, $D$11, 100%, $F$11)</f>
        <v>2.6934</v>
      </c>
      <c r="E20" s="12">
        <f>2.6999 * CHOOSE( CONTROL!$C$15, $D$11, 100%, $F$11)</f>
        <v>2.6999</v>
      </c>
      <c r="F20" s="4">
        <f>3.3698 * CHOOSE(CONTROL!$C$15, $D$11, 100%, $F$11)</f>
        <v>3.3698000000000001</v>
      </c>
      <c r="G20" s="8">
        <f>2.6312 * CHOOSE( CONTROL!$C$15, $D$11, 100%, $F$11)</f>
        <v>2.6312000000000002</v>
      </c>
      <c r="H20" s="4">
        <f>3.5427 * CHOOSE(CONTROL!$C$15, $D$11, 100%, $F$11)</f>
        <v>3.5427</v>
      </c>
      <c r="I20" s="8">
        <f>2.6501 * CHOOSE(CONTROL!$C$15, $D$11, 100%, $F$11)</f>
        <v>2.6501000000000001</v>
      </c>
      <c r="J20" s="4">
        <f>2.59 * CHOOSE(CONTROL!$C$15, $D$11, 100%, $F$11)</f>
        <v>2.59</v>
      </c>
      <c r="K20" s="4">
        <f>2.6424 * CHOOSE(CONTROL!$C$15, $D$11, 100%, $F$11)</f>
        <v>2.6423999999999999</v>
      </c>
      <c r="L20" s="9">
        <v>30.092199999999998</v>
      </c>
      <c r="M20" s="9">
        <v>11.6745</v>
      </c>
      <c r="N20" s="9">
        <v>4.7850000000000001</v>
      </c>
      <c r="O20" s="9">
        <v>0.59589999999999999</v>
      </c>
      <c r="P20" s="9">
        <v>2.0339999999999998</v>
      </c>
      <c r="Q20" s="9"/>
      <c r="R20" s="9">
        <f t="shared" si="0"/>
        <v>0.3</v>
      </c>
      <c r="S20" s="17">
        <v>1.0592999999999999</v>
      </c>
    </row>
    <row r="21" spans="1:19" ht="15" customHeight="1">
      <c r="A21" s="13">
        <v>42125</v>
      </c>
      <c r="B21" s="8">
        <f>CHOOSE( CONTROL!$C$32, 2.6396, 2.636) * CHOOSE(CONTROL!$C$15, $D$11, 100%, $F$11)</f>
        <v>2.6396000000000002</v>
      </c>
      <c r="C21" s="8">
        <f>CHOOSE( CONTROL!$C$32, 2.6476, 2.644) * CHOOSE(CONTROL!$C$15, $D$11, 100%, $F$11)</f>
        <v>2.6476000000000002</v>
      </c>
      <c r="D21" s="8">
        <f>CHOOSE( CONTROL!$C$32, 2.6296, 2.6261) * CHOOSE( CONTROL!$C$15, $D$11, 100%, $F$11)</f>
        <v>2.6295999999999999</v>
      </c>
      <c r="E21" s="12">
        <f>CHOOSE( CONTROL!$C$32, 2.6345, 2.631) * CHOOSE( CONTROL!$C$15, $D$11, 100%, $F$11)</f>
        <v>2.6345000000000001</v>
      </c>
      <c r="F21" s="4">
        <f>CHOOSE( CONTROL!$C$32, 3.3056, 3.302) * CHOOSE(CONTROL!$C$15, $D$11, 100%, $F$11)</f>
        <v>3.3056000000000001</v>
      </c>
      <c r="G21" s="8">
        <f>CHOOSE( CONTROL!$C$32, 2.5648, 2.5613) * CHOOSE( CONTROL!$C$15, $D$11, 100%, $F$11)</f>
        <v>2.5648</v>
      </c>
      <c r="H21" s="4">
        <f>CHOOSE( CONTROL!$C$32, 3.4796, 3.4761) * CHOOSE(CONTROL!$C$15, $D$11, 100%, $F$11)</f>
        <v>3.4796</v>
      </c>
      <c r="I21" s="8">
        <f>CHOOSE( CONTROL!$C$32, 2.5887, 2.5852) * CHOOSE(CONTROL!$C$15, $D$11, 100%, $F$11)</f>
        <v>2.5886999999999998</v>
      </c>
      <c r="J21" s="4">
        <f>CHOOSE( CONTROL!$C$32, 2.5204, 2.517) * CHOOSE(CONTROL!$C$15, $D$11, 100%, $F$11)</f>
        <v>2.5204</v>
      </c>
      <c r="K21" s="4">
        <f>CHOOSE( CONTROL!$C$32, 2.5737, 2.5702) * CHOOSE(CONTROL!$C$15, $D$11, 100%, $F$11)</f>
        <v>2.5737000000000001</v>
      </c>
      <c r="L21" s="9">
        <v>33.7545</v>
      </c>
      <c r="M21" s="9">
        <v>12.063700000000001</v>
      </c>
      <c r="N21" s="9">
        <v>4.9444999999999997</v>
      </c>
      <c r="O21" s="9">
        <v>0.61570000000000003</v>
      </c>
      <c r="P21" s="9">
        <v>1.4925999999999999</v>
      </c>
      <c r="Q21" s="9"/>
      <c r="R21" s="9">
        <f t="shared" si="0"/>
        <v>0.3</v>
      </c>
      <c r="S21" s="17">
        <v>1.0592999999999999</v>
      </c>
    </row>
    <row r="22" spans="1:19" ht="15" customHeight="1">
      <c r="A22" s="13">
        <v>42156</v>
      </c>
      <c r="B22" s="8">
        <f>CHOOSE( CONTROL!$C$32, 2.9478, 2.9443) * CHOOSE(CONTROL!$C$15, $D$11, 100%, $F$11)</f>
        <v>2.9478</v>
      </c>
      <c r="C22" s="8">
        <f>CHOOSE( CONTROL!$C$32, 2.9559, 2.9523) * CHOOSE(CONTROL!$C$15, $D$11, 100%, $F$11)</f>
        <v>2.9559000000000002</v>
      </c>
      <c r="D22" s="8">
        <f>CHOOSE( CONTROL!$C$32, 2.9525, 2.949) * CHOOSE( CONTROL!$C$15, $D$11, 100%, $F$11)</f>
        <v>2.9525000000000001</v>
      </c>
      <c r="E22" s="12">
        <f>CHOOSE( CONTROL!$C$32, 2.9525, 2.949) * CHOOSE( CONTROL!$C$15, $D$11, 100%, $F$11)</f>
        <v>2.9525000000000001</v>
      </c>
      <c r="F22" s="4">
        <f>CHOOSE( CONTROL!$C$32, 3.6346, 3.631) * CHOOSE(CONTROL!$C$15, $D$11, 100%, $F$11)</f>
        <v>3.6345999999999998</v>
      </c>
      <c r="G22" s="8">
        <f>CHOOSE( CONTROL!$C$32, 2.8816, 2.8781) * CHOOSE( CONTROL!$C$15, $D$11, 100%, $F$11)</f>
        <v>2.8816000000000002</v>
      </c>
      <c r="H22" s="4">
        <f>CHOOSE( CONTROL!$C$32, 3.8031, 3.7996) * CHOOSE(CONTROL!$C$15, $D$11, 100%, $F$11)</f>
        <v>3.8031000000000001</v>
      </c>
      <c r="I22" s="8">
        <f>CHOOSE( CONTROL!$C$32, 2.9114, 2.9079) * CHOOSE(CONTROL!$C$15, $D$11, 100%, $F$11)</f>
        <v>2.9114</v>
      </c>
      <c r="J22" s="4">
        <f>CHOOSE( CONTROL!$C$32, 2.8184, 2.815) * CHOOSE(CONTROL!$C$15, $D$11, 100%, $F$11)</f>
        <v>2.8184</v>
      </c>
      <c r="K22" s="4">
        <f>CHOOSE( CONTROL!$C$32, 2.8849, 2.8814) * CHOOSE(CONTROL!$C$15, $D$11, 100%, $F$11)</f>
        <v>2.8849</v>
      </c>
      <c r="L22" s="9">
        <v>32.665700000000001</v>
      </c>
      <c r="M22" s="9">
        <v>11.6745</v>
      </c>
      <c r="N22" s="9">
        <v>4.7850000000000001</v>
      </c>
      <c r="O22" s="9">
        <v>0.59589999999999999</v>
      </c>
      <c r="P22" s="9">
        <v>1.4443999999999999</v>
      </c>
      <c r="Q22" s="9"/>
      <c r="R22" s="9">
        <f t="shared" si="0"/>
        <v>0.3</v>
      </c>
      <c r="S22" s="16">
        <v>1.0722</v>
      </c>
    </row>
    <row r="23" spans="1:19" ht="15" customHeight="1">
      <c r="A23" s="13">
        <v>42186</v>
      </c>
      <c r="B23" s="8">
        <f>CHOOSE( CONTROL!$C$32, 2.9044, 2.9008) * CHOOSE(CONTROL!$C$15, $D$11, 100%, $F$11)</f>
        <v>2.9043999999999999</v>
      </c>
      <c r="C23" s="8">
        <f>CHOOSE( CONTROL!$C$32, 2.9124, 2.9088) * CHOOSE(CONTROL!$C$15, $D$11, 100%, $F$11)</f>
        <v>2.9123999999999999</v>
      </c>
      <c r="D23" s="8">
        <f>CHOOSE( CONTROL!$C$32, 2.9142, 2.9107) * CHOOSE( CONTROL!$C$15, $D$11, 100%, $F$11)</f>
        <v>2.9142000000000001</v>
      </c>
      <c r="E23" s="12">
        <f>CHOOSE( CONTROL!$C$32, 2.9125, 2.9089) * CHOOSE( CONTROL!$C$15, $D$11, 100%, $F$11)</f>
        <v>2.9125000000000001</v>
      </c>
      <c r="F23" s="4">
        <f>CHOOSE( CONTROL!$C$32, 3.5963, 3.5927) * CHOOSE(CONTROL!$C$15, $D$11, 100%, $F$11)</f>
        <v>3.5962999999999998</v>
      </c>
      <c r="G23" s="8">
        <f>CHOOSE( CONTROL!$C$32, 2.8443, 2.8408) * CHOOSE( CONTROL!$C$15, $D$11, 100%, $F$11)</f>
        <v>2.8443000000000001</v>
      </c>
      <c r="H23" s="4">
        <f>CHOOSE( CONTROL!$C$32, 3.7654, 3.7619) * CHOOSE(CONTROL!$C$15, $D$11, 100%, $F$11)</f>
        <v>3.7654000000000001</v>
      </c>
      <c r="I23" s="8">
        <f>CHOOSE( CONTROL!$C$32, 2.8887, 2.8853) * CHOOSE(CONTROL!$C$15, $D$11, 100%, $F$11)</f>
        <v>2.8887</v>
      </c>
      <c r="J23" s="4">
        <f>CHOOSE( CONTROL!$C$32, 2.7764, 2.773) * CHOOSE(CONTROL!$C$15, $D$11, 100%, $F$11)</f>
        <v>2.7764000000000002</v>
      </c>
      <c r="K23" s="4">
        <f>CHOOSE( CONTROL!$C$32, 2.846, 2.8425) * CHOOSE(CONTROL!$C$15, $D$11, 100%, $F$11)</f>
        <v>2.8460000000000001</v>
      </c>
      <c r="L23" s="9">
        <v>33.7545</v>
      </c>
      <c r="M23" s="9">
        <v>12.063700000000001</v>
      </c>
      <c r="N23" s="9">
        <v>4.9444999999999997</v>
      </c>
      <c r="O23" s="9">
        <v>0.61570000000000003</v>
      </c>
      <c r="P23" s="9">
        <v>1.4925999999999999</v>
      </c>
      <c r="Q23" s="9"/>
      <c r="R23" s="9">
        <f t="shared" si="0"/>
        <v>0.3</v>
      </c>
      <c r="S23" s="15">
        <v>1.0738000000000001</v>
      </c>
    </row>
    <row r="24" spans="1:19" ht="15" customHeight="1">
      <c r="A24" s="13">
        <v>42217</v>
      </c>
      <c r="B24" s="8">
        <f>CHOOSE( CONTROL!$C$32, 3.0213, 3.0177) * CHOOSE(CONTROL!$C$15, $D$11, 100%, $F$11)</f>
        <v>3.0213000000000001</v>
      </c>
      <c r="C24" s="8">
        <f>CHOOSE( CONTROL!$C$32, 3.0293, 3.0257) * CHOOSE(CONTROL!$C$15, $D$11, 100%, $F$11)</f>
        <v>3.0293000000000001</v>
      </c>
      <c r="D24" s="8">
        <f>CHOOSE( CONTROL!$C$32, 3.0299, 3.0263) * CHOOSE( CONTROL!$C$15, $D$11, 100%, $F$11)</f>
        <v>3.0299</v>
      </c>
      <c r="E24" s="12">
        <f>CHOOSE( CONTROL!$C$32, 3.0286, 3.025) * CHOOSE( CONTROL!$C$15, $D$11, 100%, $F$11)</f>
        <v>3.0286</v>
      </c>
      <c r="F24" s="4">
        <f>CHOOSE( CONTROL!$C$32, 3.6935, 3.69) * CHOOSE(CONTROL!$C$15, $D$11, 100%, $F$11)</f>
        <v>3.6934999999999998</v>
      </c>
      <c r="G24" s="8">
        <f>CHOOSE( CONTROL!$C$32, 2.9603, 2.9568) * CHOOSE( CONTROL!$C$15, $D$11, 100%, $F$11)</f>
        <v>2.9603000000000002</v>
      </c>
      <c r="H24" s="4">
        <f>CHOOSE( CONTROL!$C$32, 3.861, 3.8575) * CHOOSE(CONTROL!$C$15, $D$11, 100%, $F$11)</f>
        <v>3.8610000000000002</v>
      </c>
      <c r="I24" s="8">
        <f>CHOOSE( CONTROL!$C$32, 2.9947, 2.9913) * CHOOSE(CONTROL!$C$15, $D$11, 100%, $F$11)</f>
        <v>2.9946999999999999</v>
      </c>
      <c r="J24" s="4">
        <f>CHOOSE( CONTROL!$C$32, 2.8894, 2.886) * CHOOSE(CONTROL!$C$15, $D$11, 100%, $F$11)</f>
        <v>2.8894000000000002</v>
      </c>
      <c r="K24" s="4">
        <f>CHOOSE( CONTROL!$C$32, 2.954, 2.9505) * CHOOSE(CONTROL!$C$15, $D$11, 100%, $F$11)</f>
        <v>2.9540000000000002</v>
      </c>
      <c r="L24" s="9">
        <v>33.7545</v>
      </c>
      <c r="M24" s="9">
        <v>12.063700000000001</v>
      </c>
      <c r="N24" s="9">
        <v>4.9444999999999997</v>
      </c>
      <c r="O24" s="9">
        <v>0.61570000000000003</v>
      </c>
      <c r="P24" s="9">
        <v>1.4925999999999999</v>
      </c>
      <c r="Q24" s="9"/>
      <c r="R24" s="9">
        <f t="shared" si="0"/>
        <v>0.3</v>
      </c>
      <c r="S24" s="15">
        <v>1.0738000000000001</v>
      </c>
    </row>
    <row r="25" spans="1:19" ht="15" customHeight="1">
      <c r="A25" s="13">
        <v>42248</v>
      </c>
      <c r="B25" s="8">
        <f>CHOOSE( CONTROL!$C$32, 2.7647, 2.7612) * CHOOSE(CONTROL!$C$15, $D$11, 100%, $F$11)</f>
        <v>2.7646999999999999</v>
      </c>
      <c r="C25" s="8">
        <f>CHOOSE( CONTROL!$C$32, 2.7728, 2.7692) * CHOOSE(CONTROL!$C$15, $D$11, 100%, $F$11)</f>
        <v>2.7728000000000002</v>
      </c>
      <c r="D25" s="8">
        <f>CHOOSE( CONTROL!$C$32, 2.7631, 2.7595) * CHOOSE( CONTROL!$C$15, $D$11, 100%, $F$11)</f>
        <v>2.7631000000000001</v>
      </c>
      <c r="E25" s="12">
        <f>CHOOSE( CONTROL!$C$32, 2.7652, 2.7616) * CHOOSE( CONTROL!$C$15, $D$11, 100%, $F$11)</f>
        <v>2.7652000000000001</v>
      </c>
      <c r="F25" s="4">
        <f>CHOOSE( CONTROL!$C$32, 3.4256, 3.422) * CHOOSE(CONTROL!$C$15, $D$11, 100%, $F$11)</f>
        <v>3.4256000000000002</v>
      </c>
      <c r="G25" s="8">
        <f>CHOOSE( CONTROL!$C$32, 2.6979, 2.6944) * CHOOSE( CONTROL!$C$15, $D$11, 100%, $F$11)</f>
        <v>2.6979000000000002</v>
      </c>
      <c r="H25" s="4">
        <f>CHOOSE( CONTROL!$C$32, 3.5976, 3.5941) * CHOOSE(CONTROL!$C$15, $D$11, 100%, $F$11)</f>
        <v>3.5975999999999999</v>
      </c>
      <c r="I25" s="8">
        <f>CHOOSE( CONTROL!$C$32, 2.7251, 2.7216) * CHOOSE(CONTROL!$C$15, $D$11, 100%, $F$11)</f>
        <v>2.7250999999999999</v>
      </c>
      <c r="J25" s="4">
        <f>CHOOSE( CONTROL!$C$32, 2.6414, 2.638) * CHOOSE(CONTROL!$C$15, $D$11, 100%, $F$11)</f>
        <v>2.6414</v>
      </c>
      <c r="K25" s="4">
        <f>CHOOSE( CONTROL!$C$32, 2.6976, 2.6941) * CHOOSE(CONTROL!$C$15, $D$11, 100%, $F$11)</f>
        <v>2.6976</v>
      </c>
      <c r="L25" s="9">
        <v>32.665700000000001</v>
      </c>
      <c r="M25" s="9">
        <v>11.6745</v>
      </c>
      <c r="N25" s="9">
        <v>4.7850000000000001</v>
      </c>
      <c r="O25" s="9">
        <v>0.59589999999999999</v>
      </c>
      <c r="P25" s="9">
        <v>1.4443999999999999</v>
      </c>
      <c r="Q25" s="9"/>
      <c r="R25" s="9">
        <f t="shared" si="0"/>
        <v>0.3</v>
      </c>
      <c r="S25" s="15">
        <v>1.0738000000000001</v>
      </c>
    </row>
    <row r="26" spans="1:19" ht="15" customHeight="1">
      <c r="A26" s="13">
        <v>42278</v>
      </c>
      <c r="B26" s="8">
        <f>2.6819 * CHOOSE(CONTROL!$C$15, $D$11, 100%, $F$11)</f>
        <v>2.6819000000000002</v>
      </c>
      <c r="C26" s="8">
        <f>2.6872 * CHOOSE(CONTROL!$C$15, $D$11, 100%, $F$11)</f>
        <v>2.6871999999999998</v>
      </c>
      <c r="D26" s="8">
        <f>2.6398 * CHOOSE( CONTROL!$C$15, $D$11, 100%, $F$11)</f>
        <v>2.6398000000000001</v>
      </c>
      <c r="E26" s="12">
        <f>2.6549 * CHOOSE( CONTROL!$C$15, $D$11, 100%, $F$11)</f>
        <v>2.6549</v>
      </c>
      <c r="F26" s="4">
        <f>3.302 * CHOOSE(CONTROL!$C$15, $D$11, 100%, $F$11)</f>
        <v>3.302</v>
      </c>
      <c r="G26" s="8">
        <f>2.5795 * CHOOSE( CONTROL!$C$15, $D$11, 100%, $F$11)</f>
        <v>2.5794999999999999</v>
      </c>
      <c r="H26" s="4">
        <f>3.4761 * CHOOSE(CONTROL!$C$15, $D$11, 100%, $F$11)</f>
        <v>3.4761000000000002</v>
      </c>
      <c r="I26" s="8">
        <f>2.6212 * CHOOSE(CONTROL!$C$15, $D$11, 100%, $F$11)</f>
        <v>2.6212</v>
      </c>
      <c r="J26" s="4">
        <f>2.563 * CHOOSE(CONTROL!$C$15, $D$11, 100%, $F$11)</f>
        <v>2.5630000000000002</v>
      </c>
      <c r="K26" s="4">
        <f>2.6071 * CHOOSE(CONTROL!$C$15, $D$11, 100%, $F$11)</f>
        <v>2.6071</v>
      </c>
      <c r="L26" s="9">
        <v>31.095300000000002</v>
      </c>
      <c r="M26" s="9">
        <v>12.063700000000001</v>
      </c>
      <c r="N26" s="9">
        <v>4.9444999999999997</v>
      </c>
      <c r="O26" s="9">
        <v>0.61570000000000003</v>
      </c>
      <c r="P26" s="9">
        <v>2.1017999999999999</v>
      </c>
      <c r="Q26" s="9"/>
      <c r="R26" s="9">
        <f t="shared" si="0"/>
        <v>0.3</v>
      </c>
      <c r="S26" s="15">
        <v>1.0738000000000001</v>
      </c>
    </row>
    <row r="27" spans="1:19" ht="15" customHeight="1">
      <c r="A27" s="13">
        <v>42309</v>
      </c>
      <c r="B27" s="8">
        <f>2.1332 * CHOOSE(CONTROL!$C$15, $D$11, 100%, $F$11)</f>
        <v>2.1332</v>
      </c>
      <c r="C27" s="8">
        <f>2.1383 * CHOOSE(CONTROL!$C$15, $D$11, 100%, $F$11)</f>
        <v>2.1383000000000001</v>
      </c>
      <c r="D27" s="8">
        <f>2.0925 * CHOOSE( CONTROL!$C$15, $D$11, 100%, $F$11)</f>
        <v>2.0924999999999998</v>
      </c>
      <c r="E27" s="12">
        <f>2.1087 * CHOOSE( CONTROL!$C$15, $D$11, 100%, $F$11)</f>
        <v>2.1086999999999998</v>
      </c>
      <c r="F27" s="4">
        <f>2.7496 * CHOOSE(CONTROL!$C$15, $D$11, 100%, $F$11)</f>
        <v>2.7496</v>
      </c>
      <c r="G27" s="8">
        <f>2.0539 * CHOOSE( CONTROL!$C$15, $D$11, 100%, $F$11)</f>
        <v>2.0539000000000001</v>
      </c>
      <c r="H27" s="4">
        <f>2.9328 * CHOOSE(CONTROL!$C$15, $D$11, 100%, $F$11)</f>
        <v>2.9327999999999999</v>
      </c>
      <c r="I27" s="8">
        <f>2.0886 * CHOOSE(CONTROL!$C$15, $D$11, 100%, $F$11)</f>
        <v>2.0886</v>
      </c>
      <c r="J27" s="4">
        <f>2.033 * CHOOSE(CONTROL!$C$15, $D$11, 100%, $F$11)</f>
        <v>2.0329999999999999</v>
      </c>
      <c r="K27" s="4">
        <f>2.0646 * CHOOSE(CONTROL!$C$15, $D$11, 100%, $F$11)</f>
        <v>2.0646</v>
      </c>
      <c r="L27" s="9">
        <v>28.360600000000002</v>
      </c>
      <c r="M27" s="9">
        <v>11.6745</v>
      </c>
      <c r="N27" s="9">
        <v>4.7850000000000001</v>
      </c>
      <c r="O27" s="9">
        <v>0.59589999999999999</v>
      </c>
      <c r="P27" s="9">
        <v>1.2509999999999999</v>
      </c>
      <c r="Q27" s="9"/>
      <c r="R27" s="9">
        <f t="shared" si="0"/>
        <v>0.3</v>
      </c>
      <c r="S27" s="15">
        <v>1.0738000000000001</v>
      </c>
    </row>
    <row r="28" spans="1:19" ht="15" customHeight="1">
      <c r="A28" s="13">
        <v>42339</v>
      </c>
      <c r="B28" s="8">
        <f>2.3639 * CHOOSE(CONTROL!$C$15, $D$11, 100%, $F$11)</f>
        <v>2.3639000000000001</v>
      </c>
      <c r="C28" s="8">
        <f>2.369 * CHOOSE(CONTROL!$C$15, $D$11, 100%, $F$11)</f>
        <v>2.3690000000000002</v>
      </c>
      <c r="D28" s="8">
        <f>2.3329 * CHOOSE( CONTROL!$C$15, $D$11, 100%, $F$11)</f>
        <v>2.3329</v>
      </c>
      <c r="E28" s="12">
        <f>2.3456 * CHOOSE( CONTROL!$C$15, $D$11, 100%, $F$11)</f>
        <v>2.3456000000000001</v>
      </c>
      <c r="F28" s="4">
        <f>3.001 * CHOOSE(CONTROL!$C$15, $D$11, 100%, $F$11)</f>
        <v>3.0009999999999999</v>
      </c>
      <c r="G28" s="8">
        <f>2.2934 * CHOOSE( CONTROL!$C$15, $D$11, 100%, $F$11)</f>
        <v>2.2934000000000001</v>
      </c>
      <c r="H28" s="4">
        <f>3.18 * CHOOSE(CONTROL!$C$15, $D$11, 100%, $F$11)</f>
        <v>3.18</v>
      </c>
      <c r="I28" s="8">
        <f>2.3438 * CHOOSE(CONTROL!$C$15, $D$11, 100%, $F$11)</f>
        <v>2.3437999999999999</v>
      </c>
      <c r="J28" s="4">
        <f>2.256 * CHOOSE(CONTROL!$C$15, $D$11, 100%, $F$11)</f>
        <v>2.2559999999999998</v>
      </c>
      <c r="K28" s="4">
        <f>2.2954 * CHOOSE(CONTROL!$C$15, $D$11, 100%, $F$11)</f>
        <v>2.2953999999999999</v>
      </c>
      <c r="L28" s="9">
        <v>29.306000000000001</v>
      </c>
      <c r="M28" s="9">
        <v>12.063700000000001</v>
      </c>
      <c r="N28" s="9">
        <v>4.9444999999999997</v>
      </c>
      <c r="O28" s="9">
        <v>0.61570000000000003</v>
      </c>
      <c r="P28" s="9">
        <v>1.2927</v>
      </c>
      <c r="Q28" s="9"/>
      <c r="R28" s="9">
        <f t="shared" si="0"/>
        <v>0.3</v>
      </c>
      <c r="S28" s="15">
        <v>1.0738000000000001</v>
      </c>
    </row>
    <row r="29" spans="1:19" ht="15" customHeight="1">
      <c r="A29" s="13">
        <v>42370</v>
      </c>
      <c r="B29" s="8">
        <f>2.5625 * CHOOSE(CONTROL!$C$15, $D$11, 100%, $F$11)</f>
        <v>2.5625</v>
      </c>
      <c r="C29" s="8">
        <f>2.5676 * CHOOSE(CONTROL!$C$15, $D$11, 100%, $F$11)</f>
        <v>2.5676000000000001</v>
      </c>
      <c r="D29" s="8">
        <f>2.5404 * CHOOSE( CONTROL!$C$15, $D$11, 100%, $F$11)</f>
        <v>2.5404</v>
      </c>
      <c r="E29" s="12">
        <f>2.5498 * CHOOSE( CONTROL!$C$15, $D$11, 100%, $F$11)</f>
        <v>2.5497999999999998</v>
      </c>
      <c r="F29" s="4">
        <f>3.2065 * CHOOSE(CONTROL!$C$15, $D$11, 100%, $F$11)</f>
        <v>3.2065000000000001</v>
      </c>
      <c r="G29" s="8">
        <f>2.4967 * CHOOSE( CONTROL!$C$15, $D$11, 100%, $F$11)</f>
        <v>2.4967000000000001</v>
      </c>
      <c r="H29" s="4">
        <f>3.3821 * CHOOSE(CONTROL!$C$15, $D$11, 100%, $F$11)</f>
        <v>3.3820999999999999</v>
      </c>
      <c r="I29" s="8">
        <f>2.5428 * CHOOSE(CONTROL!$C$15, $D$11, 100%, $F$11)</f>
        <v>2.5428000000000002</v>
      </c>
      <c r="J29" s="4">
        <f>2.448 * CHOOSE(CONTROL!$C$15, $D$11, 100%, $F$11)</f>
        <v>2.448</v>
      </c>
      <c r="K29" s="4"/>
      <c r="L29" s="9">
        <v>29.306000000000001</v>
      </c>
      <c r="M29" s="9">
        <v>12.063700000000001</v>
      </c>
      <c r="N29" s="9">
        <v>4.9444999999999997</v>
      </c>
      <c r="O29" s="9">
        <v>0.61570000000000003</v>
      </c>
      <c r="P29" s="9">
        <v>1.2927</v>
      </c>
      <c r="Q29" s="9"/>
      <c r="R29" s="9">
        <f t="shared" ref="R29:R44" si="1">(0.1*4000000)/1000000</f>
        <v>0.4</v>
      </c>
      <c r="S29" s="11"/>
    </row>
    <row r="30" spans="1:19" ht="15" customHeight="1">
      <c r="A30" s="13">
        <v>42401</v>
      </c>
      <c r="B30" s="8">
        <f>2.5894 * CHOOSE(CONTROL!$C$15, $D$11, 100%, $F$11)</f>
        <v>2.5893999999999999</v>
      </c>
      <c r="C30" s="8">
        <f>2.5945 * CHOOSE(CONTROL!$C$15, $D$11, 100%, $F$11)</f>
        <v>2.5945</v>
      </c>
      <c r="D30" s="8">
        <f>2.5676 * CHOOSE( CONTROL!$C$15, $D$11, 100%, $F$11)</f>
        <v>2.5676000000000001</v>
      </c>
      <c r="E30" s="12">
        <f>2.5769 * CHOOSE( CONTROL!$C$15, $D$11, 100%, $F$11)</f>
        <v>2.5769000000000002</v>
      </c>
      <c r="F30" s="4">
        <f>3.2334 * CHOOSE(CONTROL!$C$15, $D$11, 100%, $F$11)</f>
        <v>3.2334000000000001</v>
      </c>
      <c r="G30" s="8">
        <f>2.5233 * CHOOSE( CONTROL!$C$15, $D$11, 100%, $F$11)</f>
        <v>2.5232999999999999</v>
      </c>
      <c r="H30" s="4">
        <f>3.4086 * CHOOSE(CONTROL!$C$15, $D$11, 100%, $F$11)</f>
        <v>3.4085999999999999</v>
      </c>
      <c r="I30" s="8">
        <f>2.5696 * CHOOSE(CONTROL!$C$15, $D$11, 100%, $F$11)</f>
        <v>2.5695999999999999</v>
      </c>
      <c r="J30" s="4">
        <f>2.474 * CHOOSE(CONTROL!$C$15, $D$11, 100%, $F$11)</f>
        <v>2.4740000000000002</v>
      </c>
      <c r="K30" s="4"/>
      <c r="L30" s="9">
        <v>27.415299999999998</v>
      </c>
      <c r="M30" s="9">
        <v>11.285299999999999</v>
      </c>
      <c r="N30" s="9">
        <v>4.6254999999999997</v>
      </c>
      <c r="O30" s="9">
        <v>0.57599999999999996</v>
      </c>
      <c r="P30" s="9">
        <v>1.2093</v>
      </c>
      <c r="Q30" s="9"/>
      <c r="R30" s="9">
        <f t="shared" si="1"/>
        <v>0.4</v>
      </c>
      <c r="S30" s="11"/>
    </row>
    <row r="31" spans="1:19" ht="15" customHeight="1">
      <c r="A31" s="13">
        <v>42430</v>
      </c>
      <c r="B31" s="8">
        <f>2.5811 * CHOOSE(CONTROL!$C$15, $D$11, 100%, $F$11)</f>
        <v>2.5811000000000002</v>
      </c>
      <c r="C31" s="8">
        <f>2.5862 * CHOOSE(CONTROL!$C$15, $D$11, 100%, $F$11)</f>
        <v>2.5861999999999998</v>
      </c>
      <c r="D31" s="8">
        <f>2.5592 * CHOOSE( CONTROL!$C$15, $D$11, 100%, $F$11)</f>
        <v>2.5592000000000001</v>
      </c>
      <c r="E31" s="12">
        <f>2.5685 * CHOOSE( CONTROL!$C$15, $D$11, 100%, $F$11)</f>
        <v>2.5684999999999998</v>
      </c>
      <c r="F31" s="4">
        <f>3.2251 * CHOOSE(CONTROL!$C$15, $D$11, 100%, $F$11)</f>
        <v>3.2250999999999999</v>
      </c>
      <c r="G31" s="8">
        <f>2.5151 * CHOOSE( CONTROL!$C$15, $D$11, 100%, $F$11)</f>
        <v>2.5150999999999999</v>
      </c>
      <c r="H31" s="4">
        <f>3.4004 * CHOOSE(CONTROL!$C$15, $D$11, 100%, $F$11)</f>
        <v>3.4003999999999999</v>
      </c>
      <c r="I31" s="8">
        <f>2.5614 * CHOOSE(CONTROL!$C$15, $D$11, 100%, $F$11)</f>
        <v>2.5613999999999999</v>
      </c>
      <c r="J31" s="4">
        <f>2.466 * CHOOSE(CONTROL!$C$15, $D$11, 100%, $F$11)</f>
        <v>2.4660000000000002</v>
      </c>
      <c r="K31" s="4"/>
      <c r="L31" s="9">
        <v>29.306000000000001</v>
      </c>
      <c r="M31" s="9">
        <v>12.063700000000001</v>
      </c>
      <c r="N31" s="9">
        <v>4.9444999999999997</v>
      </c>
      <c r="O31" s="9">
        <v>0.61570000000000003</v>
      </c>
      <c r="P31" s="9">
        <v>1.2927</v>
      </c>
      <c r="Q31" s="9"/>
      <c r="R31" s="9">
        <f t="shared" si="1"/>
        <v>0.4</v>
      </c>
      <c r="S31" s="11"/>
    </row>
    <row r="32" spans="1:19" ht="15" customHeight="1">
      <c r="A32" s="13">
        <v>42461</v>
      </c>
      <c r="B32" s="8">
        <f>2.5457 * CHOOSE(CONTROL!$C$15, $D$11, 100%, $F$11)</f>
        <v>2.5457000000000001</v>
      </c>
      <c r="C32" s="8">
        <f>2.5502 * CHOOSE(CONTROL!$C$15, $D$11, 100%, $F$11)</f>
        <v>2.5501999999999998</v>
      </c>
      <c r="D32" s="8">
        <f>2.5337 * CHOOSE( CONTROL!$C$15, $D$11, 100%, $F$11)</f>
        <v>2.5337000000000001</v>
      </c>
      <c r="E32" s="12">
        <f>2.5386 * CHOOSE( CONTROL!$C$15, $D$11, 100%, $F$11)</f>
        <v>2.5386000000000002</v>
      </c>
      <c r="F32" s="4">
        <f>3.2353 * CHOOSE(CONTROL!$C$15, $D$11, 100%, $F$11)</f>
        <v>3.2353000000000001</v>
      </c>
      <c r="G32" s="8">
        <f>2.4739 * CHOOSE( CONTROL!$C$15, $D$11, 100%, $F$11)</f>
        <v>2.4739</v>
      </c>
      <c r="H32" s="4">
        <f>3.4104 * CHOOSE(CONTROL!$C$15, $D$11, 100%, $F$11)</f>
        <v>3.4104000000000001</v>
      </c>
      <c r="I32" s="8">
        <f>2.5214 * CHOOSE(CONTROL!$C$15, $D$11, 100%, $F$11)</f>
        <v>2.5213999999999999</v>
      </c>
      <c r="J32" s="4">
        <f>2.431 * CHOOSE(CONTROL!$C$15, $D$11, 100%, $F$11)</f>
        <v>2.431</v>
      </c>
      <c r="K32" s="4"/>
      <c r="L32" s="9">
        <v>30.092199999999998</v>
      </c>
      <c r="M32" s="9">
        <v>11.6745</v>
      </c>
      <c r="N32" s="9">
        <v>4.7850000000000001</v>
      </c>
      <c r="O32" s="9">
        <v>0.59589999999999999</v>
      </c>
      <c r="P32" s="9">
        <v>2.0339999999999998</v>
      </c>
      <c r="Q32" s="9"/>
      <c r="R32" s="9">
        <f t="shared" si="1"/>
        <v>0.4</v>
      </c>
      <c r="S32" s="11"/>
    </row>
    <row r="33" spans="1:19" ht="15" customHeight="1">
      <c r="A33" s="13">
        <v>42491</v>
      </c>
      <c r="B33" s="8">
        <f>CHOOSE( CONTROL!$C$32, 2.5816, 2.5781) * CHOOSE(CONTROL!$C$15, $D$11, 100%, $F$11)</f>
        <v>2.5815999999999999</v>
      </c>
      <c r="C33" s="8">
        <f>CHOOSE( CONTROL!$C$32, 2.5897, 2.5861) * CHOOSE(CONTROL!$C$15, $D$11, 100%, $F$11)</f>
        <v>2.5897000000000001</v>
      </c>
      <c r="D33" s="8">
        <f>CHOOSE( CONTROL!$C$32, 2.5816, 2.578) * CHOOSE( CONTROL!$C$15, $D$11, 100%, $F$11)</f>
        <v>2.5815999999999999</v>
      </c>
      <c r="E33" s="12">
        <f>CHOOSE( CONTROL!$C$32, 2.5832, 2.5796) * CHOOSE( CONTROL!$C$15, $D$11, 100%, $F$11)</f>
        <v>2.5832000000000002</v>
      </c>
      <c r="F33" s="4">
        <f>CHOOSE( CONTROL!$C$32, 3.2699, 3.2664) * CHOOSE(CONTROL!$C$15, $D$11, 100%, $F$11)</f>
        <v>3.2698999999999998</v>
      </c>
      <c r="G33" s="8">
        <f>CHOOSE( CONTROL!$C$32, 2.5066, 2.5031) * CHOOSE( CONTROL!$C$15, $D$11, 100%, $F$11)</f>
        <v>2.5066000000000002</v>
      </c>
      <c r="H33" s="4">
        <f>CHOOSE( CONTROL!$C$32, 3.4445, 3.441) * CHOOSE(CONTROL!$C$15, $D$11, 100%, $F$11)</f>
        <v>3.4445000000000001</v>
      </c>
      <c r="I33" s="8">
        <f>CHOOSE( CONTROL!$C$32, 2.5557, 2.5523) * CHOOSE(CONTROL!$C$15, $D$11, 100%, $F$11)</f>
        <v>2.5556999999999999</v>
      </c>
      <c r="J33" s="4">
        <f>CHOOSE( CONTROL!$C$32, 2.4644, 2.461) * CHOOSE(CONTROL!$C$15, $D$11, 100%, $F$11)</f>
        <v>2.4643999999999999</v>
      </c>
      <c r="K33" s="4"/>
      <c r="L33" s="9">
        <v>33.7545</v>
      </c>
      <c r="M33" s="9">
        <v>12.063700000000001</v>
      </c>
      <c r="N33" s="9">
        <v>4.9444999999999997</v>
      </c>
      <c r="O33" s="9">
        <v>0.37409999999999999</v>
      </c>
      <c r="P33" s="9">
        <v>1.4925999999999999</v>
      </c>
      <c r="Q33" s="9"/>
      <c r="R33" s="9">
        <f t="shared" si="1"/>
        <v>0.4</v>
      </c>
      <c r="S33" s="11"/>
    </row>
    <row r="34" spans="1:19" ht="15" customHeight="1">
      <c r="A34" s="13">
        <v>42522</v>
      </c>
      <c r="B34" s="8">
        <f>CHOOSE( CONTROL!$C$32, 2.6292, 2.6257) * CHOOSE(CONTROL!$C$15, $D$11, 100%, $F$11)</f>
        <v>2.6292</v>
      </c>
      <c r="C34" s="8">
        <f>CHOOSE( CONTROL!$C$32, 2.6372, 2.6337) * CHOOSE(CONTROL!$C$15, $D$11, 100%, $F$11)</f>
        <v>2.6372</v>
      </c>
      <c r="D34" s="8">
        <f>CHOOSE( CONTROL!$C$32, 2.6295, 2.626) * CHOOSE( CONTROL!$C$15, $D$11, 100%, $F$11)</f>
        <v>2.6295000000000002</v>
      </c>
      <c r="E34" s="12">
        <f>CHOOSE( CONTROL!$C$32, 2.631, 2.6275) * CHOOSE( CONTROL!$C$15, $D$11, 100%, $F$11)</f>
        <v>2.6309999999999998</v>
      </c>
      <c r="F34" s="4">
        <f>CHOOSE( CONTROL!$C$32, 3.3175, 3.3139) * CHOOSE(CONTROL!$C$15, $D$11, 100%, $F$11)</f>
        <v>3.3174999999999999</v>
      </c>
      <c r="G34" s="8">
        <f>CHOOSE( CONTROL!$C$32, 2.5538, 2.5503) * CHOOSE( CONTROL!$C$15, $D$11, 100%, $F$11)</f>
        <v>2.5537999999999998</v>
      </c>
      <c r="H34" s="4">
        <f>CHOOSE( CONTROL!$C$32, 3.4913, 3.4878) * CHOOSE(CONTROL!$C$15, $D$11, 100%, $F$11)</f>
        <v>3.4912999999999998</v>
      </c>
      <c r="I34" s="8">
        <f>CHOOSE( CONTROL!$C$32, 2.6031, 2.5996) * CHOOSE(CONTROL!$C$15, $D$11, 100%, $F$11)</f>
        <v>2.6031</v>
      </c>
      <c r="J34" s="4">
        <f>CHOOSE( CONTROL!$C$32, 2.5104, 2.507) * CHOOSE(CONTROL!$C$15, $D$11, 100%, $F$11)</f>
        <v>2.5104000000000002</v>
      </c>
      <c r="K34" s="4"/>
      <c r="L34" s="9">
        <v>32.665700000000001</v>
      </c>
      <c r="M34" s="9">
        <v>11.6745</v>
      </c>
      <c r="N34" s="9">
        <v>4.7850000000000001</v>
      </c>
      <c r="O34" s="9">
        <v>0.36199999999999999</v>
      </c>
      <c r="P34" s="9">
        <v>1.4443999999999999</v>
      </c>
      <c r="Q34" s="9"/>
      <c r="R34" s="9">
        <f t="shared" si="1"/>
        <v>0.4</v>
      </c>
      <c r="S34" s="11"/>
    </row>
    <row r="35" spans="1:19" ht="15" customHeight="1">
      <c r="A35" s="13">
        <v>42552</v>
      </c>
      <c r="B35" s="8">
        <f>CHOOSE( CONTROL!$C$32, 2.682, 2.6784) * CHOOSE(CONTROL!$C$15, $D$11, 100%, $F$11)</f>
        <v>2.6819999999999999</v>
      </c>
      <c r="C35" s="8">
        <f>CHOOSE( CONTROL!$C$32, 2.69, 2.6864) * CHOOSE(CONTROL!$C$15, $D$11, 100%, $F$11)</f>
        <v>2.69</v>
      </c>
      <c r="D35" s="8">
        <f>CHOOSE( CONTROL!$C$32, 2.6827, 2.6791) * CHOOSE( CONTROL!$C$15, $D$11, 100%, $F$11)</f>
        <v>2.6827000000000001</v>
      </c>
      <c r="E35" s="12">
        <f>CHOOSE( CONTROL!$C$32, 2.684, 2.6804) * CHOOSE( CONTROL!$C$15, $D$11, 100%, $F$11)</f>
        <v>2.6840000000000002</v>
      </c>
      <c r="F35" s="4">
        <f>CHOOSE( CONTROL!$C$32, 3.3703, 3.3667) * CHOOSE(CONTROL!$C$15, $D$11, 100%, $F$11)</f>
        <v>3.3702999999999999</v>
      </c>
      <c r="G35" s="8">
        <f>CHOOSE( CONTROL!$C$32, 2.6062, 2.6026) * CHOOSE( CONTROL!$C$15, $D$11, 100%, $F$11)</f>
        <v>2.6061999999999999</v>
      </c>
      <c r="H35" s="4">
        <f>CHOOSE( CONTROL!$C$32, 3.5431, 3.5396) * CHOOSE(CONTROL!$C$15, $D$11, 100%, $F$11)</f>
        <v>3.5430999999999999</v>
      </c>
      <c r="I35" s="8">
        <f>CHOOSE( CONTROL!$C$32, 2.6556, 2.6521) * CHOOSE(CONTROL!$C$15, $D$11, 100%, $F$11)</f>
        <v>2.6556000000000002</v>
      </c>
      <c r="J35" s="4">
        <f>CHOOSE( CONTROL!$C$32, 2.5614, 2.558) * CHOOSE(CONTROL!$C$15, $D$11, 100%, $F$11)</f>
        <v>2.5613999999999999</v>
      </c>
      <c r="K35" s="4"/>
      <c r="L35" s="9">
        <v>33.7545</v>
      </c>
      <c r="M35" s="9">
        <v>12.063700000000001</v>
      </c>
      <c r="N35" s="9">
        <v>4.9444999999999997</v>
      </c>
      <c r="O35" s="9">
        <v>0.37409999999999999</v>
      </c>
      <c r="P35" s="9">
        <v>1.4925999999999999</v>
      </c>
      <c r="Q35" s="9"/>
      <c r="R35" s="9">
        <f t="shared" si="1"/>
        <v>0.4</v>
      </c>
      <c r="S35" s="11"/>
    </row>
    <row r="36" spans="1:19" ht="15" customHeight="1">
      <c r="A36" s="13">
        <v>42583</v>
      </c>
      <c r="B36" s="8">
        <f>CHOOSE( CONTROL!$C$32, 2.6985, 2.695) * CHOOSE(CONTROL!$C$15, $D$11, 100%, $F$11)</f>
        <v>2.6985000000000001</v>
      </c>
      <c r="C36" s="8">
        <f>CHOOSE( CONTROL!$C$32, 2.7066, 2.703) * CHOOSE(CONTROL!$C$15, $D$11, 100%, $F$11)</f>
        <v>2.7065999999999999</v>
      </c>
      <c r="D36" s="8">
        <f>CHOOSE( CONTROL!$C$32, 2.6994, 2.6958) * CHOOSE( CONTROL!$C$15, $D$11, 100%, $F$11)</f>
        <v>2.6993999999999998</v>
      </c>
      <c r="E36" s="12">
        <f>CHOOSE( CONTROL!$C$32, 2.7007, 2.6971) * CHOOSE( CONTROL!$C$15, $D$11, 100%, $F$11)</f>
        <v>2.7006999999999999</v>
      </c>
      <c r="F36" s="4">
        <f>CHOOSE( CONTROL!$C$32, 3.3868, 3.3832) * CHOOSE(CONTROL!$C$15, $D$11, 100%, $F$11)</f>
        <v>3.3868</v>
      </c>
      <c r="G36" s="8">
        <f>CHOOSE( CONTROL!$C$32, 2.6226, 2.6191) * CHOOSE( CONTROL!$C$15, $D$11, 100%, $F$11)</f>
        <v>2.6225999999999998</v>
      </c>
      <c r="H36" s="4">
        <f>CHOOSE( CONTROL!$C$32, 3.5594, 3.5559) * CHOOSE(CONTROL!$C$15, $D$11, 100%, $F$11)</f>
        <v>3.5594000000000001</v>
      </c>
      <c r="I36" s="8">
        <f>CHOOSE( CONTROL!$C$32, 2.672, 2.6686) * CHOOSE(CONTROL!$C$15, $D$11, 100%, $F$11)</f>
        <v>2.6720000000000002</v>
      </c>
      <c r="J36" s="4">
        <f>CHOOSE( CONTROL!$C$32, 2.5774, 2.574) * CHOOSE(CONTROL!$C$15, $D$11, 100%, $F$11)</f>
        <v>2.5773999999999999</v>
      </c>
      <c r="K36" s="4"/>
      <c r="L36" s="9">
        <v>33.7545</v>
      </c>
      <c r="M36" s="9">
        <v>12.063700000000001</v>
      </c>
      <c r="N36" s="9">
        <v>4.9444999999999997</v>
      </c>
      <c r="O36" s="9">
        <v>0.37409999999999999</v>
      </c>
      <c r="P36" s="9">
        <v>1.4925999999999999</v>
      </c>
      <c r="Q36" s="9"/>
      <c r="R36" s="9">
        <f t="shared" si="1"/>
        <v>0.4</v>
      </c>
      <c r="S36" s="11"/>
    </row>
    <row r="37" spans="1:19" ht="15" customHeight="1">
      <c r="A37" s="13">
        <v>42614</v>
      </c>
      <c r="B37" s="8">
        <f>CHOOSE( CONTROL!$C$32, 2.6985, 2.695) * CHOOSE(CONTROL!$C$15, $D$11, 100%, $F$11)</f>
        <v>2.6985000000000001</v>
      </c>
      <c r="C37" s="8">
        <f>CHOOSE( CONTROL!$C$32, 2.7066, 2.703) * CHOOSE(CONTROL!$C$15, $D$11, 100%, $F$11)</f>
        <v>2.7065999999999999</v>
      </c>
      <c r="D37" s="8">
        <f>CHOOSE( CONTROL!$C$32, 2.6994, 2.6958) * CHOOSE( CONTROL!$C$15, $D$11, 100%, $F$11)</f>
        <v>2.6993999999999998</v>
      </c>
      <c r="E37" s="12">
        <f>CHOOSE( CONTROL!$C$32, 2.7007, 2.6971) * CHOOSE( CONTROL!$C$15, $D$11, 100%, $F$11)</f>
        <v>2.7006999999999999</v>
      </c>
      <c r="F37" s="4">
        <f>CHOOSE( CONTROL!$C$32, 3.3868, 3.3832) * CHOOSE(CONTROL!$C$15, $D$11, 100%, $F$11)</f>
        <v>3.3868</v>
      </c>
      <c r="G37" s="8">
        <f>CHOOSE( CONTROL!$C$32, 2.6226, 2.6191) * CHOOSE( CONTROL!$C$15, $D$11, 100%, $F$11)</f>
        <v>2.6225999999999998</v>
      </c>
      <c r="H37" s="4">
        <f>CHOOSE( CONTROL!$C$32, 3.5594, 3.5559) * CHOOSE(CONTROL!$C$15, $D$11, 100%, $F$11)</f>
        <v>3.5594000000000001</v>
      </c>
      <c r="I37" s="8">
        <f>CHOOSE( CONTROL!$C$32, 2.672, 2.6686) * CHOOSE(CONTROL!$C$15, $D$11, 100%, $F$11)</f>
        <v>2.6720000000000002</v>
      </c>
      <c r="J37" s="4">
        <f>CHOOSE( CONTROL!$C$32, 2.5774, 2.574) * CHOOSE(CONTROL!$C$15, $D$11, 100%, $F$11)</f>
        <v>2.5773999999999999</v>
      </c>
      <c r="K37" s="4"/>
      <c r="L37" s="9">
        <v>32.665700000000001</v>
      </c>
      <c r="M37" s="9">
        <v>11.6745</v>
      </c>
      <c r="N37" s="9">
        <v>4.7850000000000001</v>
      </c>
      <c r="O37" s="9">
        <v>0.36199999999999999</v>
      </c>
      <c r="P37" s="9">
        <v>1.4443999999999999</v>
      </c>
      <c r="Q37" s="9"/>
      <c r="R37" s="9">
        <f t="shared" si="1"/>
        <v>0.4</v>
      </c>
      <c r="S37" s="11"/>
    </row>
    <row r="38" spans="1:19" ht="15" customHeight="1">
      <c r="A38" s="13">
        <v>42644</v>
      </c>
      <c r="B38" s="8">
        <f>2.7191 * CHOOSE(CONTROL!$C$15, $D$11, 100%, $F$11)</f>
        <v>2.7191000000000001</v>
      </c>
      <c r="C38" s="8">
        <f>2.7245 * CHOOSE(CONTROL!$C$15, $D$11, 100%, $F$11)</f>
        <v>2.7244999999999999</v>
      </c>
      <c r="D38" s="8">
        <f>2.7162 * CHOOSE( CONTROL!$C$15, $D$11, 100%, $F$11)</f>
        <v>2.7162000000000002</v>
      </c>
      <c r="E38" s="12">
        <f>2.7184 * CHOOSE( CONTROL!$C$15, $D$11, 100%, $F$11)</f>
        <v>2.7183999999999999</v>
      </c>
      <c r="F38" s="4">
        <f>3.4091 * CHOOSE(CONTROL!$C$15, $D$11, 100%, $F$11)</f>
        <v>3.4091</v>
      </c>
      <c r="G38" s="8">
        <f>2.644 * CHOOSE( CONTROL!$C$15, $D$11, 100%, $F$11)</f>
        <v>2.6440000000000001</v>
      </c>
      <c r="H38" s="4">
        <f>3.5813 * CHOOSE(CONTROL!$C$15, $D$11, 100%, $F$11)</f>
        <v>3.5813000000000001</v>
      </c>
      <c r="I38" s="8">
        <f>2.6943 * CHOOSE(CONTROL!$C$15, $D$11, 100%, $F$11)</f>
        <v>2.6943000000000001</v>
      </c>
      <c r="J38" s="4">
        <f>2.599 * CHOOSE(CONTROL!$C$15, $D$11, 100%, $F$11)</f>
        <v>2.5990000000000002</v>
      </c>
      <c r="K38" s="4"/>
      <c r="L38" s="9">
        <v>31.095300000000002</v>
      </c>
      <c r="M38" s="9">
        <v>12.063700000000001</v>
      </c>
      <c r="N38" s="9">
        <v>4.9444999999999997</v>
      </c>
      <c r="O38" s="9">
        <v>0.37409999999999999</v>
      </c>
      <c r="P38" s="9">
        <v>2.1017999999999999</v>
      </c>
      <c r="Q38" s="9"/>
      <c r="R38" s="9">
        <f t="shared" si="1"/>
        <v>0.4</v>
      </c>
      <c r="S38" s="11"/>
    </row>
    <row r="39" spans="1:19" ht="15" customHeight="1">
      <c r="A39" s="13">
        <v>42675</v>
      </c>
      <c r="B39" s="8">
        <f>2.8097 * CHOOSE(CONTROL!$C$15, $D$11, 100%, $F$11)</f>
        <v>2.8096999999999999</v>
      </c>
      <c r="C39" s="8">
        <f>2.8149 * CHOOSE(CONTROL!$C$15, $D$11, 100%, $F$11)</f>
        <v>2.8149000000000002</v>
      </c>
      <c r="D39" s="8">
        <f>2.7918 * CHOOSE( CONTROL!$C$15, $D$11, 100%, $F$11)</f>
        <v>2.7917999999999998</v>
      </c>
      <c r="E39" s="12">
        <f>2.7997 * CHOOSE( CONTROL!$C$15, $D$11, 100%, $F$11)</f>
        <v>2.7997000000000001</v>
      </c>
      <c r="F39" s="4">
        <f>3.4546 * CHOOSE(CONTROL!$C$15, $D$11, 100%, $F$11)</f>
        <v>3.4546000000000001</v>
      </c>
      <c r="G39" s="8">
        <f>2.7443 * CHOOSE( CONTROL!$C$15, $D$11, 100%, $F$11)</f>
        <v>2.7443</v>
      </c>
      <c r="H39" s="4">
        <f>3.6261 * CHOOSE(CONTROL!$C$15, $D$11, 100%, $F$11)</f>
        <v>3.6261000000000001</v>
      </c>
      <c r="I39" s="8">
        <f>2.807 * CHOOSE(CONTROL!$C$15, $D$11, 100%, $F$11)</f>
        <v>2.8069999999999999</v>
      </c>
      <c r="J39" s="4">
        <f>2.687 * CHOOSE(CONTROL!$C$15, $D$11, 100%, $F$11)</f>
        <v>2.6869999999999998</v>
      </c>
      <c r="K39" s="4"/>
      <c r="L39" s="9">
        <v>28.360600000000002</v>
      </c>
      <c r="M39" s="9">
        <v>11.6745</v>
      </c>
      <c r="N39" s="9">
        <v>4.7850000000000001</v>
      </c>
      <c r="O39" s="9">
        <v>0.36199999999999999</v>
      </c>
      <c r="P39" s="9">
        <v>1.2509999999999999</v>
      </c>
      <c r="Q39" s="9"/>
      <c r="R39" s="9">
        <f t="shared" si="1"/>
        <v>0.4</v>
      </c>
      <c r="S39" s="11"/>
    </row>
    <row r="40" spans="1:19" ht="15" customHeight="1">
      <c r="A40" s="13">
        <v>42705</v>
      </c>
      <c r="B40" s="8">
        <f>2.9659 * CHOOSE(CONTROL!$C$15, $D$11, 100%, $F$11)</f>
        <v>2.9659</v>
      </c>
      <c r="C40" s="8">
        <f>2.9711 * CHOOSE(CONTROL!$C$15, $D$11, 100%, $F$11)</f>
        <v>2.9710999999999999</v>
      </c>
      <c r="D40" s="8">
        <f>2.9494 * CHOOSE( CONTROL!$C$15, $D$11, 100%, $F$11)</f>
        <v>2.9493999999999998</v>
      </c>
      <c r="E40" s="12">
        <f>2.9568 * CHOOSE( CONTROL!$C$15, $D$11, 100%, $F$11)</f>
        <v>2.9567999999999999</v>
      </c>
      <c r="F40" s="4">
        <f>3.6108 * CHOOSE(CONTROL!$C$15, $D$11, 100%, $F$11)</f>
        <v>3.6107999999999998</v>
      </c>
      <c r="G40" s="8">
        <f>2.8989 * CHOOSE( CONTROL!$C$15, $D$11, 100%, $F$11)</f>
        <v>2.8988999999999998</v>
      </c>
      <c r="H40" s="4">
        <f>3.7797 * CHOOSE(CONTROL!$C$15, $D$11, 100%, $F$11)</f>
        <v>3.7797000000000001</v>
      </c>
      <c r="I40" s="8">
        <f>2.9625 * CHOOSE(CONTROL!$C$15, $D$11, 100%, $F$11)</f>
        <v>2.9624999999999999</v>
      </c>
      <c r="J40" s="4">
        <f>2.838 * CHOOSE(CONTROL!$C$15, $D$11, 100%, $F$11)</f>
        <v>2.8380000000000001</v>
      </c>
      <c r="K40" s="4"/>
      <c r="L40" s="9">
        <v>29.306000000000001</v>
      </c>
      <c r="M40" s="9">
        <v>12.063700000000001</v>
      </c>
      <c r="N40" s="9">
        <v>4.9444999999999997</v>
      </c>
      <c r="O40" s="9">
        <v>0.37409999999999999</v>
      </c>
      <c r="P40" s="9">
        <v>1.2927</v>
      </c>
      <c r="Q40" s="9"/>
      <c r="R40" s="9">
        <f t="shared" si="1"/>
        <v>0.4</v>
      </c>
      <c r="S40" s="11"/>
    </row>
    <row r="41" spans="1:19" ht="15" customHeight="1">
      <c r="A41" s="13">
        <v>42736</v>
      </c>
      <c r="B41" s="8">
        <f>3.0725 * CHOOSE(CONTROL!$C$15, $D$11, 100%, $F$11)</f>
        <v>3.0724999999999998</v>
      </c>
      <c r="C41" s="8">
        <f>3.0776 * CHOOSE(CONTROL!$C$15, $D$11, 100%, $F$11)</f>
        <v>3.0775999999999999</v>
      </c>
      <c r="D41" s="8">
        <f>3.0518 * CHOOSE( CONTROL!$C$15, $D$11, 100%, $F$11)</f>
        <v>3.0518000000000001</v>
      </c>
      <c r="E41" s="12">
        <f>3.0607 * CHOOSE( CONTROL!$C$15, $D$11, 100%, $F$11)</f>
        <v>3.0607000000000002</v>
      </c>
      <c r="F41" s="4">
        <f>3.7165 * CHOOSE(CONTROL!$C$15, $D$11, 100%, $F$11)</f>
        <v>3.7164999999999999</v>
      </c>
      <c r="G41" s="8">
        <f>2.9974 * CHOOSE( CONTROL!$C$15, $D$11, 100%, $F$11)</f>
        <v>2.9973999999999998</v>
      </c>
      <c r="H41" s="4">
        <f>3.8836 * CHOOSE(CONTROL!$C$15, $D$11, 100%, $F$11)</f>
        <v>3.8835999999999999</v>
      </c>
      <c r="I41" s="8">
        <f>3.0361 * CHOOSE(CONTROL!$C$15, $D$11, 100%, $F$11)</f>
        <v>3.0360999999999998</v>
      </c>
      <c r="J41" s="4">
        <f>2.941 * CHOOSE(CONTROL!$C$15, $D$11, 100%, $F$11)</f>
        <v>2.9409999999999998</v>
      </c>
      <c r="K41" s="4"/>
      <c r="L41" s="9">
        <v>29.306000000000001</v>
      </c>
      <c r="M41" s="9">
        <v>12.063700000000001</v>
      </c>
      <c r="N41" s="9">
        <v>4.9444999999999997</v>
      </c>
      <c r="O41" s="9">
        <v>0.37409999999999999</v>
      </c>
      <c r="P41" s="9">
        <v>1.2927</v>
      </c>
      <c r="Q41" s="9"/>
      <c r="R41" s="9">
        <f t="shared" si="1"/>
        <v>0.4</v>
      </c>
      <c r="S41" s="11"/>
    </row>
    <row r="42" spans="1:19" ht="15" customHeight="1">
      <c r="A42" s="13">
        <v>42767</v>
      </c>
      <c r="B42" s="8">
        <f>3.0673 * CHOOSE(CONTROL!$C$15, $D$11, 100%, $F$11)</f>
        <v>3.0672999999999999</v>
      </c>
      <c r="C42" s="8">
        <f>3.0724 * CHOOSE(CONTROL!$C$15, $D$11, 100%, $F$11)</f>
        <v>3.0724</v>
      </c>
      <c r="D42" s="8">
        <f>3.0468 * CHOOSE( CONTROL!$C$15, $D$11, 100%, $F$11)</f>
        <v>3.0468000000000002</v>
      </c>
      <c r="E42" s="12">
        <f>3.0556 * CHOOSE( CONTROL!$C$15, $D$11, 100%, $F$11)</f>
        <v>3.0556000000000001</v>
      </c>
      <c r="F42" s="4">
        <f>3.7113 * CHOOSE(CONTROL!$C$15, $D$11, 100%, $F$11)</f>
        <v>3.7113</v>
      </c>
      <c r="G42" s="8">
        <f>2.9925 * CHOOSE( CONTROL!$C$15, $D$11, 100%, $F$11)</f>
        <v>2.9925000000000002</v>
      </c>
      <c r="H42" s="4">
        <f>3.8786 * CHOOSE(CONTROL!$C$15, $D$11, 100%, $F$11)</f>
        <v>3.8786</v>
      </c>
      <c r="I42" s="8">
        <f>3.0318 * CHOOSE(CONTROL!$C$15, $D$11, 100%, $F$11)</f>
        <v>3.0318000000000001</v>
      </c>
      <c r="J42" s="4">
        <f>2.936 * CHOOSE(CONTROL!$C$15, $D$11, 100%, $F$11)</f>
        <v>2.9359999999999999</v>
      </c>
      <c r="K42" s="4"/>
      <c r="L42" s="9">
        <v>26.469899999999999</v>
      </c>
      <c r="M42" s="9">
        <v>10.8962</v>
      </c>
      <c r="N42" s="9">
        <v>4.4660000000000002</v>
      </c>
      <c r="O42" s="9">
        <v>0.33789999999999998</v>
      </c>
      <c r="P42" s="9">
        <v>1.1676</v>
      </c>
      <c r="Q42" s="9"/>
      <c r="R42" s="9">
        <f t="shared" si="1"/>
        <v>0.4</v>
      </c>
      <c r="S42" s="11"/>
    </row>
    <row r="43" spans="1:19" ht="15" customHeight="1">
      <c r="A43" s="13">
        <v>42795</v>
      </c>
      <c r="B43" s="8">
        <f>3.0125 * CHOOSE(CONTROL!$C$15, $D$11, 100%, $F$11)</f>
        <v>3.0125000000000002</v>
      </c>
      <c r="C43" s="8">
        <f>3.0176 * CHOOSE(CONTROL!$C$15, $D$11, 100%, $F$11)</f>
        <v>3.0175999999999998</v>
      </c>
      <c r="D43" s="8">
        <f>2.9919 * CHOOSE( CONTROL!$C$15, $D$11, 100%, $F$11)</f>
        <v>2.9918999999999998</v>
      </c>
      <c r="E43" s="12">
        <f>3.0008 * CHOOSE( CONTROL!$C$15, $D$11, 100%, $F$11)</f>
        <v>3.0007999999999999</v>
      </c>
      <c r="F43" s="4">
        <f>3.6565 * CHOOSE(CONTROL!$C$15, $D$11, 100%, $F$11)</f>
        <v>3.6564999999999999</v>
      </c>
      <c r="G43" s="8">
        <f>2.9385 * CHOOSE( CONTROL!$C$15, $D$11, 100%, $F$11)</f>
        <v>2.9384999999999999</v>
      </c>
      <c r="H43" s="4">
        <f>3.8246 * CHOOSE(CONTROL!$C$15, $D$11, 100%, $F$11)</f>
        <v>3.8246000000000002</v>
      </c>
      <c r="I43" s="8">
        <f>2.9786 * CHOOSE(CONTROL!$C$15, $D$11, 100%, $F$11)</f>
        <v>2.9786000000000001</v>
      </c>
      <c r="J43" s="4">
        <f>2.883 * CHOOSE(CONTROL!$C$15, $D$11, 100%, $F$11)</f>
        <v>2.883</v>
      </c>
      <c r="K43" s="4"/>
      <c r="L43" s="9">
        <v>29.306000000000001</v>
      </c>
      <c r="M43" s="9">
        <v>12.063700000000001</v>
      </c>
      <c r="N43" s="9">
        <v>4.9444999999999997</v>
      </c>
      <c r="O43" s="9">
        <v>0.37409999999999999</v>
      </c>
      <c r="P43" s="9">
        <v>1.2927</v>
      </c>
      <c r="Q43" s="9"/>
      <c r="R43" s="9">
        <f t="shared" si="1"/>
        <v>0.4</v>
      </c>
      <c r="S43" s="11"/>
    </row>
    <row r="44" spans="1:19" ht="15" customHeight="1">
      <c r="A44" s="13">
        <v>42826</v>
      </c>
      <c r="B44" s="8">
        <f>2.826 * CHOOSE(CONTROL!$C$15, $D$11, 100%, $F$11)</f>
        <v>2.8260000000000001</v>
      </c>
      <c r="C44" s="8">
        <f>2.8306 * CHOOSE(CONTROL!$C$15, $D$11, 100%, $F$11)</f>
        <v>2.8306</v>
      </c>
      <c r="D44" s="8">
        <f>2.8213 * CHOOSE( CONTROL!$C$15, $D$11, 100%, $F$11)</f>
        <v>2.8212999999999999</v>
      </c>
      <c r="E44" s="12">
        <f>2.8238 * CHOOSE( CONTROL!$C$15, $D$11, 100%, $F$11)</f>
        <v>2.8237999999999999</v>
      </c>
      <c r="F44" s="4">
        <f>3.5157 * CHOOSE(CONTROL!$C$15, $D$11, 100%, $F$11)</f>
        <v>3.5156999999999998</v>
      </c>
      <c r="G44" s="8">
        <f>2.7473 * CHOOSE( CONTROL!$C$15, $D$11, 100%, $F$11)</f>
        <v>2.7473000000000001</v>
      </c>
      <c r="H44" s="4">
        <f>3.6861 * CHOOSE(CONTROL!$C$15, $D$11, 100%, $F$11)</f>
        <v>3.6861000000000002</v>
      </c>
      <c r="I44" s="8">
        <f>2.7925 * CHOOSE(CONTROL!$C$15, $D$11, 100%, $F$11)</f>
        <v>2.7925</v>
      </c>
      <c r="J44" s="4">
        <f>2.702 * CHOOSE(CONTROL!$C$15, $D$11, 100%, $F$11)</f>
        <v>2.702</v>
      </c>
      <c r="K44" s="4"/>
      <c r="L44" s="9">
        <v>30.092199999999998</v>
      </c>
      <c r="M44" s="9">
        <v>11.6745</v>
      </c>
      <c r="N44" s="9">
        <v>4.7850000000000001</v>
      </c>
      <c r="O44" s="9">
        <v>0.36199999999999999</v>
      </c>
      <c r="P44" s="9">
        <v>2.0339999999999998</v>
      </c>
      <c r="Q44" s="9"/>
      <c r="R44" s="9">
        <f t="shared" si="1"/>
        <v>0.4</v>
      </c>
      <c r="S44" s="11"/>
    </row>
    <row r="45" spans="1:19" ht="15" customHeight="1">
      <c r="A45" s="13">
        <v>42856</v>
      </c>
      <c r="B45" s="8">
        <f>CHOOSE( CONTROL!$C$32, 2.8299, 2.8264) * CHOOSE(CONTROL!$C$15, $D$11, 100%, $F$11)</f>
        <v>2.8298999999999999</v>
      </c>
      <c r="C45" s="8">
        <f>CHOOSE( CONTROL!$C$32, 2.8379, 2.8344) * CHOOSE(CONTROL!$C$15, $D$11, 100%, $F$11)</f>
        <v>2.8378999999999999</v>
      </c>
      <c r="D45" s="8">
        <f>CHOOSE( CONTROL!$C$32, 2.824, 2.8204) * CHOOSE( CONTROL!$C$15, $D$11, 100%, $F$11)</f>
        <v>2.8239999999999998</v>
      </c>
      <c r="E45" s="12">
        <f>CHOOSE( CONTROL!$C$32, 2.8278, 2.8243) * CHOOSE( CONTROL!$C$15, $D$11, 100%, $F$11)</f>
        <v>2.8277999999999999</v>
      </c>
      <c r="F45" s="4">
        <f>CHOOSE( CONTROL!$C$32, 3.5182, 3.5146) * CHOOSE(CONTROL!$C$15, $D$11, 100%, $F$11)</f>
        <v>3.5182000000000002</v>
      </c>
      <c r="G45" s="8">
        <f>CHOOSE( CONTROL!$C$32, 2.7508, 2.7472) * CHOOSE( CONTROL!$C$15, $D$11, 100%, $F$11)</f>
        <v>2.7507999999999999</v>
      </c>
      <c r="H45" s="4">
        <f>CHOOSE( CONTROL!$C$32, 3.6886, 3.6851) * CHOOSE(CONTROL!$C$15, $D$11, 100%, $F$11)</f>
        <v>3.6886000000000001</v>
      </c>
      <c r="I45" s="8">
        <f>CHOOSE( CONTROL!$C$32, 2.7958, 2.7924) * CHOOSE(CONTROL!$C$15, $D$11, 100%, $F$11)</f>
        <v>2.7957999999999998</v>
      </c>
      <c r="J45" s="4">
        <f>CHOOSE( CONTROL!$C$32, 2.7044, 2.701) * CHOOSE(CONTROL!$C$15, $D$11, 100%, $F$11)</f>
        <v>2.7044000000000001</v>
      </c>
      <c r="K45" s="4"/>
      <c r="L45" s="9">
        <v>30.7165</v>
      </c>
      <c r="M45" s="9">
        <v>12.063700000000001</v>
      </c>
      <c r="N45" s="9">
        <v>4.9444999999999997</v>
      </c>
      <c r="O45" s="9">
        <v>0.37409999999999999</v>
      </c>
      <c r="P45" s="9">
        <v>2.1017999999999999</v>
      </c>
      <c r="Q45" s="9">
        <v>25.076499999999999</v>
      </c>
      <c r="R45" s="9"/>
      <c r="S45" s="11"/>
    </row>
    <row r="46" spans="1:19" ht="15" customHeight="1">
      <c r="A46" s="13">
        <v>42887</v>
      </c>
      <c r="B46" s="8">
        <f>CHOOSE( CONTROL!$C$32, 2.8713, 2.8677) * CHOOSE(CONTROL!$C$15, $D$11, 100%, $F$11)</f>
        <v>2.8713000000000002</v>
      </c>
      <c r="C46" s="8">
        <f>CHOOSE( CONTROL!$C$32, 2.8793, 2.8757) * CHOOSE(CONTROL!$C$15, $D$11, 100%, $F$11)</f>
        <v>2.8793000000000002</v>
      </c>
      <c r="D46" s="8">
        <f>CHOOSE( CONTROL!$C$32, 2.8657, 2.8622) * CHOOSE( CONTROL!$C$15, $D$11, 100%, $F$11)</f>
        <v>2.8656999999999999</v>
      </c>
      <c r="E46" s="12">
        <f>CHOOSE( CONTROL!$C$32, 2.8694, 2.8659) * CHOOSE( CONTROL!$C$15, $D$11, 100%, $F$11)</f>
        <v>2.8694000000000002</v>
      </c>
      <c r="F46" s="4">
        <f>CHOOSE( CONTROL!$C$32, 3.5596, 3.556) * CHOOSE(CONTROL!$C$15, $D$11, 100%, $F$11)</f>
        <v>3.5596000000000001</v>
      </c>
      <c r="G46" s="8">
        <f>CHOOSE( CONTROL!$C$32, 2.7919, 2.7884) * CHOOSE( CONTROL!$C$15, $D$11, 100%, $F$11)</f>
        <v>2.7919</v>
      </c>
      <c r="H46" s="4">
        <f>CHOOSE( CONTROL!$C$32, 3.7293, 3.7258) * CHOOSE(CONTROL!$C$15, $D$11, 100%, $F$11)</f>
        <v>3.7292999999999998</v>
      </c>
      <c r="I46" s="8">
        <f>CHOOSE( CONTROL!$C$32, 2.8372, 2.8337) * CHOOSE(CONTROL!$C$15, $D$11, 100%, $F$11)</f>
        <v>2.8372000000000002</v>
      </c>
      <c r="J46" s="4">
        <f>CHOOSE( CONTROL!$C$32, 2.7444, 2.741) * CHOOSE(CONTROL!$C$15, $D$11, 100%, $F$11)</f>
        <v>2.7444000000000002</v>
      </c>
      <c r="K46" s="4"/>
      <c r="L46" s="9">
        <v>29.7257</v>
      </c>
      <c r="M46" s="9">
        <v>11.6745</v>
      </c>
      <c r="N46" s="9">
        <v>4.7850000000000001</v>
      </c>
      <c r="O46" s="9">
        <v>0.36199999999999999</v>
      </c>
      <c r="P46" s="9">
        <v>2.0339999999999998</v>
      </c>
      <c r="Q46" s="9">
        <v>24.267600000000002</v>
      </c>
      <c r="R46" s="9"/>
      <c r="S46" s="11"/>
    </row>
    <row r="47" spans="1:19" ht="15" customHeight="1">
      <c r="A47" s="13">
        <v>42917</v>
      </c>
      <c r="B47" s="8">
        <f>CHOOSE( CONTROL!$C$32, 2.9168, 2.9132) * CHOOSE(CONTROL!$C$15, $D$11, 100%, $F$11)</f>
        <v>2.9167999999999998</v>
      </c>
      <c r="C47" s="8">
        <f>CHOOSE( CONTROL!$C$32, 2.9248, 2.9213) * CHOOSE(CONTROL!$C$15, $D$11, 100%, $F$11)</f>
        <v>2.9247999999999998</v>
      </c>
      <c r="D47" s="8">
        <f>CHOOSE( CONTROL!$C$32, 2.9117, 2.9081) * CHOOSE( CONTROL!$C$15, $D$11, 100%, $F$11)</f>
        <v>2.9117000000000002</v>
      </c>
      <c r="E47" s="12">
        <f>CHOOSE( CONTROL!$C$32, 2.9152, 2.9116) * CHOOSE( CONTROL!$C$15, $D$11, 100%, $F$11)</f>
        <v>2.9152</v>
      </c>
      <c r="F47" s="4">
        <f>CHOOSE( CONTROL!$C$32, 3.6051, 3.6015) * CHOOSE(CONTROL!$C$15, $D$11, 100%, $F$11)</f>
        <v>3.6051000000000002</v>
      </c>
      <c r="G47" s="8">
        <f>CHOOSE( CONTROL!$C$32, 2.8371, 2.8336) * CHOOSE( CONTROL!$C$15, $D$11, 100%, $F$11)</f>
        <v>2.8371</v>
      </c>
      <c r="H47" s="4">
        <f>CHOOSE( CONTROL!$C$32, 3.7741, 3.7706) * CHOOSE(CONTROL!$C$15, $D$11, 100%, $F$11)</f>
        <v>3.7740999999999998</v>
      </c>
      <c r="I47" s="8">
        <f>CHOOSE( CONTROL!$C$32, 2.8827, 2.8792) * CHOOSE(CONTROL!$C$15, $D$11, 100%, $F$11)</f>
        <v>2.8826999999999998</v>
      </c>
      <c r="J47" s="4">
        <f>CHOOSE( CONTROL!$C$32, 2.7884, 2.785) * CHOOSE(CONTROL!$C$15, $D$11, 100%, $F$11)</f>
        <v>2.7884000000000002</v>
      </c>
      <c r="K47" s="4"/>
      <c r="L47" s="9">
        <v>30.7165</v>
      </c>
      <c r="M47" s="9">
        <v>12.063700000000001</v>
      </c>
      <c r="N47" s="9">
        <v>4.9444999999999997</v>
      </c>
      <c r="O47" s="9">
        <v>0.37409999999999999</v>
      </c>
      <c r="P47" s="9">
        <v>2.1017999999999999</v>
      </c>
      <c r="Q47" s="9">
        <v>25.076499999999999</v>
      </c>
      <c r="R47" s="9"/>
      <c r="S47" s="11"/>
    </row>
    <row r="48" spans="1:19" ht="15" customHeight="1">
      <c r="A48" s="13">
        <v>42948</v>
      </c>
      <c r="B48" s="8">
        <f>CHOOSE( CONTROL!$C$32, 2.9334, 2.9298) * CHOOSE(CONTROL!$C$15, $D$11, 100%, $F$11)</f>
        <v>2.9333999999999998</v>
      </c>
      <c r="C48" s="8">
        <f>CHOOSE( CONTROL!$C$32, 2.9414, 2.9378) * CHOOSE(CONTROL!$C$15, $D$11, 100%, $F$11)</f>
        <v>2.9413999999999998</v>
      </c>
      <c r="D48" s="8">
        <f>CHOOSE( CONTROL!$C$32, 2.9284, 2.9248) * CHOOSE( CONTROL!$C$15, $D$11, 100%, $F$11)</f>
        <v>2.9283999999999999</v>
      </c>
      <c r="E48" s="12">
        <f>CHOOSE( CONTROL!$C$32, 2.9319, 2.9283) * CHOOSE( CONTROL!$C$15, $D$11, 100%, $F$11)</f>
        <v>2.9319000000000002</v>
      </c>
      <c r="F48" s="4">
        <f>CHOOSE( CONTROL!$C$32, 3.6216, 3.6181) * CHOOSE(CONTROL!$C$15, $D$11, 100%, $F$11)</f>
        <v>3.6215999999999999</v>
      </c>
      <c r="G48" s="8">
        <f>CHOOSE( CONTROL!$C$32, 2.8535, 2.85) * CHOOSE( CONTROL!$C$15, $D$11, 100%, $F$11)</f>
        <v>2.8534999999999999</v>
      </c>
      <c r="H48" s="4">
        <f>CHOOSE( CONTROL!$C$32, 3.7903, 3.7868) * CHOOSE(CONTROL!$C$15, $D$11, 100%, $F$11)</f>
        <v>3.7902999999999998</v>
      </c>
      <c r="I48" s="8">
        <f>CHOOSE( CONTROL!$C$32, 2.8992, 2.8957) * CHOOSE(CONTROL!$C$15, $D$11, 100%, $F$11)</f>
        <v>2.8992</v>
      </c>
      <c r="J48" s="4">
        <f>CHOOSE( CONTROL!$C$32, 2.8044, 2.801) * CHOOSE(CONTROL!$C$15, $D$11, 100%, $F$11)</f>
        <v>2.8043999999999998</v>
      </c>
      <c r="K48" s="4"/>
      <c r="L48" s="9">
        <v>30.7165</v>
      </c>
      <c r="M48" s="9">
        <v>12.063700000000001</v>
      </c>
      <c r="N48" s="9">
        <v>4.9444999999999997</v>
      </c>
      <c r="O48" s="9">
        <v>0.37409999999999999</v>
      </c>
      <c r="P48" s="9">
        <v>2.1017999999999999</v>
      </c>
      <c r="Q48" s="9">
        <v>25.076499999999999</v>
      </c>
      <c r="R48" s="9"/>
      <c r="S48" s="11"/>
    </row>
    <row r="49" spans="1:19" ht="15" customHeight="1">
      <c r="A49" s="13">
        <v>42979</v>
      </c>
      <c r="B49" s="8">
        <f>CHOOSE( CONTROL!$C$32, 2.9261, 2.9226) * CHOOSE(CONTROL!$C$15, $D$11, 100%, $F$11)</f>
        <v>2.9260999999999999</v>
      </c>
      <c r="C49" s="8">
        <f>CHOOSE( CONTROL!$C$32, 2.9341, 2.9306) * CHOOSE(CONTROL!$C$15, $D$11, 100%, $F$11)</f>
        <v>2.9340999999999999</v>
      </c>
      <c r="D49" s="8">
        <f>CHOOSE( CONTROL!$C$32, 2.9212, 2.9176) * CHOOSE( CONTROL!$C$15, $D$11, 100%, $F$11)</f>
        <v>2.9211999999999998</v>
      </c>
      <c r="E49" s="12">
        <f>CHOOSE( CONTROL!$C$32, 2.9247, 2.9211) * CHOOSE( CONTROL!$C$15, $D$11, 100%, $F$11)</f>
        <v>2.9247000000000001</v>
      </c>
      <c r="F49" s="4">
        <f>CHOOSE( CONTROL!$C$32, 3.6144, 3.6108) * CHOOSE(CONTROL!$C$15, $D$11, 100%, $F$11)</f>
        <v>3.6143999999999998</v>
      </c>
      <c r="G49" s="8">
        <f>CHOOSE( CONTROL!$C$32, 2.8464, 2.8429) * CHOOSE( CONTROL!$C$15, $D$11, 100%, $F$11)</f>
        <v>2.8464</v>
      </c>
      <c r="H49" s="4">
        <f>CHOOSE( CONTROL!$C$32, 3.7832, 3.7797) * CHOOSE(CONTROL!$C$15, $D$11, 100%, $F$11)</f>
        <v>3.7831999999999999</v>
      </c>
      <c r="I49" s="8">
        <f>CHOOSE( CONTROL!$C$32, 2.8922, 2.8887) * CHOOSE(CONTROL!$C$15, $D$11, 100%, $F$11)</f>
        <v>2.8921999999999999</v>
      </c>
      <c r="J49" s="4">
        <f>CHOOSE( CONTROL!$C$32, 2.7974, 2.794) * CHOOSE(CONTROL!$C$15, $D$11, 100%, $F$11)</f>
        <v>2.7974000000000001</v>
      </c>
      <c r="K49" s="4"/>
      <c r="L49" s="9">
        <v>29.7257</v>
      </c>
      <c r="M49" s="9">
        <v>11.6745</v>
      </c>
      <c r="N49" s="9">
        <v>4.7850000000000001</v>
      </c>
      <c r="O49" s="9">
        <v>0.36199999999999999</v>
      </c>
      <c r="P49" s="9">
        <v>2.0339999999999998</v>
      </c>
      <c r="Q49" s="9">
        <v>24.267600000000002</v>
      </c>
      <c r="R49" s="9"/>
      <c r="S49" s="11"/>
    </row>
    <row r="50" spans="1:19" ht="15" customHeight="1">
      <c r="A50" s="13">
        <v>43009</v>
      </c>
      <c r="B50" s="8">
        <f>2.9467 * CHOOSE(CONTROL!$C$15, $D$11, 100%, $F$11)</f>
        <v>2.9466999999999999</v>
      </c>
      <c r="C50" s="8">
        <f>2.9521 * CHOOSE(CONTROL!$C$15, $D$11, 100%, $F$11)</f>
        <v>2.9521000000000002</v>
      </c>
      <c r="D50" s="8">
        <f>2.9438 * CHOOSE( CONTROL!$C$15, $D$11, 100%, $F$11)</f>
        <v>2.9438</v>
      </c>
      <c r="E50" s="12">
        <f>2.946 * CHOOSE( CONTROL!$C$15, $D$11, 100%, $F$11)</f>
        <v>2.9460000000000002</v>
      </c>
      <c r="F50" s="4">
        <f>3.6367 * CHOOSE(CONTROL!$C$15, $D$11, 100%, $F$11)</f>
        <v>3.6366999999999998</v>
      </c>
      <c r="G50" s="8">
        <f>2.8678 * CHOOSE( CONTROL!$C$15, $D$11, 100%, $F$11)</f>
        <v>2.8677999999999999</v>
      </c>
      <c r="H50" s="4">
        <f>3.8051 * CHOOSE(CONTROL!$C$15, $D$11, 100%, $F$11)</f>
        <v>3.8050999999999999</v>
      </c>
      <c r="I50" s="8">
        <f>2.9144 * CHOOSE(CONTROL!$C$15, $D$11, 100%, $F$11)</f>
        <v>2.9144000000000001</v>
      </c>
      <c r="J50" s="4">
        <f>2.819 * CHOOSE(CONTROL!$C$15, $D$11, 100%, $F$11)</f>
        <v>2.819</v>
      </c>
      <c r="K50" s="4"/>
      <c r="L50" s="9">
        <v>31.095300000000002</v>
      </c>
      <c r="M50" s="9">
        <v>12.063700000000001</v>
      </c>
      <c r="N50" s="9">
        <v>4.9444999999999997</v>
      </c>
      <c r="O50" s="9">
        <v>0.37409999999999999</v>
      </c>
      <c r="P50" s="9">
        <v>2.1017999999999999</v>
      </c>
      <c r="Q50" s="9">
        <v>25.076499999999999</v>
      </c>
      <c r="R50" s="9"/>
      <c r="S50" s="11"/>
    </row>
    <row r="51" spans="1:19" ht="15" customHeight="1">
      <c r="A51" s="13">
        <v>43040</v>
      </c>
      <c r="B51" s="8">
        <f>3.029 * CHOOSE(CONTROL!$C$15, $D$11, 100%, $F$11)</f>
        <v>3.0289999999999999</v>
      </c>
      <c r="C51" s="8">
        <f>3.0342 * CHOOSE(CONTROL!$C$15, $D$11, 100%, $F$11)</f>
        <v>3.0341999999999998</v>
      </c>
      <c r="D51" s="8">
        <f>3.0111 * CHOOSE( CONTROL!$C$15, $D$11, 100%, $F$11)</f>
        <v>3.0110999999999999</v>
      </c>
      <c r="E51" s="12">
        <f>3.019 * CHOOSE( CONTROL!$C$15, $D$11, 100%, $F$11)</f>
        <v>3.0190000000000001</v>
      </c>
      <c r="F51" s="4">
        <f>3.6739 * CHOOSE(CONTROL!$C$15, $D$11, 100%, $F$11)</f>
        <v>3.6739000000000002</v>
      </c>
      <c r="G51" s="8">
        <f>2.96 * CHOOSE( CONTROL!$C$15, $D$11, 100%, $F$11)</f>
        <v>2.96</v>
      </c>
      <c r="H51" s="4">
        <f>3.8418 * CHOOSE(CONTROL!$C$15, $D$11, 100%, $F$11)</f>
        <v>3.8418000000000001</v>
      </c>
      <c r="I51" s="8">
        <f>3.0191 * CHOOSE(CONTROL!$C$15, $D$11, 100%, $F$11)</f>
        <v>3.0190999999999999</v>
      </c>
      <c r="J51" s="4">
        <f>2.899 * CHOOSE(CONTROL!$C$15, $D$11, 100%, $F$11)</f>
        <v>2.899</v>
      </c>
      <c r="K51" s="4"/>
      <c r="L51" s="9">
        <v>28.360600000000002</v>
      </c>
      <c r="M51" s="9">
        <v>11.6745</v>
      </c>
      <c r="N51" s="9">
        <v>4.7850000000000001</v>
      </c>
      <c r="O51" s="9">
        <v>0.36199999999999999</v>
      </c>
      <c r="P51" s="9">
        <v>1.2509999999999999</v>
      </c>
      <c r="Q51" s="9">
        <v>24.267600000000002</v>
      </c>
      <c r="R51" s="9"/>
      <c r="S51" s="11"/>
    </row>
    <row r="52" spans="1:19" ht="15" customHeight="1">
      <c r="A52" s="13">
        <v>43070</v>
      </c>
      <c r="B52" s="8">
        <f>3.1821 * CHOOSE(CONTROL!$C$15, $D$11, 100%, $F$11)</f>
        <v>3.1821000000000002</v>
      </c>
      <c r="C52" s="8">
        <f>3.1873 * CHOOSE(CONTROL!$C$15, $D$11, 100%, $F$11)</f>
        <v>3.1873</v>
      </c>
      <c r="D52" s="8">
        <f>3.1656 * CHOOSE( CONTROL!$C$15, $D$11, 100%, $F$11)</f>
        <v>3.1656</v>
      </c>
      <c r="E52" s="12">
        <f>3.173 * CHOOSE( CONTROL!$C$15, $D$11, 100%, $F$11)</f>
        <v>3.173</v>
      </c>
      <c r="F52" s="4">
        <f>3.827 * CHOOSE(CONTROL!$C$15, $D$11, 100%, $F$11)</f>
        <v>3.827</v>
      </c>
      <c r="G52" s="8">
        <f>3.1115 * CHOOSE( CONTROL!$C$15, $D$11, 100%, $F$11)</f>
        <v>3.1114999999999999</v>
      </c>
      <c r="H52" s="4">
        <f>3.9923 * CHOOSE(CONTROL!$C$15, $D$11, 100%, $F$11)</f>
        <v>3.9923000000000002</v>
      </c>
      <c r="I52" s="8">
        <f>3.1716 * CHOOSE(CONTROL!$C$15, $D$11, 100%, $F$11)</f>
        <v>3.1716000000000002</v>
      </c>
      <c r="J52" s="4">
        <f>3.047 * CHOOSE(CONTROL!$C$15, $D$11, 100%, $F$11)</f>
        <v>3.0470000000000002</v>
      </c>
      <c r="K52" s="4"/>
      <c r="L52" s="9">
        <v>29.306000000000001</v>
      </c>
      <c r="M52" s="9">
        <v>12.063700000000001</v>
      </c>
      <c r="N52" s="9">
        <v>4.9444999999999997</v>
      </c>
      <c r="O52" s="9">
        <v>0.37409999999999999</v>
      </c>
      <c r="P52" s="9">
        <v>1.2927</v>
      </c>
      <c r="Q52" s="9">
        <v>25.076499999999999</v>
      </c>
      <c r="R52" s="9"/>
      <c r="S52" s="11"/>
    </row>
    <row r="53" spans="1:19" ht="15" customHeight="1">
      <c r="A53" s="13">
        <v>43101</v>
      </c>
      <c r="B53" s="8">
        <f>3.9297 * CHOOSE(CONTROL!$C$15, $D$11, 100%, $F$11)</f>
        <v>3.9297</v>
      </c>
      <c r="C53" s="8">
        <f>3.9348 * CHOOSE(CONTROL!$C$15, $D$11, 100%, $F$11)</f>
        <v>3.9348000000000001</v>
      </c>
      <c r="D53" s="8">
        <f>3.909 * CHOOSE( CONTROL!$C$15, $D$11, 100%, $F$11)</f>
        <v>3.9089999999999998</v>
      </c>
      <c r="E53" s="12">
        <f>3.9179 * CHOOSE( CONTROL!$C$15, $D$11, 100%, $F$11)</f>
        <v>3.9178999999999999</v>
      </c>
      <c r="F53" s="4">
        <f>4.5737 * CHOOSE(CONTROL!$C$15, $D$11, 100%, $F$11)</f>
        <v>4.5736999999999997</v>
      </c>
      <c r="G53" s="8">
        <f>3.8404 * CHOOSE( CONTROL!$C$15, $D$11, 100%, $F$11)</f>
        <v>3.8403999999999998</v>
      </c>
      <c r="H53" s="4">
        <f>4.7267 * CHOOSE(CONTROL!$C$15, $D$11, 100%, $F$11)</f>
        <v>4.7267000000000001</v>
      </c>
      <c r="I53" s="8">
        <f>3.8652 * CHOOSE(CONTROL!$C$15, $D$11, 100%, $F$11)</f>
        <v>3.8652000000000002</v>
      </c>
      <c r="J53" s="4">
        <f>3.7697 * CHOOSE(CONTROL!$C$15, $D$11, 100%, $F$11)</f>
        <v>3.7696999999999998</v>
      </c>
      <c r="K53" s="4"/>
      <c r="L53" s="9">
        <v>29.306000000000001</v>
      </c>
      <c r="M53" s="9">
        <v>12.063700000000001</v>
      </c>
      <c r="N53" s="9">
        <v>4.9444999999999997</v>
      </c>
      <c r="O53" s="9">
        <v>0.37409999999999999</v>
      </c>
      <c r="P53" s="9">
        <v>1.2927</v>
      </c>
      <c r="Q53" s="9">
        <v>24.901700000000002</v>
      </c>
      <c r="R53" s="9"/>
      <c r="S53" s="11"/>
    </row>
    <row r="54" spans="1:19" ht="15" customHeight="1">
      <c r="A54" s="13">
        <v>43132</v>
      </c>
      <c r="B54" s="8">
        <f>3.6776 * CHOOSE(CONTROL!$C$15, $D$11, 100%, $F$11)</f>
        <v>3.6776</v>
      </c>
      <c r="C54" s="8">
        <f>3.6827 * CHOOSE(CONTROL!$C$15, $D$11, 100%, $F$11)</f>
        <v>3.6827000000000001</v>
      </c>
      <c r="D54" s="8">
        <f>3.6571 * CHOOSE( CONTROL!$C$15, $D$11, 100%, $F$11)</f>
        <v>3.6570999999999998</v>
      </c>
      <c r="E54" s="12">
        <f>3.6659 * CHOOSE( CONTROL!$C$15, $D$11, 100%, $F$11)</f>
        <v>3.6659000000000002</v>
      </c>
      <c r="F54" s="4">
        <f>4.3216 * CHOOSE(CONTROL!$C$15, $D$11, 100%, $F$11)</f>
        <v>4.3216000000000001</v>
      </c>
      <c r="G54" s="8">
        <f>3.5927 * CHOOSE( CONTROL!$C$15, $D$11, 100%, $F$11)</f>
        <v>3.5926999999999998</v>
      </c>
      <c r="H54" s="4">
        <f>4.4787 * CHOOSE(CONTROL!$C$15, $D$11, 100%, $F$11)</f>
        <v>4.4786999999999999</v>
      </c>
      <c r="I54" s="8">
        <f>3.6221 * CHOOSE(CONTROL!$C$15, $D$11, 100%, $F$11)</f>
        <v>3.6221000000000001</v>
      </c>
      <c r="J54" s="4">
        <f>3.526 * CHOOSE(CONTROL!$C$15, $D$11, 100%, $F$11)</f>
        <v>3.5259999999999998</v>
      </c>
      <c r="K54" s="4"/>
      <c r="L54" s="9">
        <v>26.469899999999999</v>
      </c>
      <c r="M54" s="9">
        <v>10.8962</v>
      </c>
      <c r="N54" s="9">
        <v>4.4660000000000002</v>
      </c>
      <c r="O54" s="9">
        <v>0.33789999999999998</v>
      </c>
      <c r="P54" s="9">
        <v>1.1676</v>
      </c>
      <c r="Q54" s="9">
        <v>22.491800000000001</v>
      </c>
      <c r="R54" s="9"/>
      <c r="S54" s="11"/>
    </row>
    <row r="55" spans="1:19" ht="15" customHeight="1">
      <c r="A55" s="13">
        <v>43160</v>
      </c>
      <c r="B55" s="8">
        <f>3.6 * CHOOSE(CONTROL!$C$15, $D$11, 100%, $F$11)</f>
        <v>3.6</v>
      </c>
      <c r="C55" s="8">
        <f>3.6051 * CHOOSE(CONTROL!$C$15, $D$11, 100%, $F$11)</f>
        <v>3.6051000000000002</v>
      </c>
      <c r="D55" s="8">
        <f>3.5794 * CHOOSE( CONTROL!$C$15, $D$11, 100%, $F$11)</f>
        <v>3.5794000000000001</v>
      </c>
      <c r="E55" s="12">
        <f>3.5883 * CHOOSE( CONTROL!$C$15, $D$11, 100%, $F$11)</f>
        <v>3.5882999999999998</v>
      </c>
      <c r="F55" s="4">
        <f>4.244 * CHOOSE(CONTROL!$C$15, $D$11, 100%, $F$11)</f>
        <v>4.2439999999999998</v>
      </c>
      <c r="G55" s="8">
        <f>3.5163 * CHOOSE( CONTROL!$C$15, $D$11, 100%, $F$11)</f>
        <v>3.5163000000000002</v>
      </c>
      <c r="H55" s="4">
        <f>4.4024 * CHOOSE(CONTROL!$C$15, $D$11, 100%, $F$11)</f>
        <v>4.4024000000000001</v>
      </c>
      <c r="I55" s="8">
        <f>3.5468 * CHOOSE(CONTROL!$C$15, $D$11, 100%, $F$11)</f>
        <v>3.5468000000000002</v>
      </c>
      <c r="J55" s="4">
        <f>3.4509 * CHOOSE(CONTROL!$C$15, $D$11, 100%, $F$11)</f>
        <v>3.4508999999999999</v>
      </c>
      <c r="K55" s="4"/>
      <c r="L55" s="9">
        <v>29.306000000000001</v>
      </c>
      <c r="M55" s="9">
        <v>12.063700000000001</v>
      </c>
      <c r="N55" s="9">
        <v>4.9444999999999997</v>
      </c>
      <c r="O55" s="9">
        <v>0.37409999999999999</v>
      </c>
      <c r="P55" s="9">
        <v>1.2927</v>
      </c>
      <c r="Q55" s="9">
        <v>24.901700000000002</v>
      </c>
      <c r="R55" s="9"/>
      <c r="S55" s="11"/>
    </row>
    <row r="56" spans="1:19" ht="15" customHeight="1">
      <c r="A56" s="13">
        <v>43191</v>
      </c>
      <c r="B56" s="8">
        <f>3.655 * CHOOSE(CONTROL!$C$15, $D$11, 100%, $F$11)</f>
        <v>3.6549999999999998</v>
      </c>
      <c r="C56" s="8">
        <f>3.6595 * CHOOSE(CONTROL!$C$15, $D$11, 100%, $F$11)</f>
        <v>3.6595</v>
      </c>
      <c r="D56" s="8">
        <f>3.6706 * CHOOSE( CONTROL!$C$15, $D$11, 100%, $F$11)</f>
        <v>3.6705999999999999</v>
      </c>
      <c r="E56" s="12">
        <f>3.6664 * CHOOSE( CONTROL!$C$15, $D$11, 100%, $F$11)</f>
        <v>3.6663999999999999</v>
      </c>
      <c r="F56" s="4">
        <f>4.3446 * CHOOSE(CONTROL!$C$15, $D$11, 100%, $F$11)</f>
        <v>4.3445999999999998</v>
      </c>
      <c r="G56" s="8">
        <f>3.5625 * CHOOSE( CONTROL!$C$15, $D$11, 100%, $F$11)</f>
        <v>3.5625</v>
      </c>
      <c r="H56" s="4">
        <f>4.5014 * CHOOSE(CONTROL!$C$15, $D$11, 100%, $F$11)</f>
        <v>4.5014000000000003</v>
      </c>
      <c r="I56" s="8">
        <f>3.5943 * CHOOSE(CONTROL!$C$15, $D$11, 100%, $F$11)</f>
        <v>3.5943000000000001</v>
      </c>
      <c r="J56" s="4">
        <f>3.5034 * CHOOSE(CONTROL!$C$15, $D$11, 100%, $F$11)</f>
        <v>3.5034000000000001</v>
      </c>
      <c r="K56" s="4"/>
      <c r="L56" s="9">
        <v>30.092199999999998</v>
      </c>
      <c r="M56" s="9">
        <v>11.6745</v>
      </c>
      <c r="N56" s="9">
        <v>4.7850000000000001</v>
      </c>
      <c r="O56" s="9">
        <v>0.36199999999999999</v>
      </c>
      <c r="P56" s="9">
        <v>1.1791</v>
      </c>
      <c r="Q56" s="9">
        <v>24.098400000000002</v>
      </c>
      <c r="R56" s="9"/>
      <c r="S56" s="11"/>
    </row>
    <row r="57" spans="1:19" ht="15" customHeight="1">
      <c r="A57" s="13">
        <v>43221</v>
      </c>
      <c r="B57" s="8">
        <f>CHOOSE( CONTROL!$C$32, 3.7565, 3.7529) * CHOOSE(CONTROL!$C$15, $D$11, 100%, $F$11)</f>
        <v>3.7565</v>
      </c>
      <c r="C57" s="8">
        <f>CHOOSE( CONTROL!$C$32, 3.7645, 3.7609) * CHOOSE(CONTROL!$C$15, $D$11, 100%, $F$11)</f>
        <v>3.7645</v>
      </c>
      <c r="D57" s="8">
        <f>CHOOSE( CONTROL!$C$32, 3.7705, 3.767) * CHOOSE( CONTROL!$C$15, $D$11, 100%, $F$11)</f>
        <v>3.7705000000000002</v>
      </c>
      <c r="E57" s="12">
        <f>CHOOSE( CONTROL!$C$32, 3.7671, 3.7636) * CHOOSE( CONTROL!$C$15, $D$11, 100%, $F$11)</f>
        <v>3.7671000000000001</v>
      </c>
      <c r="F57" s="4">
        <f>CHOOSE( CONTROL!$C$32, 4.4448, 4.4412) * CHOOSE(CONTROL!$C$15, $D$11, 100%, $F$11)</f>
        <v>4.4447999999999999</v>
      </c>
      <c r="G57" s="8">
        <f>CHOOSE( CONTROL!$C$32, 3.662, 3.6585) * CHOOSE( CONTROL!$C$15, $D$11, 100%, $F$11)</f>
        <v>3.6619999999999999</v>
      </c>
      <c r="H57" s="4">
        <f>CHOOSE( CONTROL!$C$32, 4.5998, 4.5963) * CHOOSE(CONTROL!$C$15, $D$11, 100%, $F$11)</f>
        <v>4.5998000000000001</v>
      </c>
      <c r="I57" s="8">
        <f>CHOOSE( CONTROL!$C$32, 3.692, 3.6886) * CHOOSE(CONTROL!$C$15, $D$11, 100%, $F$11)</f>
        <v>3.6920000000000002</v>
      </c>
      <c r="J57" s="4">
        <f>CHOOSE( CONTROL!$C$32, 3.6002, 3.5967) * CHOOSE(CONTROL!$C$15, $D$11, 100%, $F$11)</f>
        <v>3.6002000000000001</v>
      </c>
      <c r="K57" s="4"/>
      <c r="L57" s="9">
        <v>30.7165</v>
      </c>
      <c r="M57" s="9">
        <v>12.063700000000001</v>
      </c>
      <c r="N57" s="9">
        <v>4.9444999999999997</v>
      </c>
      <c r="O57" s="9">
        <v>0.37409999999999999</v>
      </c>
      <c r="P57" s="9">
        <v>1.2183999999999999</v>
      </c>
      <c r="Q57" s="9">
        <v>24.901700000000002</v>
      </c>
      <c r="R57" s="9"/>
      <c r="S57" s="11"/>
    </row>
    <row r="58" spans="1:19" ht="15" customHeight="1">
      <c r="A58" s="13">
        <v>43252</v>
      </c>
      <c r="B58" s="8">
        <f>CHOOSE( CONTROL!$C$32, 3.6967, 3.6931) * CHOOSE(CONTROL!$C$15, $D$11, 100%, $F$11)</f>
        <v>3.6966999999999999</v>
      </c>
      <c r="C58" s="8">
        <f>CHOOSE( CONTROL!$C$32, 3.7047, 3.7011) * CHOOSE(CONTROL!$C$15, $D$11, 100%, $F$11)</f>
        <v>3.7046999999999999</v>
      </c>
      <c r="D58" s="8">
        <f>CHOOSE( CONTROL!$C$32, 3.711, 3.7074) * CHOOSE( CONTROL!$C$15, $D$11, 100%, $F$11)</f>
        <v>3.7109999999999999</v>
      </c>
      <c r="E58" s="12">
        <f>CHOOSE( CONTROL!$C$32, 3.7075, 3.7039) * CHOOSE( CONTROL!$C$15, $D$11, 100%, $F$11)</f>
        <v>3.7075</v>
      </c>
      <c r="F58" s="4">
        <f>CHOOSE( CONTROL!$C$32, 4.3849, 4.3814) * CHOOSE(CONTROL!$C$15, $D$11, 100%, $F$11)</f>
        <v>4.3849</v>
      </c>
      <c r="G58" s="8">
        <f>CHOOSE( CONTROL!$C$32, 3.6036, 3.6) * CHOOSE( CONTROL!$C$15, $D$11, 100%, $F$11)</f>
        <v>3.6036000000000001</v>
      </c>
      <c r="H58" s="4">
        <f>CHOOSE( CONTROL!$C$32, 4.541, 4.5375) * CHOOSE(CONTROL!$C$15, $D$11, 100%, $F$11)</f>
        <v>4.5410000000000004</v>
      </c>
      <c r="I58" s="8">
        <f>CHOOSE( CONTROL!$C$32, 3.6355, 3.632) * CHOOSE(CONTROL!$C$15, $D$11, 100%, $F$11)</f>
        <v>3.6355</v>
      </c>
      <c r="J58" s="4">
        <f>CHOOSE( CONTROL!$C$32, 3.5423, 3.5389) * CHOOSE(CONTROL!$C$15, $D$11, 100%, $F$11)</f>
        <v>3.5423</v>
      </c>
      <c r="K58" s="4"/>
      <c r="L58" s="9">
        <v>29.7257</v>
      </c>
      <c r="M58" s="9">
        <v>11.6745</v>
      </c>
      <c r="N58" s="9">
        <v>4.7850000000000001</v>
      </c>
      <c r="O58" s="9">
        <v>0.36199999999999999</v>
      </c>
      <c r="P58" s="9">
        <v>1.1791</v>
      </c>
      <c r="Q58" s="9">
        <v>24.098400000000002</v>
      </c>
      <c r="R58" s="9"/>
      <c r="S58" s="11"/>
    </row>
    <row r="59" spans="1:19" ht="15" customHeight="1">
      <c r="A59" s="13">
        <v>43282</v>
      </c>
      <c r="B59" s="8">
        <f>CHOOSE( CONTROL!$C$32, 3.8542, 3.8506) * CHOOSE(CONTROL!$C$15, $D$11, 100%, $F$11)</f>
        <v>3.8542000000000001</v>
      </c>
      <c r="C59" s="8">
        <f>CHOOSE( CONTROL!$C$32, 3.8622, 3.8586) * CHOOSE(CONTROL!$C$15, $D$11, 100%, $F$11)</f>
        <v>3.8622000000000001</v>
      </c>
      <c r="D59" s="8">
        <f>CHOOSE( CONTROL!$C$32, 3.8688, 3.8652) * CHOOSE( CONTROL!$C$15, $D$11, 100%, $F$11)</f>
        <v>3.8687999999999998</v>
      </c>
      <c r="E59" s="12">
        <f>CHOOSE( CONTROL!$C$32, 3.8652, 3.8616) * CHOOSE( CONTROL!$C$15, $D$11, 100%, $F$11)</f>
        <v>3.8652000000000002</v>
      </c>
      <c r="F59" s="4">
        <f>CHOOSE( CONTROL!$C$32, 4.5425, 4.5389) * CHOOSE(CONTROL!$C$15, $D$11, 100%, $F$11)</f>
        <v>4.5425000000000004</v>
      </c>
      <c r="G59" s="8">
        <f>CHOOSE( CONTROL!$C$32, 3.7589, 3.7554) * CHOOSE( CONTROL!$C$15, $D$11, 100%, $F$11)</f>
        <v>3.7589000000000001</v>
      </c>
      <c r="H59" s="4">
        <f>CHOOSE( CONTROL!$C$32, 4.6959, 4.6924) * CHOOSE(CONTROL!$C$15, $D$11, 100%, $F$11)</f>
        <v>4.6959</v>
      </c>
      <c r="I59" s="8">
        <f>CHOOSE( CONTROL!$C$32, 3.7893, 3.7859) * CHOOSE(CONTROL!$C$15, $D$11, 100%, $F$11)</f>
        <v>3.7892999999999999</v>
      </c>
      <c r="J59" s="4">
        <f>CHOOSE( CONTROL!$C$32, 3.6946, 3.6912) * CHOOSE(CONTROL!$C$15, $D$11, 100%, $F$11)</f>
        <v>3.6945999999999999</v>
      </c>
      <c r="K59" s="4"/>
      <c r="L59" s="9">
        <v>30.7165</v>
      </c>
      <c r="M59" s="9">
        <v>12.063700000000001</v>
      </c>
      <c r="N59" s="9">
        <v>4.9444999999999997</v>
      </c>
      <c r="O59" s="9">
        <v>0.37409999999999999</v>
      </c>
      <c r="P59" s="9">
        <v>1.2183999999999999</v>
      </c>
      <c r="Q59" s="9">
        <v>24.901700000000002</v>
      </c>
      <c r="R59" s="9"/>
      <c r="S59" s="11"/>
    </row>
    <row r="60" spans="1:19" ht="15" customHeight="1">
      <c r="A60" s="13">
        <v>43313</v>
      </c>
      <c r="B60" s="8">
        <f>CHOOSE( CONTROL!$C$32, 3.5595, 3.5559) * CHOOSE(CONTROL!$C$15, $D$11, 100%, $F$11)</f>
        <v>3.5594999999999999</v>
      </c>
      <c r="C60" s="8">
        <f>CHOOSE( CONTROL!$C$32, 3.5675, 3.5639) * CHOOSE(CONTROL!$C$15, $D$11, 100%, $F$11)</f>
        <v>3.5674999999999999</v>
      </c>
      <c r="D60" s="8">
        <f>CHOOSE( CONTROL!$C$32, 3.5742, 3.5706) * CHOOSE( CONTROL!$C$15, $D$11, 100%, $F$11)</f>
        <v>3.5741999999999998</v>
      </c>
      <c r="E60" s="12">
        <f>CHOOSE( CONTROL!$C$32, 3.5706, 3.567) * CHOOSE( CONTROL!$C$15, $D$11, 100%, $F$11)</f>
        <v>3.5706000000000002</v>
      </c>
      <c r="F60" s="4">
        <f>CHOOSE( CONTROL!$C$32, 4.2477, 4.2442) * CHOOSE(CONTROL!$C$15, $D$11, 100%, $F$11)</f>
        <v>4.2477</v>
      </c>
      <c r="G60" s="8">
        <f>CHOOSE( CONTROL!$C$32, 3.4692, 3.4657) * CHOOSE( CONTROL!$C$15, $D$11, 100%, $F$11)</f>
        <v>3.4691999999999998</v>
      </c>
      <c r="H60" s="4">
        <f>CHOOSE( CONTROL!$C$32, 4.4061, 4.4025) * CHOOSE(CONTROL!$C$15, $D$11, 100%, $F$11)</f>
        <v>4.4061000000000003</v>
      </c>
      <c r="I60" s="8">
        <f>CHOOSE( CONTROL!$C$32, 3.5047, 3.5013) * CHOOSE(CONTROL!$C$15, $D$11, 100%, $F$11)</f>
        <v>3.5047000000000001</v>
      </c>
      <c r="J60" s="4">
        <f>CHOOSE( CONTROL!$C$32, 3.4097, 3.4062) * CHOOSE(CONTROL!$C$15, $D$11, 100%, $F$11)</f>
        <v>3.4097</v>
      </c>
      <c r="K60" s="4"/>
      <c r="L60" s="9">
        <v>30.7165</v>
      </c>
      <c r="M60" s="9">
        <v>12.063700000000001</v>
      </c>
      <c r="N60" s="9">
        <v>4.9444999999999997</v>
      </c>
      <c r="O60" s="9">
        <v>0.37409999999999999</v>
      </c>
      <c r="P60" s="9">
        <v>1.2183999999999999</v>
      </c>
      <c r="Q60" s="9">
        <v>24.901700000000002</v>
      </c>
      <c r="R60" s="9"/>
      <c r="S60" s="11"/>
    </row>
    <row r="61" spans="1:19" ht="15" customHeight="1">
      <c r="A61" s="13">
        <v>43344</v>
      </c>
      <c r="B61" s="8">
        <f>CHOOSE( CONTROL!$C$32, 3.4856, 3.4821) * CHOOSE(CONTROL!$C$15, $D$11, 100%, $F$11)</f>
        <v>3.4855999999999998</v>
      </c>
      <c r="C61" s="8">
        <f>CHOOSE( CONTROL!$C$32, 3.4937, 3.4901) * CHOOSE(CONTROL!$C$15, $D$11, 100%, $F$11)</f>
        <v>3.4937</v>
      </c>
      <c r="D61" s="8">
        <f>CHOOSE( CONTROL!$C$32, 3.5003, 3.4968) * CHOOSE( CONTROL!$C$15, $D$11, 100%, $F$11)</f>
        <v>3.5003000000000002</v>
      </c>
      <c r="E61" s="12">
        <f>CHOOSE( CONTROL!$C$32, 3.4967, 3.4932) * CHOOSE( CONTROL!$C$15, $D$11, 100%, $F$11)</f>
        <v>3.4967000000000001</v>
      </c>
      <c r="F61" s="4">
        <f>CHOOSE( CONTROL!$C$32, 4.1739, 4.1703) * CHOOSE(CONTROL!$C$15, $D$11, 100%, $F$11)</f>
        <v>4.1738999999999997</v>
      </c>
      <c r="G61" s="8">
        <f>CHOOSE( CONTROL!$C$32, 3.3966, 3.3931) * CHOOSE( CONTROL!$C$15, $D$11, 100%, $F$11)</f>
        <v>3.3965999999999998</v>
      </c>
      <c r="H61" s="4">
        <f>CHOOSE( CONTROL!$C$32, 4.3335, 4.33) * CHOOSE(CONTROL!$C$15, $D$11, 100%, $F$11)</f>
        <v>4.3334999999999999</v>
      </c>
      <c r="I61" s="8">
        <f>CHOOSE( CONTROL!$C$32, 3.4333, 3.4299) * CHOOSE(CONTROL!$C$15, $D$11, 100%, $F$11)</f>
        <v>3.4333</v>
      </c>
      <c r="J61" s="4">
        <f>CHOOSE( CONTROL!$C$32, 3.3383, 3.3349) * CHOOSE(CONTROL!$C$15, $D$11, 100%, $F$11)</f>
        <v>3.3382999999999998</v>
      </c>
      <c r="K61" s="4"/>
      <c r="L61" s="9">
        <v>29.7257</v>
      </c>
      <c r="M61" s="9">
        <v>11.6745</v>
      </c>
      <c r="N61" s="9">
        <v>4.7850000000000001</v>
      </c>
      <c r="O61" s="9">
        <v>0.36199999999999999</v>
      </c>
      <c r="P61" s="9">
        <v>1.1791</v>
      </c>
      <c r="Q61" s="9">
        <v>24.098400000000002</v>
      </c>
      <c r="R61" s="9"/>
      <c r="S61" s="11"/>
    </row>
    <row r="62" spans="1:19" ht="15" customHeight="1">
      <c r="A62" s="13">
        <v>43374</v>
      </c>
      <c r="B62" s="8">
        <f>3.6336 * CHOOSE(CONTROL!$C$15, $D$11, 100%, $F$11)</f>
        <v>3.6335999999999999</v>
      </c>
      <c r="C62" s="8">
        <f>3.639 * CHOOSE(CONTROL!$C$15, $D$11, 100%, $F$11)</f>
        <v>3.6389999999999998</v>
      </c>
      <c r="D62" s="8">
        <f>3.6505 * CHOOSE( CONTROL!$C$15, $D$11, 100%, $F$11)</f>
        <v>3.6505000000000001</v>
      </c>
      <c r="E62" s="12">
        <f>3.6461 * CHOOSE( CONTROL!$C$15, $D$11, 100%, $F$11)</f>
        <v>3.6461000000000001</v>
      </c>
      <c r="F62" s="4">
        <f>4.3236 * CHOOSE(CONTROL!$C$15, $D$11, 100%, $F$11)</f>
        <v>4.3235999999999999</v>
      </c>
      <c r="G62" s="8">
        <f>3.5433 * CHOOSE( CONTROL!$C$15, $D$11, 100%, $F$11)</f>
        <v>3.5432999999999999</v>
      </c>
      <c r="H62" s="4">
        <f>4.4807 * CHOOSE(CONTROL!$C$15, $D$11, 100%, $F$11)</f>
        <v>4.4806999999999997</v>
      </c>
      <c r="I62" s="8">
        <f>3.5788 * CHOOSE(CONTROL!$C$15, $D$11, 100%, $F$11)</f>
        <v>3.5788000000000002</v>
      </c>
      <c r="J62" s="4">
        <f>3.483 * CHOOSE(CONTROL!$C$15, $D$11, 100%, $F$11)</f>
        <v>3.4830000000000001</v>
      </c>
      <c r="K62" s="4"/>
      <c r="L62" s="9">
        <v>31.095300000000002</v>
      </c>
      <c r="M62" s="9">
        <v>12.063700000000001</v>
      </c>
      <c r="N62" s="9">
        <v>4.9444999999999997</v>
      </c>
      <c r="O62" s="9">
        <v>0.37409999999999999</v>
      </c>
      <c r="P62" s="9">
        <v>1.2183999999999999</v>
      </c>
      <c r="Q62" s="9">
        <v>24.901700000000002</v>
      </c>
      <c r="R62" s="9"/>
      <c r="S62" s="11"/>
    </row>
    <row r="63" spans="1:19" ht="15" customHeight="1">
      <c r="A63" s="13">
        <v>43405</v>
      </c>
      <c r="B63" s="8">
        <f>3.9161 * CHOOSE(CONTROL!$C$15, $D$11, 100%, $F$11)</f>
        <v>3.9161000000000001</v>
      </c>
      <c r="C63" s="8">
        <f>3.9212 * CHOOSE(CONTROL!$C$15, $D$11, 100%, $F$11)</f>
        <v>3.9211999999999998</v>
      </c>
      <c r="D63" s="8">
        <f>3.8981 * CHOOSE( CONTROL!$C$15, $D$11, 100%, $F$11)</f>
        <v>3.8980999999999999</v>
      </c>
      <c r="E63" s="12">
        <f>3.906 * CHOOSE( CONTROL!$C$15, $D$11, 100%, $F$11)</f>
        <v>3.9060000000000001</v>
      </c>
      <c r="F63" s="4">
        <f>4.561 * CHOOSE(CONTROL!$C$15, $D$11, 100%, $F$11)</f>
        <v>4.5609999999999999</v>
      </c>
      <c r="G63" s="8">
        <f>3.8323 * CHOOSE( CONTROL!$C$15, $D$11, 100%, $F$11)</f>
        <v>3.8323</v>
      </c>
      <c r="H63" s="4">
        <f>4.7141 * CHOOSE(CONTROL!$C$15, $D$11, 100%, $F$11)</f>
        <v>4.7141000000000002</v>
      </c>
      <c r="I63" s="8">
        <f>3.8771 * CHOOSE(CONTROL!$C$15, $D$11, 100%, $F$11)</f>
        <v>3.8771</v>
      </c>
      <c r="J63" s="4">
        <f>3.7565 * CHOOSE(CONTROL!$C$15, $D$11, 100%, $F$11)</f>
        <v>3.7565</v>
      </c>
      <c r="K63" s="4"/>
      <c r="L63" s="9">
        <v>28.360600000000002</v>
      </c>
      <c r="M63" s="9">
        <v>11.6745</v>
      </c>
      <c r="N63" s="9">
        <v>4.7850000000000001</v>
      </c>
      <c r="O63" s="9">
        <v>0.36199999999999999</v>
      </c>
      <c r="P63" s="9">
        <v>1.2509999999999999</v>
      </c>
      <c r="Q63" s="9">
        <v>24.098400000000002</v>
      </c>
      <c r="R63" s="9"/>
      <c r="S63" s="11"/>
    </row>
    <row r="64" spans="1:19" ht="15" customHeight="1">
      <c r="A64" s="13">
        <v>43435</v>
      </c>
      <c r="B64" s="8">
        <f>3.909 * CHOOSE(CONTROL!$C$15, $D$11, 100%, $F$11)</f>
        <v>3.9089999999999998</v>
      </c>
      <c r="C64" s="8">
        <f>3.9141 * CHOOSE(CONTROL!$C$15, $D$11, 100%, $F$11)</f>
        <v>3.9140999999999999</v>
      </c>
      <c r="D64" s="8">
        <f>3.8924 * CHOOSE( CONTROL!$C$15, $D$11, 100%, $F$11)</f>
        <v>3.8923999999999999</v>
      </c>
      <c r="E64" s="12">
        <f>3.8998 * CHOOSE( CONTROL!$C$15, $D$11, 100%, $F$11)</f>
        <v>3.8997999999999999</v>
      </c>
      <c r="F64" s="4">
        <f>4.5539 * CHOOSE(CONTROL!$C$15, $D$11, 100%, $F$11)</f>
        <v>4.5538999999999996</v>
      </c>
      <c r="G64" s="8">
        <f>3.8263 * CHOOSE( CONTROL!$C$15, $D$11, 100%, $F$11)</f>
        <v>3.8262999999999998</v>
      </c>
      <c r="H64" s="4">
        <f>4.7071 * CHOOSE(CONTROL!$C$15, $D$11, 100%, $F$11)</f>
        <v>4.7070999999999996</v>
      </c>
      <c r="I64" s="8">
        <f>3.8746 * CHOOSE(CONTROL!$C$15, $D$11, 100%, $F$11)</f>
        <v>3.8746</v>
      </c>
      <c r="J64" s="4">
        <f>3.7497 * CHOOSE(CONTROL!$C$15, $D$11, 100%, $F$11)</f>
        <v>3.7496999999999998</v>
      </c>
      <c r="K64" s="4"/>
      <c r="L64" s="9">
        <v>29.306000000000001</v>
      </c>
      <c r="M64" s="9">
        <v>12.063700000000001</v>
      </c>
      <c r="N64" s="9">
        <v>4.9444999999999997</v>
      </c>
      <c r="O64" s="9">
        <v>0.37409999999999999</v>
      </c>
      <c r="P64" s="9">
        <v>1.2927</v>
      </c>
      <c r="Q64" s="9">
        <v>24.901700000000002</v>
      </c>
      <c r="R64" s="9"/>
      <c r="S64" s="11"/>
    </row>
    <row r="65" spans="1:19" ht="15" customHeight="1">
      <c r="A65" s="13">
        <v>43466</v>
      </c>
      <c r="B65" s="8">
        <f>3.9532 * CHOOSE(CONTROL!$C$15, $D$11, 100%, $F$11)</f>
        <v>3.9531999999999998</v>
      </c>
      <c r="C65" s="8">
        <f>3.9583 * CHOOSE(CONTROL!$C$15, $D$11, 100%, $F$11)</f>
        <v>3.9582999999999999</v>
      </c>
      <c r="D65" s="8">
        <f>3.9325 * CHOOSE( CONTROL!$C$15, $D$11, 100%, $F$11)</f>
        <v>3.9325000000000001</v>
      </c>
      <c r="E65" s="12">
        <f>3.9414 * CHOOSE( CONTROL!$C$15, $D$11, 100%, $F$11)</f>
        <v>3.9413999999999998</v>
      </c>
      <c r="F65" s="4">
        <f>4.5972 * CHOOSE(CONTROL!$C$15, $D$11, 100%, $F$11)</f>
        <v>4.5972</v>
      </c>
      <c r="G65" s="8">
        <f>3.8635 * CHOOSE( CONTROL!$C$15, $D$11, 100%, $F$11)</f>
        <v>3.8635000000000002</v>
      </c>
      <c r="H65" s="4">
        <f>4.7498 * CHOOSE(CONTROL!$C$15, $D$11, 100%, $F$11)</f>
        <v>4.7497999999999996</v>
      </c>
      <c r="I65" s="8">
        <f>3.8879 * CHOOSE(CONTROL!$C$15, $D$11, 100%, $F$11)</f>
        <v>3.8879000000000001</v>
      </c>
      <c r="J65" s="4">
        <f>3.7924 * CHOOSE(CONTROL!$C$15, $D$11, 100%, $F$11)</f>
        <v>3.7924000000000002</v>
      </c>
      <c r="K65" s="4"/>
      <c r="L65" s="9">
        <v>29.306000000000001</v>
      </c>
      <c r="M65" s="9">
        <v>12.063700000000001</v>
      </c>
      <c r="N65" s="9">
        <v>4.9444999999999997</v>
      </c>
      <c r="O65" s="9">
        <v>0.37409999999999999</v>
      </c>
      <c r="P65" s="9">
        <v>1.2927</v>
      </c>
      <c r="Q65" s="9">
        <v>24.651199999999999</v>
      </c>
      <c r="R65" s="9"/>
      <c r="S65" s="11"/>
    </row>
    <row r="66" spans="1:19" ht="15" customHeight="1">
      <c r="A66" s="13">
        <v>43497</v>
      </c>
      <c r="B66" s="8">
        <f>3.6996 * CHOOSE(CONTROL!$C$15, $D$11, 100%, $F$11)</f>
        <v>3.6996000000000002</v>
      </c>
      <c r="C66" s="8">
        <f>3.7047 * CHOOSE(CONTROL!$C$15, $D$11, 100%, $F$11)</f>
        <v>3.7046999999999999</v>
      </c>
      <c r="D66" s="8">
        <f>3.6791 * CHOOSE( CONTROL!$C$15, $D$11, 100%, $F$11)</f>
        <v>3.6791</v>
      </c>
      <c r="E66" s="12">
        <f>3.6879 * CHOOSE( CONTROL!$C$15, $D$11, 100%, $F$11)</f>
        <v>3.6879</v>
      </c>
      <c r="F66" s="4">
        <f>4.3436 * CHOOSE(CONTROL!$C$15, $D$11, 100%, $F$11)</f>
        <v>4.3436000000000003</v>
      </c>
      <c r="G66" s="8">
        <f>3.6143 * CHOOSE( CONTROL!$C$15, $D$11, 100%, $F$11)</f>
        <v>3.6143000000000001</v>
      </c>
      <c r="H66" s="4">
        <f>4.5004 * CHOOSE(CONTROL!$C$15, $D$11, 100%, $F$11)</f>
        <v>4.5004</v>
      </c>
      <c r="I66" s="8">
        <f>3.6434 * CHOOSE(CONTROL!$C$15, $D$11, 100%, $F$11)</f>
        <v>3.6434000000000002</v>
      </c>
      <c r="J66" s="4">
        <f>3.5472 * CHOOSE(CONTROL!$C$15, $D$11, 100%, $F$11)</f>
        <v>3.5472000000000001</v>
      </c>
      <c r="K66" s="4"/>
      <c r="L66" s="9">
        <v>26.469899999999999</v>
      </c>
      <c r="M66" s="9">
        <v>10.8962</v>
      </c>
      <c r="N66" s="9">
        <v>4.4660000000000002</v>
      </c>
      <c r="O66" s="9">
        <v>0.33789999999999998</v>
      </c>
      <c r="P66" s="9">
        <v>1.1676</v>
      </c>
      <c r="Q66" s="9">
        <v>22.265599999999999</v>
      </c>
      <c r="R66" s="9"/>
      <c r="S66" s="11"/>
    </row>
    <row r="67" spans="1:19" ht="15" customHeight="1">
      <c r="A67" s="13">
        <v>43525</v>
      </c>
      <c r="B67" s="8">
        <f>3.6215 * CHOOSE(CONTROL!$C$15, $D$11, 100%, $F$11)</f>
        <v>3.6215000000000002</v>
      </c>
      <c r="C67" s="8">
        <f>3.6266 * CHOOSE(CONTROL!$C$15, $D$11, 100%, $F$11)</f>
        <v>3.6265999999999998</v>
      </c>
      <c r="D67" s="8">
        <f>3.6009 * CHOOSE( CONTROL!$C$15, $D$11, 100%, $F$11)</f>
        <v>3.6009000000000002</v>
      </c>
      <c r="E67" s="12">
        <f>3.6098 * CHOOSE( CONTROL!$C$15, $D$11, 100%, $F$11)</f>
        <v>3.6097999999999999</v>
      </c>
      <c r="F67" s="4">
        <f>4.2655 * CHOOSE(CONTROL!$C$15, $D$11, 100%, $F$11)</f>
        <v>4.2655000000000003</v>
      </c>
      <c r="G67" s="8">
        <f>3.5374 * CHOOSE( CONTROL!$C$15, $D$11, 100%, $F$11)</f>
        <v>3.5373999999999999</v>
      </c>
      <c r="H67" s="4">
        <f>4.4235 * CHOOSE(CONTROL!$C$15, $D$11, 100%, $F$11)</f>
        <v>4.4234999999999998</v>
      </c>
      <c r="I67" s="8">
        <f>3.5676 * CHOOSE(CONTROL!$C$15, $D$11, 100%, $F$11)</f>
        <v>3.5676000000000001</v>
      </c>
      <c r="J67" s="4">
        <f>3.4717 * CHOOSE(CONTROL!$C$15, $D$11, 100%, $F$11)</f>
        <v>3.4716999999999998</v>
      </c>
      <c r="K67" s="4"/>
      <c r="L67" s="9">
        <v>29.306000000000001</v>
      </c>
      <c r="M67" s="9">
        <v>12.063700000000001</v>
      </c>
      <c r="N67" s="9">
        <v>4.9444999999999997</v>
      </c>
      <c r="O67" s="9">
        <v>0.37409999999999999</v>
      </c>
      <c r="P67" s="9">
        <v>1.2927</v>
      </c>
      <c r="Q67" s="9">
        <v>24.651199999999999</v>
      </c>
      <c r="R67" s="9"/>
      <c r="S67" s="11"/>
    </row>
    <row r="68" spans="1:19" ht="15" customHeight="1">
      <c r="A68" s="13">
        <v>43556</v>
      </c>
      <c r="B68" s="8">
        <f>3.6768 * CHOOSE(CONTROL!$C$15, $D$11, 100%, $F$11)</f>
        <v>3.6768000000000001</v>
      </c>
      <c r="C68" s="8">
        <f>3.6814 * CHOOSE(CONTROL!$C$15, $D$11, 100%, $F$11)</f>
        <v>3.6814</v>
      </c>
      <c r="D68" s="8">
        <f>3.6924 * CHOOSE( CONTROL!$C$15, $D$11, 100%, $F$11)</f>
        <v>3.6924000000000001</v>
      </c>
      <c r="E68" s="12">
        <f>3.6882 * CHOOSE( CONTROL!$C$15, $D$11, 100%, $F$11)</f>
        <v>3.6882000000000001</v>
      </c>
      <c r="F68" s="4">
        <f>4.3665 * CHOOSE(CONTROL!$C$15, $D$11, 100%, $F$11)</f>
        <v>4.3665000000000003</v>
      </c>
      <c r="G68" s="8">
        <f>3.584 * CHOOSE( CONTROL!$C$15, $D$11, 100%, $F$11)</f>
        <v>3.5840000000000001</v>
      </c>
      <c r="H68" s="4">
        <f>4.5228 * CHOOSE(CONTROL!$C$15, $D$11, 100%, $F$11)</f>
        <v>4.5228000000000002</v>
      </c>
      <c r="I68" s="8">
        <f>3.6154 * CHOOSE(CONTROL!$C$15, $D$11, 100%, $F$11)</f>
        <v>3.6154000000000002</v>
      </c>
      <c r="J68" s="4">
        <f>3.5245 * CHOOSE(CONTROL!$C$15, $D$11, 100%, $F$11)</f>
        <v>3.5245000000000002</v>
      </c>
      <c r="K68" s="4"/>
      <c r="L68" s="9">
        <v>30.092199999999998</v>
      </c>
      <c r="M68" s="9">
        <v>11.6745</v>
      </c>
      <c r="N68" s="9">
        <v>4.7850000000000001</v>
      </c>
      <c r="O68" s="9">
        <v>0.36199999999999999</v>
      </c>
      <c r="P68" s="9">
        <v>1.1791</v>
      </c>
      <c r="Q68" s="9">
        <v>23.856000000000002</v>
      </c>
      <c r="R68" s="9"/>
      <c r="S68" s="11"/>
    </row>
    <row r="69" spans="1:19" ht="15" customHeight="1">
      <c r="A69" s="13">
        <v>43586</v>
      </c>
      <c r="B69" s="8">
        <f>CHOOSE( CONTROL!$C$32, 3.7789, 3.7754) * CHOOSE(CONTROL!$C$15, $D$11, 100%, $F$11)</f>
        <v>3.7789000000000001</v>
      </c>
      <c r="C69" s="8">
        <f>CHOOSE( CONTROL!$C$32, 3.7869, 3.7834) * CHOOSE(CONTROL!$C$15, $D$11, 100%, $F$11)</f>
        <v>3.7869000000000002</v>
      </c>
      <c r="D69" s="8">
        <f>CHOOSE( CONTROL!$C$32, 3.7929, 3.7894) * CHOOSE( CONTROL!$C$15, $D$11, 100%, $F$11)</f>
        <v>3.7928999999999999</v>
      </c>
      <c r="E69" s="12">
        <f>CHOOSE( CONTROL!$C$32, 3.7895, 3.786) * CHOOSE( CONTROL!$C$15, $D$11, 100%, $F$11)</f>
        <v>3.7894999999999999</v>
      </c>
      <c r="F69" s="4">
        <f>CHOOSE( CONTROL!$C$32, 4.4672, 4.4636) * CHOOSE(CONTROL!$C$15, $D$11, 100%, $F$11)</f>
        <v>4.4672000000000001</v>
      </c>
      <c r="G69" s="8">
        <f>CHOOSE( CONTROL!$C$32, 3.684, 3.6805) * CHOOSE( CONTROL!$C$15, $D$11, 100%, $F$11)</f>
        <v>3.6840000000000002</v>
      </c>
      <c r="H69" s="4">
        <f>CHOOSE( CONTROL!$C$32, 4.6219, 4.6184) * CHOOSE(CONTROL!$C$15, $D$11, 100%, $F$11)</f>
        <v>4.6219000000000001</v>
      </c>
      <c r="I69" s="8">
        <f>CHOOSE( CONTROL!$C$32, 3.7137, 3.7103) * CHOOSE(CONTROL!$C$15, $D$11, 100%, $F$11)</f>
        <v>3.7136999999999998</v>
      </c>
      <c r="J69" s="4">
        <f>CHOOSE( CONTROL!$C$32, 3.6218, 3.6184) * CHOOSE(CONTROL!$C$15, $D$11, 100%, $F$11)</f>
        <v>3.6217999999999999</v>
      </c>
      <c r="K69" s="4"/>
      <c r="L69" s="9">
        <v>30.7165</v>
      </c>
      <c r="M69" s="9">
        <v>12.063700000000001</v>
      </c>
      <c r="N69" s="9">
        <v>4.9444999999999997</v>
      </c>
      <c r="O69" s="9">
        <v>0.37409999999999999</v>
      </c>
      <c r="P69" s="9">
        <v>1.2183999999999999</v>
      </c>
      <c r="Q69" s="9">
        <v>24.651199999999999</v>
      </c>
      <c r="R69" s="9"/>
      <c r="S69" s="11"/>
    </row>
    <row r="70" spans="1:19" ht="15" customHeight="1">
      <c r="A70" s="13">
        <v>43617</v>
      </c>
      <c r="B70" s="8">
        <f>CHOOSE( CONTROL!$C$32, 3.7187, 3.7152) * CHOOSE(CONTROL!$C$15, $D$11, 100%, $F$11)</f>
        <v>3.7187000000000001</v>
      </c>
      <c r="C70" s="8">
        <f>CHOOSE( CONTROL!$C$32, 3.7268, 3.7232) * CHOOSE(CONTROL!$C$15, $D$11, 100%, $F$11)</f>
        <v>3.7267999999999999</v>
      </c>
      <c r="D70" s="8">
        <f>CHOOSE( CONTROL!$C$32, 3.733, 3.7295) * CHOOSE( CONTROL!$C$15, $D$11, 100%, $F$11)</f>
        <v>3.7330000000000001</v>
      </c>
      <c r="E70" s="12">
        <f>CHOOSE( CONTROL!$C$32, 3.7295, 3.726) * CHOOSE( CONTROL!$C$15, $D$11, 100%, $F$11)</f>
        <v>3.7294999999999998</v>
      </c>
      <c r="F70" s="4">
        <f>CHOOSE( CONTROL!$C$32, 4.407, 4.4034) * CHOOSE(CONTROL!$C$15, $D$11, 100%, $F$11)</f>
        <v>4.407</v>
      </c>
      <c r="G70" s="8">
        <f>CHOOSE( CONTROL!$C$32, 3.6253, 3.6217) * CHOOSE( CONTROL!$C$15, $D$11, 100%, $F$11)</f>
        <v>3.6253000000000002</v>
      </c>
      <c r="H70" s="4">
        <f>CHOOSE( CONTROL!$C$32, 4.5627, 4.5592) * CHOOSE(CONTROL!$C$15, $D$11, 100%, $F$11)</f>
        <v>4.5627000000000004</v>
      </c>
      <c r="I70" s="8">
        <f>CHOOSE( CONTROL!$C$32, 3.6568, 3.6534) * CHOOSE(CONTROL!$C$15, $D$11, 100%, $F$11)</f>
        <v>3.6568000000000001</v>
      </c>
      <c r="J70" s="4">
        <f>CHOOSE( CONTROL!$C$32, 3.5637, 3.5602) * CHOOSE(CONTROL!$C$15, $D$11, 100%, $F$11)</f>
        <v>3.5636999999999999</v>
      </c>
      <c r="K70" s="4"/>
      <c r="L70" s="9">
        <v>29.7257</v>
      </c>
      <c r="M70" s="9">
        <v>11.6745</v>
      </c>
      <c r="N70" s="9">
        <v>4.7850000000000001</v>
      </c>
      <c r="O70" s="9">
        <v>0.36199999999999999</v>
      </c>
      <c r="P70" s="9">
        <v>1.1791</v>
      </c>
      <c r="Q70" s="9">
        <v>23.856000000000002</v>
      </c>
      <c r="R70" s="9"/>
      <c r="S70" s="11"/>
    </row>
    <row r="71" spans="1:19" ht="15" customHeight="1">
      <c r="A71" s="13">
        <v>43647</v>
      </c>
      <c r="B71" s="8">
        <f>CHOOSE( CONTROL!$C$32, 3.8772, 3.8736) * CHOOSE(CONTROL!$C$15, $D$11, 100%, $F$11)</f>
        <v>3.8772000000000002</v>
      </c>
      <c r="C71" s="8">
        <f>CHOOSE( CONTROL!$C$32, 3.8852, 3.8817) * CHOOSE(CONTROL!$C$15, $D$11, 100%, $F$11)</f>
        <v>3.8852000000000002</v>
      </c>
      <c r="D71" s="8">
        <f>CHOOSE( CONTROL!$C$32, 3.8918, 3.8883) * CHOOSE( CONTROL!$C$15, $D$11, 100%, $F$11)</f>
        <v>3.8917999999999999</v>
      </c>
      <c r="E71" s="12">
        <f>CHOOSE( CONTROL!$C$32, 3.8882, 3.8847) * CHOOSE( CONTROL!$C$15, $D$11, 100%, $F$11)</f>
        <v>3.8881999999999999</v>
      </c>
      <c r="F71" s="4">
        <f>CHOOSE( CONTROL!$C$32, 4.5655, 4.5619) * CHOOSE(CONTROL!$C$15, $D$11, 100%, $F$11)</f>
        <v>4.5655000000000001</v>
      </c>
      <c r="G71" s="8">
        <f>CHOOSE( CONTROL!$C$32, 3.7816, 3.7781) * CHOOSE( CONTROL!$C$15, $D$11, 100%, $F$11)</f>
        <v>3.7816000000000001</v>
      </c>
      <c r="H71" s="4">
        <f>CHOOSE( CONTROL!$C$32, 4.7185, 4.715) * CHOOSE(CONTROL!$C$15, $D$11, 100%, $F$11)</f>
        <v>4.7184999999999997</v>
      </c>
      <c r="I71" s="8">
        <f>CHOOSE( CONTROL!$C$32, 3.8116, 3.8081) * CHOOSE(CONTROL!$C$15, $D$11, 100%, $F$11)</f>
        <v>3.8115999999999999</v>
      </c>
      <c r="J71" s="4">
        <f>CHOOSE( CONTROL!$C$32, 3.7169, 3.7134) * CHOOSE(CONTROL!$C$15, $D$11, 100%, $F$11)</f>
        <v>3.7168999999999999</v>
      </c>
      <c r="K71" s="4"/>
      <c r="L71" s="9">
        <v>30.7165</v>
      </c>
      <c r="M71" s="9">
        <v>12.063700000000001</v>
      </c>
      <c r="N71" s="9">
        <v>4.9444999999999997</v>
      </c>
      <c r="O71" s="9">
        <v>0.37409999999999999</v>
      </c>
      <c r="P71" s="9">
        <v>1.2183999999999999</v>
      </c>
      <c r="Q71" s="9">
        <v>24.651199999999999</v>
      </c>
      <c r="R71" s="9"/>
      <c r="S71" s="11"/>
    </row>
    <row r="72" spans="1:19" ht="15" customHeight="1">
      <c r="A72" s="13">
        <v>43678</v>
      </c>
      <c r="B72" s="8">
        <f>CHOOSE( CONTROL!$C$32, 3.5807, 3.5771) * CHOOSE(CONTROL!$C$15, $D$11, 100%, $F$11)</f>
        <v>3.5807000000000002</v>
      </c>
      <c r="C72" s="8">
        <f>CHOOSE( CONTROL!$C$32, 3.5887, 3.5851) * CHOOSE(CONTROL!$C$15, $D$11, 100%, $F$11)</f>
        <v>3.5886999999999998</v>
      </c>
      <c r="D72" s="8">
        <f>CHOOSE( CONTROL!$C$32, 3.5954, 3.5918) * CHOOSE( CONTROL!$C$15, $D$11, 100%, $F$11)</f>
        <v>3.5954000000000002</v>
      </c>
      <c r="E72" s="12">
        <f>CHOOSE( CONTROL!$C$32, 3.5918, 3.5882) * CHOOSE( CONTROL!$C$15, $D$11, 100%, $F$11)</f>
        <v>3.5918000000000001</v>
      </c>
      <c r="F72" s="4">
        <f>CHOOSE( CONTROL!$C$32, 4.269, 4.2654) * CHOOSE(CONTROL!$C$15, $D$11, 100%, $F$11)</f>
        <v>4.2690000000000001</v>
      </c>
      <c r="G72" s="8">
        <f>CHOOSE( CONTROL!$C$32, 3.4901, 3.4866) * CHOOSE( CONTROL!$C$15, $D$11, 100%, $F$11)</f>
        <v>3.4901</v>
      </c>
      <c r="H72" s="4">
        <f>CHOOSE( CONTROL!$C$32, 4.4269, 4.4234) * CHOOSE(CONTROL!$C$15, $D$11, 100%, $F$11)</f>
        <v>4.4268999999999998</v>
      </c>
      <c r="I72" s="8">
        <f>CHOOSE( CONTROL!$C$32, 3.5252, 3.5218) * CHOOSE(CONTROL!$C$15, $D$11, 100%, $F$11)</f>
        <v>3.5251999999999999</v>
      </c>
      <c r="J72" s="4">
        <f>CHOOSE( CONTROL!$C$32, 3.4302, 3.4268) * CHOOSE(CONTROL!$C$15, $D$11, 100%, $F$11)</f>
        <v>3.4302000000000001</v>
      </c>
      <c r="K72" s="4"/>
      <c r="L72" s="9">
        <v>30.7165</v>
      </c>
      <c r="M72" s="9">
        <v>12.063700000000001</v>
      </c>
      <c r="N72" s="9">
        <v>4.9444999999999997</v>
      </c>
      <c r="O72" s="9">
        <v>0.37409999999999999</v>
      </c>
      <c r="P72" s="9">
        <v>1.2183999999999999</v>
      </c>
      <c r="Q72" s="9">
        <v>24.651199999999999</v>
      </c>
      <c r="R72" s="9"/>
      <c r="S72" s="11"/>
    </row>
    <row r="73" spans="1:19" ht="15" customHeight="1">
      <c r="A73" s="13">
        <v>43709</v>
      </c>
      <c r="B73" s="8">
        <f>CHOOSE( CONTROL!$C$32, 3.5064, 3.5029) * CHOOSE(CONTROL!$C$15, $D$11, 100%, $F$11)</f>
        <v>3.5064000000000002</v>
      </c>
      <c r="C73" s="8">
        <f>CHOOSE( CONTROL!$C$32, 3.5145, 3.5109) * CHOOSE(CONTROL!$C$15, $D$11, 100%, $F$11)</f>
        <v>3.5145</v>
      </c>
      <c r="D73" s="8">
        <f>CHOOSE( CONTROL!$C$32, 3.5211, 3.5176) * CHOOSE( CONTROL!$C$15, $D$11, 100%, $F$11)</f>
        <v>3.5211000000000001</v>
      </c>
      <c r="E73" s="12">
        <f>CHOOSE( CONTROL!$C$32, 3.5175, 3.514) * CHOOSE( CONTROL!$C$15, $D$11, 100%, $F$11)</f>
        <v>3.5175000000000001</v>
      </c>
      <c r="F73" s="4">
        <f>CHOOSE( CONTROL!$C$32, 4.1947, 4.1911) * CHOOSE(CONTROL!$C$15, $D$11, 100%, $F$11)</f>
        <v>4.1947000000000001</v>
      </c>
      <c r="G73" s="8">
        <f>CHOOSE( CONTROL!$C$32, 3.4171, 3.4136) * CHOOSE( CONTROL!$C$15, $D$11, 100%, $F$11)</f>
        <v>3.4171</v>
      </c>
      <c r="H73" s="4">
        <f>CHOOSE( CONTROL!$C$32, 4.3539, 4.3504) * CHOOSE(CONTROL!$C$15, $D$11, 100%, $F$11)</f>
        <v>4.3539000000000003</v>
      </c>
      <c r="I73" s="8">
        <f>CHOOSE( CONTROL!$C$32, 3.4534, 3.45) * CHOOSE(CONTROL!$C$15, $D$11, 100%, $F$11)</f>
        <v>3.4533999999999998</v>
      </c>
      <c r="J73" s="4">
        <f>CHOOSE( CONTROL!$C$32, 3.3584, 3.355) * CHOOSE(CONTROL!$C$15, $D$11, 100%, $F$11)</f>
        <v>3.3584000000000001</v>
      </c>
      <c r="K73" s="4"/>
      <c r="L73" s="9">
        <v>29.7257</v>
      </c>
      <c r="M73" s="9">
        <v>11.6745</v>
      </c>
      <c r="N73" s="9">
        <v>4.7850000000000001</v>
      </c>
      <c r="O73" s="9">
        <v>0.36199999999999999</v>
      </c>
      <c r="P73" s="9">
        <v>1.1791</v>
      </c>
      <c r="Q73" s="9">
        <v>23.856000000000002</v>
      </c>
      <c r="R73" s="9"/>
      <c r="S73" s="11"/>
    </row>
    <row r="74" spans="1:19" ht="15" customHeight="1">
      <c r="A74" s="13">
        <v>43739</v>
      </c>
      <c r="B74" s="8">
        <f>3.6553 * CHOOSE(CONTROL!$C$15, $D$11, 100%, $F$11)</f>
        <v>3.6553</v>
      </c>
      <c r="C74" s="8">
        <f>3.6607 * CHOOSE(CONTROL!$C$15, $D$11, 100%, $F$11)</f>
        <v>3.6606999999999998</v>
      </c>
      <c r="D74" s="8">
        <f>3.6722 * CHOOSE( CONTROL!$C$15, $D$11, 100%, $F$11)</f>
        <v>3.6722000000000001</v>
      </c>
      <c r="E74" s="12">
        <f>3.6678 * CHOOSE( CONTROL!$C$15, $D$11, 100%, $F$11)</f>
        <v>3.6678000000000002</v>
      </c>
      <c r="F74" s="4">
        <f>4.3453 * CHOOSE(CONTROL!$C$15, $D$11, 100%, $F$11)</f>
        <v>4.3452999999999999</v>
      </c>
      <c r="G74" s="8">
        <f>3.5647 * CHOOSE( CONTROL!$C$15, $D$11, 100%, $F$11)</f>
        <v>3.5647000000000002</v>
      </c>
      <c r="H74" s="4">
        <f>4.502 * CHOOSE(CONTROL!$C$15, $D$11, 100%, $F$11)</f>
        <v>4.5019999999999998</v>
      </c>
      <c r="I74" s="8">
        <f>3.5998 * CHOOSE(CONTROL!$C$15, $D$11, 100%, $F$11)</f>
        <v>3.5998000000000001</v>
      </c>
      <c r="J74" s="4">
        <f>3.504 * CHOOSE(CONTROL!$C$15, $D$11, 100%, $F$11)</f>
        <v>3.504</v>
      </c>
      <c r="K74" s="4"/>
      <c r="L74" s="9">
        <v>31.095300000000002</v>
      </c>
      <c r="M74" s="9">
        <v>12.063700000000001</v>
      </c>
      <c r="N74" s="9">
        <v>4.9444999999999997</v>
      </c>
      <c r="O74" s="9">
        <v>0.37409999999999999</v>
      </c>
      <c r="P74" s="9">
        <v>1.2183999999999999</v>
      </c>
      <c r="Q74" s="9">
        <v>24.651199999999999</v>
      </c>
      <c r="R74" s="9"/>
      <c r="S74" s="11"/>
    </row>
    <row r="75" spans="1:19" ht="15" customHeight="1">
      <c r="A75" s="13">
        <v>43770</v>
      </c>
      <c r="B75" s="8">
        <f>3.9395 * CHOOSE(CONTROL!$C$15, $D$11, 100%, $F$11)</f>
        <v>3.9394999999999998</v>
      </c>
      <c r="C75" s="8">
        <f>3.9446 * CHOOSE(CONTROL!$C$15, $D$11, 100%, $F$11)</f>
        <v>3.9445999999999999</v>
      </c>
      <c r="D75" s="8">
        <f>3.9216 * CHOOSE( CONTROL!$C$15, $D$11, 100%, $F$11)</f>
        <v>3.9216000000000002</v>
      </c>
      <c r="E75" s="12">
        <f>3.9295 * CHOOSE( CONTROL!$C$15, $D$11, 100%, $F$11)</f>
        <v>3.9295</v>
      </c>
      <c r="F75" s="4">
        <f>4.5844 * CHOOSE(CONTROL!$C$15, $D$11, 100%, $F$11)</f>
        <v>4.5843999999999996</v>
      </c>
      <c r="G75" s="8">
        <f>3.8553 * CHOOSE( CONTROL!$C$15, $D$11, 100%, $F$11)</f>
        <v>3.8553000000000002</v>
      </c>
      <c r="H75" s="4">
        <f>4.7371 * CHOOSE(CONTROL!$C$15, $D$11, 100%, $F$11)</f>
        <v>4.7370999999999999</v>
      </c>
      <c r="I75" s="8">
        <f>3.8997 * CHOOSE(CONTROL!$C$15, $D$11, 100%, $F$11)</f>
        <v>3.8997000000000002</v>
      </c>
      <c r="J75" s="4">
        <f>3.7791 * CHOOSE(CONTROL!$C$15, $D$11, 100%, $F$11)</f>
        <v>3.7791000000000001</v>
      </c>
      <c r="K75" s="4"/>
      <c r="L75" s="9">
        <v>28.360600000000002</v>
      </c>
      <c r="M75" s="9">
        <v>11.6745</v>
      </c>
      <c r="N75" s="9">
        <v>4.7850000000000001</v>
      </c>
      <c r="O75" s="9">
        <v>0.36199999999999999</v>
      </c>
      <c r="P75" s="9">
        <v>1.2509999999999999</v>
      </c>
      <c r="Q75" s="9">
        <v>23.856000000000002</v>
      </c>
      <c r="R75" s="9"/>
      <c r="S75" s="11"/>
    </row>
    <row r="76" spans="1:19" ht="15.75">
      <c r="A76" s="13">
        <v>43800</v>
      </c>
      <c r="B76" s="8">
        <f>3.9324 * CHOOSE(CONTROL!$C$15, $D$11, 100%, $F$11)</f>
        <v>3.9323999999999999</v>
      </c>
      <c r="C76" s="8">
        <f>3.9375 * CHOOSE(CONTROL!$C$15, $D$11, 100%, $F$11)</f>
        <v>3.9375</v>
      </c>
      <c r="D76" s="8">
        <f>3.9158 * CHOOSE( CONTROL!$C$15, $D$11, 100%, $F$11)</f>
        <v>3.9157999999999999</v>
      </c>
      <c r="E76" s="12">
        <f>3.9232 * CHOOSE( CONTROL!$C$15, $D$11, 100%, $F$11)</f>
        <v>3.9232</v>
      </c>
      <c r="F76" s="4">
        <f>4.5773 * CHOOSE(CONTROL!$C$15, $D$11, 100%, $F$11)</f>
        <v>4.5773000000000001</v>
      </c>
      <c r="G76" s="8">
        <f>3.8493 * CHOOSE( CONTROL!$C$15, $D$11, 100%, $F$11)</f>
        <v>3.8492999999999999</v>
      </c>
      <c r="H76" s="4">
        <f>4.7301 * CHOOSE(CONTROL!$C$15, $D$11, 100%, $F$11)</f>
        <v>4.7301000000000002</v>
      </c>
      <c r="I76" s="8">
        <f>3.8972 * CHOOSE(CONTROL!$C$15, $D$11, 100%, $F$11)</f>
        <v>3.8972000000000002</v>
      </c>
      <c r="J76" s="4">
        <f>3.7723 * CHOOSE(CONTROL!$C$15, $D$11, 100%, $F$11)</f>
        <v>3.7723</v>
      </c>
      <c r="K76" s="4"/>
      <c r="L76" s="9">
        <v>29.306000000000001</v>
      </c>
      <c r="M76" s="9">
        <v>12.063700000000001</v>
      </c>
      <c r="N76" s="9">
        <v>4.9444999999999997</v>
      </c>
      <c r="O76" s="9">
        <v>0.37409999999999999</v>
      </c>
      <c r="P76" s="9">
        <v>1.2927</v>
      </c>
      <c r="Q76" s="9">
        <v>24.651199999999999</v>
      </c>
      <c r="R76" s="9"/>
      <c r="S76" s="11"/>
    </row>
    <row r="77" spans="1:19" ht="15.75">
      <c r="A77" s="13">
        <v>43831</v>
      </c>
      <c r="B77" s="8">
        <f>4.6105 * CHOOSE(CONTROL!$C$15, $D$11, 100%, $F$11)</f>
        <v>4.6105</v>
      </c>
      <c r="C77" s="8">
        <f>4.6156 * CHOOSE(CONTROL!$C$15, $D$11, 100%, $F$11)</f>
        <v>4.6155999999999997</v>
      </c>
      <c r="D77" s="8">
        <f>4.5898 * CHOOSE( CONTROL!$C$15, $D$11, 100%, $F$11)</f>
        <v>4.5898000000000003</v>
      </c>
      <c r="E77" s="12">
        <f>4.5987 * CHOOSE( CONTROL!$C$15, $D$11, 100%, $F$11)</f>
        <v>4.5987</v>
      </c>
      <c r="F77" s="4">
        <f>5.2545 * CHOOSE(CONTROL!$C$15, $D$11, 100%, $F$11)</f>
        <v>5.2545000000000002</v>
      </c>
      <c r="G77" s="8">
        <f>4.5099 * CHOOSE( CONTROL!$C$15, $D$11, 100%, $F$11)</f>
        <v>4.5099</v>
      </c>
      <c r="H77" s="4">
        <f>5.3961 * CHOOSE(CONTROL!$C$15, $D$11, 100%, $F$11)</f>
        <v>5.3960999999999997</v>
      </c>
      <c r="I77" s="8">
        <f>4.5236 * CHOOSE(CONTROL!$C$15, $D$11, 100%, $F$11)</f>
        <v>4.5236000000000001</v>
      </c>
      <c r="J77" s="4">
        <f>4.4278 * CHOOSE(CONTROL!$C$15, $D$11, 100%, $F$11)</f>
        <v>4.4278000000000004</v>
      </c>
      <c r="K77" s="4"/>
      <c r="L77" s="9">
        <v>29.306000000000001</v>
      </c>
      <c r="M77" s="9">
        <v>12.063700000000001</v>
      </c>
      <c r="N77" s="9">
        <v>4.9444999999999997</v>
      </c>
      <c r="O77" s="9">
        <v>0.37409999999999999</v>
      </c>
      <c r="P77" s="9">
        <v>1.2927</v>
      </c>
      <c r="Q77" s="9">
        <v>22.150099999999998</v>
      </c>
      <c r="R77" s="9"/>
      <c r="S77" s="11"/>
    </row>
    <row r="78" spans="1:19" ht="15.75">
      <c r="A78" s="13">
        <v>43862</v>
      </c>
      <c r="B78" s="8">
        <f>4.3144 * CHOOSE(CONTROL!$C$15, $D$11, 100%, $F$11)</f>
        <v>4.3144</v>
      </c>
      <c r="C78" s="8">
        <f>4.3195 * CHOOSE(CONTROL!$C$15, $D$11, 100%, $F$11)</f>
        <v>4.3194999999999997</v>
      </c>
      <c r="D78" s="8">
        <f>4.2939 * CHOOSE( CONTROL!$C$15, $D$11, 100%, $F$11)</f>
        <v>4.2938999999999998</v>
      </c>
      <c r="E78" s="12">
        <f>4.3027 * CHOOSE( CONTROL!$C$15, $D$11, 100%, $F$11)</f>
        <v>4.3026999999999997</v>
      </c>
      <c r="F78" s="4">
        <f>4.9584 * CHOOSE(CONTROL!$C$15, $D$11, 100%, $F$11)</f>
        <v>4.9584000000000001</v>
      </c>
      <c r="G78" s="8">
        <f>4.2189 * CHOOSE( CONTROL!$C$15, $D$11, 100%, $F$11)</f>
        <v>4.2188999999999997</v>
      </c>
      <c r="H78" s="4">
        <f>5.1049 * CHOOSE(CONTROL!$C$15, $D$11, 100%, $F$11)</f>
        <v>5.1048999999999998</v>
      </c>
      <c r="I78" s="8">
        <f>4.238 * CHOOSE(CONTROL!$C$15, $D$11, 100%, $F$11)</f>
        <v>4.2380000000000004</v>
      </c>
      <c r="J78" s="4">
        <f>4.1415 * CHOOSE(CONTROL!$C$15, $D$11, 100%, $F$11)</f>
        <v>4.1414999999999997</v>
      </c>
      <c r="K78" s="4"/>
      <c r="L78" s="9">
        <v>27.415299999999998</v>
      </c>
      <c r="M78" s="9">
        <v>11.285299999999999</v>
      </c>
      <c r="N78" s="9">
        <v>4.6254999999999997</v>
      </c>
      <c r="O78" s="9">
        <v>0.34989999999999999</v>
      </c>
      <c r="P78" s="9">
        <v>1.2093</v>
      </c>
      <c r="Q78" s="9">
        <v>20.7211</v>
      </c>
      <c r="R78" s="9"/>
      <c r="S78" s="11"/>
    </row>
    <row r="79" spans="1:19" ht="15.75">
      <c r="A79" s="13">
        <v>43891</v>
      </c>
      <c r="B79" s="8">
        <f>4.2232 * CHOOSE(CONTROL!$C$15, $D$11, 100%, $F$11)</f>
        <v>4.2232000000000003</v>
      </c>
      <c r="C79" s="8">
        <f>4.2283 * CHOOSE(CONTROL!$C$15, $D$11, 100%, $F$11)</f>
        <v>4.2282999999999999</v>
      </c>
      <c r="D79" s="8">
        <f>4.2026 * CHOOSE( CONTROL!$C$15, $D$11, 100%, $F$11)</f>
        <v>4.2026000000000003</v>
      </c>
      <c r="E79" s="12">
        <f>4.2115 * CHOOSE( CONTROL!$C$15, $D$11, 100%, $F$11)</f>
        <v>4.2115</v>
      </c>
      <c r="F79" s="4">
        <f>4.8672 * CHOOSE(CONTROL!$C$15, $D$11, 100%, $F$11)</f>
        <v>4.8672000000000004</v>
      </c>
      <c r="G79" s="8">
        <f>4.1291 * CHOOSE( CONTROL!$C$15, $D$11, 100%, $F$11)</f>
        <v>4.1291000000000002</v>
      </c>
      <c r="H79" s="4">
        <f>5.0152 * CHOOSE(CONTROL!$C$15, $D$11, 100%, $F$11)</f>
        <v>5.0152000000000001</v>
      </c>
      <c r="I79" s="8">
        <f>4.1495 * CHOOSE(CONTROL!$C$15, $D$11, 100%, $F$11)</f>
        <v>4.1494999999999997</v>
      </c>
      <c r="J79" s="4">
        <f>4.0534 * CHOOSE(CONTROL!$C$15, $D$11, 100%, $F$11)</f>
        <v>4.0533999999999999</v>
      </c>
      <c r="K79" s="4"/>
      <c r="L79" s="9">
        <v>29.306000000000001</v>
      </c>
      <c r="M79" s="9">
        <v>12.063700000000001</v>
      </c>
      <c r="N79" s="9">
        <v>4.9444999999999997</v>
      </c>
      <c r="O79" s="9">
        <v>0.37409999999999999</v>
      </c>
      <c r="P79" s="9">
        <v>1.2927</v>
      </c>
      <c r="Q79" s="9">
        <v>22.150099999999998</v>
      </c>
      <c r="R79" s="9"/>
      <c r="S79" s="11"/>
    </row>
    <row r="80" spans="1:19" ht="15.75">
      <c r="A80" s="13">
        <v>43922</v>
      </c>
      <c r="B80" s="8">
        <f>4.2877 * CHOOSE(CONTROL!$C$15, $D$11, 100%, $F$11)</f>
        <v>4.2877000000000001</v>
      </c>
      <c r="C80" s="8">
        <f>4.2922 * CHOOSE(CONTROL!$C$15, $D$11, 100%, $F$11)</f>
        <v>4.2922000000000002</v>
      </c>
      <c r="D80" s="8">
        <f>4.3032 * CHOOSE( CONTROL!$C$15, $D$11, 100%, $F$11)</f>
        <v>4.3032000000000004</v>
      </c>
      <c r="E80" s="12">
        <f>4.2991 * CHOOSE( CONTROL!$C$15, $D$11, 100%, $F$11)</f>
        <v>4.2991000000000001</v>
      </c>
      <c r="F80" s="4">
        <f>4.9773 * CHOOSE(CONTROL!$C$15, $D$11, 100%, $F$11)</f>
        <v>4.9772999999999996</v>
      </c>
      <c r="G80" s="8">
        <f>4.1847 * CHOOSE( CONTROL!$C$15, $D$11, 100%, $F$11)</f>
        <v>4.1847000000000003</v>
      </c>
      <c r="H80" s="4">
        <f>5.1235 * CHOOSE(CONTROL!$C$15, $D$11, 100%, $F$11)</f>
        <v>5.1234999999999999</v>
      </c>
      <c r="I80" s="8">
        <f>4.2062 * CHOOSE(CONTROL!$C$15, $D$11, 100%, $F$11)</f>
        <v>4.2061999999999999</v>
      </c>
      <c r="J80" s="4">
        <f>4.115 * CHOOSE(CONTROL!$C$15, $D$11, 100%, $F$11)</f>
        <v>4.1150000000000002</v>
      </c>
      <c r="K80" s="4"/>
      <c r="L80" s="9">
        <v>30.092199999999998</v>
      </c>
      <c r="M80" s="9">
        <v>11.6745</v>
      </c>
      <c r="N80" s="9">
        <v>4.7850000000000001</v>
      </c>
      <c r="O80" s="9">
        <v>0.36199999999999999</v>
      </c>
      <c r="P80" s="9">
        <v>1.1791</v>
      </c>
      <c r="Q80" s="9">
        <v>21.435600000000001</v>
      </c>
      <c r="R80" s="9"/>
      <c r="S80" s="11"/>
    </row>
    <row r="81" spans="1:19" ht="15.75">
      <c r="A81" s="13">
        <v>43952</v>
      </c>
      <c r="B81" s="8">
        <f>CHOOSE( CONTROL!$C$32, 4.406, 4.4025) * CHOOSE(CONTROL!$C$15, $D$11, 100%, $F$11)</f>
        <v>4.4059999999999997</v>
      </c>
      <c r="C81" s="8">
        <f>CHOOSE( CONTROL!$C$32, 4.414, 4.4105) * CHOOSE(CONTROL!$C$15, $D$11, 100%, $F$11)</f>
        <v>4.4139999999999997</v>
      </c>
      <c r="D81" s="8">
        <f>CHOOSE( CONTROL!$C$32, 4.42, 4.4165) * CHOOSE( CONTROL!$C$15, $D$11, 100%, $F$11)</f>
        <v>4.42</v>
      </c>
      <c r="E81" s="12">
        <f>CHOOSE( CONTROL!$C$32, 4.4166, 4.4131) * CHOOSE( CONTROL!$C$15, $D$11, 100%, $F$11)</f>
        <v>4.4165999999999999</v>
      </c>
      <c r="F81" s="4">
        <f>CHOOSE( CONTROL!$C$32, 5.0943, 5.0907) * CHOOSE(CONTROL!$C$15, $D$11, 100%, $F$11)</f>
        <v>5.0942999999999996</v>
      </c>
      <c r="G81" s="8">
        <f>CHOOSE( CONTROL!$C$32, 4.3007, 4.2972) * CHOOSE( CONTROL!$C$15, $D$11, 100%, $F$11)</f>
        <v>4.3007</v>
      </c>
      <c r="H81" s="4">
        <f>CHOOSE( CONTROL!$C$32, 5.2386, 5.2351) * CHOOSE(CONTROL!$C$15, $D$11, 100%, $F$11)</f>
        <v>5.2385999999999999</v>
      </c>
      <c r="I81" s="8">
        <f>CHOOSE( CONTROL!$C$32, 4.3202, 4.3168) * CHOOSE(CONTROL!$C$15, $D$11, 100%, $F$11)</f>
        <v>4.3201999999999998</v>
      </c>
      <c r="J81" s="4">
        <f>CHOOSE( CONTROL!$C$32, 4.2281, 4.2246) * CHOOSE(CONTROL!$C$15, $D$11, 100%, $F$11)</f>
        <v>4.2281000000000004</v>
      </c>
      <c r="K81" s="4"/>
      <c r="L81" s="9">
        <v>30.7165</v>
      </c>
      <c r="M81" s="9">
        <v>12.063700000000001</v>
      </c>
      <c r="N81" s="9">
        <v>4.9444999999999997</v>
      </c>
      <c r="O81" s="9">
        <v>0.37409999999999999</v>
      </c>
      <c r="P81" s="9">
        <v>1.2183999999999999</v>
      </c>
      <c r="Q81" s="9">
        <v>33.225200000000001</v>
      </c>
      <c r="R81" s="9"/>
      <c r="S81" s="11"/>
    </row>
    <row r="82" spans="1:19" ht="15.75">
      <c r="A82" s="13">
        <v>43983</v>
      </c>
      <c r="B82" s="8">
        <f>CHOOSE( CONTROL!$C$32, 4.3358, 4.3322) * CHOOSE(CONTROL!$C$15, $D$11, 100%, $F$11)</f>
        <v>4.3357999999999999</v>
      </c>
      <c r="C82" s="8">
        <f>CHOOSE( CONTROL!$C$32, 4.3438, 4.3402) * CHOOSE(CONTROL!$C$15, $D$11, 100%, $F$11)</f>
        <v>4.3437999999999999</v>
      </c>
      <c r="D82" s="8">
        <f>CHOOSE( CONTROL!$C$32, 4.3501, 4.3465) * CHOOSE( CONTROL!$C$15, $D$11, 100%, $F$11)</f>
        <v>4.3501000000000003</v>
      </c>
      <c r="E82" s="12">
        <f>CHOOSE( CONTROL!$C$32, 4.3466, 4.343) * CHOOSE( CONTROL!$C$15, $D$11, 100%, $F$11)</f>
        <v>4.3465999999999996</v>
      </c>
      <c r="F82" s="4">
        <f>CHOOSE( CONTROL!$C$32, 5.024, 5.0205) * CHOOSE(CONTROL!$C$15, $D$11, 100%, $F$11)</f>
        <v>5.024</v>
      </c>
      <c r="G82" s="8">
        <f>CHOOSE( CONTROL!$C$32, 4.232, 4.2285) * CHOOSE( CONTROL!$C$15, $D$11, 100%, $F$11)</f>
        <v>4.2320000000000002</v>
      </c>
      <c r="H82" s="4">
        <f>CHOOSE( CONTROL!$C$32, 5.1695, 5.166) * CHOOSE(CONTROL!$C$15, $D$11, 100%, $F$11)</f>
        <v>5.1695000000000002</v>
      </c>
      <c r="I82" s="8">
        <f>CHOOSE( CONTROL!$C$32, 4.2536, 4.2501) * CHOOSE(CONTROL!$C$15, $D$11, 100%, $F$11)</f>
        <v>4.2535999999999996</v>
      </c>
      <c r="J82" s="4">
        <f>CHOOSE( CONTROL!$C$32, 4.1601, 4.1567) * CHOOSE(CONTROL!$C$15, $D$11, 100%, $F$11)</f>
        <v>4.1600999999999999</v>
      </c>
      <c r="K82" s="4"/>
      <c r="L82" s="9">
        <v>29.7257</v>
      </c>
      <c r="M82" s="9">
        <v>11.6745</v>
      </c>
      <c r="N82" s="9">
        <v>4.7850000000000001</v>
      </c>
      <c r="O82" s="9">
        <v>0.36199999999999999</v>
      </c>
      <c r="P82" s="9">
        <v>1.1791</v>
      </c>
      <c r="Q82" s="9">
        <v>32.153399999999998</v>
      </c>
      <c r="R82" s="9"/>
      <c r="S82" s="11"/>
    </row>
    <row r="83" spans="1:19" ht="15.75">
      <c r="A83" s="13">
        <v>44013</v>
      </c>
      <c r="B83" s="8">
        <f>CHOOSE( CONTROL!$C$32, 4.5208, 4.5172) * CHOOSE(CONTROL!$C$15, $D$11, 100%, $F$11)</f>
        <v>4.5208000000000004</v>
      </c>
      <c r="C83" s="8">
        <f>CHOOSE( CONTROL!$C$32, 4.5288, 4.5252) * CHOOSE(CONTROL!$C$15, $D$11, 100%, $F$11)</f>
        <v>4.5288000000000004</v>
      </c>
      <c r="D83" s="8">
        <f>CHOOSE( CONTROL!$C$32, 4.5354, 4.5318) * CHOOSE( CONTROL!$C$15, $D$11, 100%, $F$11)</f>
        <v>4.5354000000000001</v>
      </c>
      <c r="E83" s="12">
        <f>CHOOSE( CONTROL!$C$32, 4.5318, 4.5282) * CHOOSE( CONTROL!$C$15, $D$11, 100%, $F$11)</f>
        <v>4.5317999999999996</v>
      </c>
      <c r="F83" s="4">
        <f>CHOOSE( CONTROL!$C$32, 5.2091, 5.2055) * CHOOSE(CONTROL!$C$15, $D$11, 100%, $F$11)</f>
        <v>5.2091000000000003</v>
      </c>
      <c r="G83" s="8">
        <f>CHOOSE( CONTROL!$C$32, 4.4145, 4.4109) * CHOOSE( CONTROL!$C$15, $D$11, 100%, $F$11)</f>
        <v>4.4145000000000003</v>
      </c>
      <c r="H83" s="4">
        <f>CHOOSE( CONTROL!$C$32, 5.3514, 5.3479) * CHOOSE(CONTROL!$C$15, $D$11, 100%, $F$11)</f>
        <v>5.3513999999999999</v>
      </c>
      <c r="I83" s="8">
        <f>CHOOSE( CONTROL!$C$32, 4.434, 4.4306) * CHOOSE(CONTROL!$C$15, $D$11, 100%, $F$11)</f>
        <v>4.4340000000000002</v>
      </c>
      <c r="J83" s="4">
        <f>CHOOSE( CONTROL!$C$32, 4.339, 4.3356) * CHOOSE(CONTROL!$C$15, $D$11, 100%, $F$11)</f>
        <v>4.3390000000000004</v>
      </c>
      <c r="K83" s="4"/>
      <c r="L83" s="9">
        <v>30.7165</v>
      </c>
      <c r="M83" s="9">
        <v>12.063700000000001</v>
      </c>
      <c r="N83" s="9">
        <v>4.9444999999999997</v>
      </c>
      <c r="O83" s="9">
        <v>0.37409999999999999</v>
      </c>
      <c r="P83" s="9">
        <v>1.2183999999999999</v>
      </c>
      <c r="Q83" s="9">
        <v>33.225200000000001</v>
      </c>
      <c r="R83" s="9"/>
      <c r="S83" s="11"/>
    </row>
    <row r="84" spans="1:19" ht="15.75">
      <c r="A84" s="13">
        <v>44044</v>
      </c>
      <c r="B84" s="8">
        <f>CHOOSE( CONTROL!$C$32, 4.1746, 4.171) * CHOOSE(CONTROL!$C$15, $D$11, 100%, $F$11)</f>
        <v>4.1745999999999999</v>
      </c>
      <c r="C84" s="8">
        <f>CHOOSE( CONTROL!$C$32, 4.1826, 4.179) * CHOOSE(CONTROL!$C$15, $D$11, 100%, $F$11)</f>
        <v>4.1825999999999999</v>
      </c>
      <c r="D84" s="8">
        <f>CHOOSE( CONTROL!$C$32, 4.1893, 4.1857) * CHOOSE( CONTROL!$C$15, $D$11, 100%, $F$11)</f>
        <v>4.1893000000000002</v>
      </c>
      <c r="E84" s="12">
        <f>CHOOSE( CONTROL!$C$32, 4.1857, 4.1821) * CHOOSE( CONTROL!$C$15, $D$11, 100%, $F$11)</f>
        <v>4.1856999999999998</v>
      </c>
      <c r="F84" s="4">
        <f>CHOOSE( CONTROL!$C$32, 4.8628, 4.8593) * CHOOSE(CONTROL!$C$15, $D$11, 100%, $F$11)</f>
        <v>4.8628</v>
      </c>
      <c r="G84" s="8">
        <f>CHOOSE( CONTROL!$C$32, 4.0741, 4.0706) * CHOOSE( CONTROL!$C$15, $D$11, 100%, $F$11)</f>
        <v>4.0740999999999996</v>
      </c>
      <c r="H84" s="4">
        <f>CHOOSE( CONTROL!$C$32, 5.011, 5.0075) * CHOOSE(CONTROL!$C$15, $D$11, 100%, $F$11)</f>
        <v>5.0110000000000001</v>
      </c>
      <c r="I84" s="8">
        <f>CHOOSE( CONTROL!$C$32, 4.0996, 4.0962) * CHOOSE(CONTROL!$C$15, $D$11, 100%, $F$11)</f>
        <v>4.0995999999999997</v>
      </c>
      <c r="J84" s="4">
        <f>CHOOSE( CONTROL!$C$32, 4.0043, 4.0009) * CHOOSE(CONTROL!$C$15, $D$11, 100%, $F$11)</f>
        <v>4.0042999999999997</v>
      </c>
      <c r="K84" s="4"/>
      <c r="L84" s="9">
        <v>30.7165</v>
      </c>
      <c r="M84" s="9">
        <v>12.063700000000001</v>
      </c>
      <c r="N84" s="9">
        <v>4.9444999999999997</v>
      </c>
      <c r="O84" s="9">
        <v>0.37409999999999999</v>
      </c>
      <c r="P84" s="9">
        <v>1.2183999999999999</v>
      </c>
      <c r="Q84" s="9">
        <v>33.225200000000001</v>
      </c>
      <c r="R84" s="9"/>
      <c r="S84" s="11"/>
    </row>
    <row r="85" spans="1:19" ht="15.75">
      <c r="A85" s="13">
        <v>44075</v>
      </c>
      <c r="B85" s="8">
        <f>CHOOSE( CONTROL!$C$32, 4.0879, 4.0843) * CHOOSE(CONTROL!$C$15, $D$11, 100%, $F$11)</f>
        <v>4.0879000000000003</v>
      </c>
      <c r="C85" s="8">
        <f>CHOOSE( CONTROL!$C$32, 4.0959, 4.0923) * CHOOSE(CONTROL!$C$15, $D$11, 100%, $F$11)</f>
        <v>4.0959000000000003</v>
      </c>
      <c r="D85" s="8">
        <f>CHOOSE( CONTROL!$C$32, 4.1026, 4.099) * CHOOSE( CONTROL!$C$15, $D$11, 100%, $F$11)</f>
        <v>4.1025999999999998</v>
      </c>
      <c r="E85" s="12">
        <f>CHOOSE( CONTROL!$C$32, 4.099, 4.0954) * CHOOSE( CONTROL!$C$15, $D$11, 100%, $F$11)</f>
        <v>4.0990000000000002</v>
      </c>
      <c r="F85" s="4">
        <f>CHOOSE( CONTROL!$C$32, 4.7762, 4.7726) * CHOOSE(CONTROL!$C$15, $D$11, 100%, $F$11)</f>
        <v>4.7762000000000002</v>
      </c>
      <c r="G85" s="8">
        <f>CHOOSE( CONTROL!$C$32, 3.9889, 3.9854) * CHOOSE( CONTROL!$C$15, $D$11, 100%, $F$11)</f>
        <v>3.9889000000000001</v>
      </c>
      <c r="H85" s="4">
        <f>CHOOSE( CONTROL!$C$32, 4.9257, 4.9222) * CHOOSE(CONTROL!$C$15, $D$11, 100%, $F$11)</f>
        <v>4.9257</v>
      </c>
      <c r="I85" s="8">
        <f>CHOOSE( CONTROL!$C$32, 4.0158, 4.0123) * CHOOSE(CONTROL!$C$15, $D$11, 100%, $F$11)</f>
        <v>4.0157999999999996</v>
      </c>
      <c r="J85" s="4">
        <f>CHOOSE( CONTROL!$C$32, 3.9205, 3.9171) * CHOOSE(CONTROL!$C$15, $D$11, 100%, $F$11)</f>
        <v>3.9205000000000001</v>
      </c>
      <c r="K85" s="4"/>
      <c r="L85" s="9">
        <v>29.7257</v>
      </c>
      <c r="M85" s="9">
        <v>11.6745</v>
      </c>
      <c r="N85" s="9">
        <v>4.7850000000000001</v>
      </c>
      <c r="O85" s="9">
        <v>0.36199999999999999</v>
      </c>
      <c r="P85" s="9">
        <v>1.1791</v>
      </c>
      <c r="Q85" s="9">
        <v>32.153399999999998</v>
      </c>
      <c r="R85" s="9"/>
      <c r="S85" s="11"/>
    </row>
    <row r="86" spans="1:19" ht="15.75">
      <c r="A86" s="13">
        <v>44105</v>
      </c>
      <c r="B86" s="8">
        <f>4.2626 * CHOOSE(CONTROL!$C$15, $D$11, 100%, $F$11)</f>
        <v>4.2625999999999999</v>
      </c>
      <c r="C86" s="8">
        <f>4.268 * CHOOSE(CONTROL!$C$15, $D$11, 100%, $F$11)</f>
        <v>4.2679999999999998</v>
      </c>
      <c r="D86" s="8">
        <f>4.2795 * CHOOSE( CONTROL!$C$15, $D$11, 100%, $F$11)</f>
        <v>4.2794999999999996</v>
      </c>
      <c r="E86" s="12">
        <f>4.2751 * CHOOSE( CONTROL!$C$15, $D$11, 100%, $F$11)</f>
        <v>4.2751000000000001</v>
      </c>
      <c r="F86" s="4">
        <f>4.9526 * CHOOSE(CONTROL!$C$15, $D$11, 100%, $F$11)</f>
        <v>4.9526000000000003</v>
      </c>
      <c r="G86" s="8">
        <f>4.1619 * CHOOSE( CONTROL!$C$15, $D$11, 100%, $F$11)</f>
        <v>4.1619000000000002</v>
      </c>
      <c r="H86" s="4">
        <f>5.0992 * CHOOSE(CONTROL!$C$15, $D$11, 100%, $F$11)</f>
        <v>5.0991999999999997</v>
      </c>
      <c r="I86" s="8">
        <f>4.1872 * CHOOSE(CONTROL!$C$15, $D$11, 100%, $F$11)</f>
        <v>4.1871999999999998</v>
      </c>
      <c r="J86" s="4">
        <f>4.0911 * CHOOSE(CONTROL!$C$15, $D$11, 100%, $F$11)</f>
        <v>4.0911</v>
      </c>
      <c r="K86" s="4"/>
      <c r="L86" s="9">
        <v>31.095300000000002</v>
      </c>
      <c r="M86" s="9">
        <v>12.063700000000001</v>
      </c>
      <c r="N86" s="9">
        <v>4.9444999999999997</v>
      </c>
      <c r="O86" s="9">
        <v>0.37409999999999999</v>
      </c>
      <c r="P86" s="9">
        <v>1.2183999999999999</v>
      </c>
      <c r="Q86" s="9">
        <v>33.225200000000001</v>
      </c>
      <c r="R86" s="9"/>
      <c r="S86" s="11"/>
    </row>
    <row r="87" spans="1:19" ht="15.75">
      <c r="A87" s="13">
        <v>44136</v>
      </c>
      <c r="B87" s="8">
        <f>4.5944 * CHOOSE(CONTROL!$C$15, $D$11, 100%, $F$11)</f>
        <v>4.5944000000000003</v>
      </c>
      <c r="C87" s="8">
        <f>4.5996 * CHOOSE(CONTROL!$C$15, $D$11, 100%, $F$11)</f>
        <v>4.5995999999999997</v>
      </c>
      <c r="D87" s="8">
        <f>4.5765 * CHOOSE( CONTROL!$C$15, $D$11, 100%, $F$11)</f>
        <v>4.5765000000000002</v>
      </c>
      <c r="E87" s="12">
        <f>4.5844 * CHOOSE( CONTROL!$C$15, $D$11, 100%, $F$11)</f>
        <v>4.5843999999999996</v>
      </c>
      <c r="F87" s="4">
        <f>5.2393 * CHOOSE(CONTROL!$C$15, $D$11, 100%, $F$11)</f>
        <v>5.2393000000000001</v>
      </c>
      <c r="G87" s="8">
        <f>4.4994 * CHOOSE( CONTROL!$C$15, $D$11, 100%, $F$11)</f>
        <v>4.4993999999999996</v>
      </c>
      <c r="H87" s="4">
        <f>5.3812 * CHOOSE(CONTROL!$C$15, $D$11, 100%, $F$11)</f>
        <v>5.3811999999999998</v>
      </c>
      <c r="I87" s="8">
        <f>4.5332 * CHOOSE(CONTROL!$C$15, $D$11, 100%, $F$11)</f>
        <v>4.5331999999999999</v>
      </c>
      <c r="J87" s="4">
        <f>4.4123 * CHOOSE(CONTROL!$C$15, $D$11, 100%, $F$11)</f>
        <v>4.4123000000000001</v>
      </c>
      <c r="K87" s="4"/>
      <c r="L87" s="9">
        <v>28.360600000000002</v>
      </c>
      <c r="M87" s="9">
        <v>11.6745</v>
      </c>
      <c r="N87" s="9">
        <v>4.7850000000000001</v>
      </c>
      <c r="O87" s="9">
        <v>0.36199999999999999</v>
      </c>
      <c r="P87" s="9">
        <v>1.2509999999999999</v>
      </c>
      <c r="Q87" s="9">
        <v>32.153399999999998</v>
      </c>
      <c r="R87" s="9"/>
      <c r="S87" s="11"/>
    </row>
    <row r="88" spans="1:19" ht="15.75">
      <c r="A88" s="13">
        <v>44166</v>
      </c>
      <c r="B88" s="8">
        <f>4.5861 * CHOOSE(CONTROL!$C$15, $D$11, 100%, $F$11)</f>
        <v>4.5861000000000001</v>
      </c>
      <c r="C88" s="8">
        <f>4.5913 * CHOOSE(CONTROL!$C$15, $D$11, 100%, $F$11)</f>
        <v>4.5913000000000004</v>
      </c>
      <c r="D88" s="8">
        <f>4.5696 * CHOOSE( CONTROL!$C$15, $D$11, 100%, $F$11)</f>
        <v>4.5696000000000003</v>
      </c>
      <c r="E88" s="12">
        <f>4.577 * CHOOSE( CONTROL!$C$15, $D$11, 100%, $F$11)</f>
        <v>4.577</v>
      </c>
      <c r="F88" s="4">
        <f>5.231 * CHOOSE(CONTROL!$C$15, $D$11, 100%, $F$11)</f>
        <v>5.2309999999999999</v>
      </c>
      <c r="G88" s="8">
        <f>4.4923 * CHOOSE( CONTROL!$C$15, $D$11, 100%, $F$11)</f>
        <v>4.4923000000000002</v>
      </c>
      <c r="H88" s="4">
        <f>5.3731 * CHOOSE(CONTROL!$C$15, $D$11, 100%, $F$11)</f>
        <v>5.3731</v>
      </c>
      <c r="I88" s="8">
        <f>4.5295 * CHOOSE(CONTROL!$C$15, $D$11, 100%, $F$11)</f>
        <v>4.5294999999999996</v>
      </c>
      <c r="J88" s="4">
        <f>4.4043 * CHOOSE(CONTROL!$C$15, $D$11, 100%, $F$11)</f>
        <v>4.4043000000000001</v>
      </c>
      <c r="K88" s="4"/>
      <c r="L88" s="9">
        <v>29.306000000000001</v>
      </c>
      <c r="M88" s="9">
        <v>12.063700000000001</v>
      </c>
      <c r="N88" s="9">
        <v>4.9444999999999997</v>
      </c>
      <c r="O88" s="9">
        <v>0.37409999999999999</v>
      </c>
      <c r="P88" s="9">
        <v>1.2927</v>
      </c>
      <c r="Q88" s="9">
        <v>33.225200000000001</v>
      </c>
      <c r="R88" s="9"/>
      <c r="S88" s="11"/>
    </row>
    <row r="89" spans="1:19" ht="15.75">
      <c r="A89" s="13">
        <v>44197</v>
      </c>
      <c r="B89" s="8">
        <f>4.7635 * CHOOSE(CONTROL!$C$15, $D$11, 100%, $F$11)</f>
        <v>4.7634999999999996</v>
      </c>
      <c r="C89" s="8">
        <f>4.7686 * CHOOSE(CONTROL!$C$15, $D$11, 100%, $F$11)</f>
        <v>4.7686000000000002</v>
      </c>
      <c r="D89" s="8">
        <f>4.7428 * CHOOSE( CONTROL!$C$15, $D$11, 100%, $F$11)</f>
        <v>4.7427999999999999</v>
      </c>
      <c r="E89" s="12">
        <f>4.7517 * CHOOSE( CONTROL!$C$15, $D$11, 100%, $F$11)</f>
        <v>4.7516999999999996</v>
      </c>
      <c r="F89" s="4">
        <f>5.4075 * CHOOSE(CONTROL!$C$15, $D$11, 100%, $F$11)</f>
        <v>5.4074999999999998</v>
      </c>
      <c r="G89" s="8">
        <f>4.6604 * CHOOSE( CONTROL!$C$15, $D$11, 100%, $F$11)</f>
        <v>4.6604000000000001</v>
      </c>
      <c r="H89" s="4">
        <f>5.5466 * CHOOSE(CONTROL!$C$15, $D$11, 100%, $F$11)</f>
        <v>5.5465999999999998</v>
      </c>
      <c r="I89" s="8">
        <f>4.6716 * CHOOSE(CONTROL!$C$15, $D$11, 100%, $F$11)</f>
        <v>4.6715999999999998</v>
      </c>
      <c r="J89" s="4">
        <f>4.5757 * CHOOSE(CONTROL!$C$15, $D$11, 100%, $F$11)</f>
        <v>4.5757000000000003</v>
      </c>
      <c r="K89" s="4"/>
      <c r="L89" s="9">
        <v>29.306000000000001</v>
      </c>
      <c r="M89" s="9">
        <v>12.063700000000001</v>
      </c>
      <c r="N89" s="9">
        <v>4.9444999999999997</v>
      </c>
      <c r="O89" s="9">
        <v>0.37409999999999999</v>
      </c>
      <c r="P89" s="9">
        <v>1.2927</v>
      </c>
      <c r="Q89" s="9">
        <v>33.011299999999999</v>
      </c>
      <c r="R89" s="9"/>
      <c r="S89" s="11"/>
    </row>
    <row r="90" spans="1:19" ht="15.75">
      <c r="A90" s="13">
        <v>44228</v>
      </c>
      <c r="B90" s="8">
        <f>4.4575 * CHOOSE(CONTROL!$C$15, $D$11, 100%, $F$11)</f>
        <v>4.4574999999999996</v>
      </c>
      <c r="C90" s="8">
        <f>4.4626 * CHOOSE(CONTROL!$C$15, $D$11, 100%, $F$11)</f>
        <v>4.4626000000000001</v>
      </c>
      <c r="D90" s="8">
        <f>4.437 * CHOOSE( CONTROL!$C$15, $D$11, 100%, $F$11)</f>
        <v>4.4370000000000003</v>
      </c>
      <c r="E90" s="12">
        <f>4.4458 * CHOOSE( CONTROL!$C$15, $D$11, 100%, $F$11)</f>
        <v>4.4458000000000002</v>
      </c>
      <c r="F90" s="4">
        <f>5.1015 * CHOOSE(CONTROL!$C$15, $D$11, 100%, $F$11)</f>
        <v>5.1014999999999997</v>
      </c>
      <c r="G90" s="8">
        <f>4.3597 * CHOOSE( CONTROL!$C$15, $D$11, 100%, $F$11)</f>
        <v>4.3597000000000001</v>
      </c>
      <c r="H90" s="4">
        <f>5.2457 * CHOOSE(CONTROL!$C$15, $D$11, 100%, $F$11)</f>
        <v>5.2457000000000003</v>
      </c>
      <c r="I90" s="8">
        <f>4.3764 * CHOOSE(CONTROL!$C$15, $D$11, 100%, $F$11)</f>
        <v>4.3764000000000003</v>
      </c>
      <c r="J90" s="4">
        <f>4.2799 * CHOOSE(CONTROL!$C$15, $D$11, 100%, $F$11)</f>
        <v>4.2798999999999996</v>
      </c>
      <c r="K90" s="4"/>
      <c r="L90" s="9">
        <v>26.469899999999999</v>
      </c>
      <c r="M90" s="9">
        <v>10.8962</v>
      </c>
      <c r="N90" s="9">
        <v>4.4660000000000002</v>
      </c>
      <c r="O90" s="9">
        <v>0.33789999999999998</v>
      </c>
      <c r="P90" s="9">
        <v>1.1676</v>
      </c>
      <c r="Q90" s="9">
        <v>29.816600000000001</v>
      </c>
      <c r="R90" s="9"/>
      <c r="S90" s="11"/>
    </row>
    <row r="91" spans="1:19" ht="15.75">
      <c r="A91" s="13">
        <v>44256</v>
      </c>
      <c r="B91" s="8">
        <f>4.3633 * CHOOSE(CONTROL!$C$15, $D$11, 100%, $F$11)</f>
        <v>4.3632999999999997</v>
      </c>
      <c r="C91" s="8">
        <f>4.3684 * CHOOSE(CONTROL!$C$15, $D$11, 100%, $F$11)</f>
        <v>4.3684000000000003</v>
      </c>
      <c r="D91" s="8">
        <f>4.3427 * CHOOSE( CONTROL!$C$15, $D$11, 100%, $F$11)</f>
        <v>4.3426999999999998</v>
      </c>
      <c r="E91" s="12">
        <f>4.3516 * CHOOSE( CONTROL!$C$15, $D$11, 100%, $F$11)</f>
        <v>4.3516000000000004</v>
      </c>
      <c r="F91" s="4">
        <f>5.0073 * CHOOSE(CONTROL!$C$15, $D$11, 100%, $F$11)</f>
        <v>5.0072999999999999</v>
      </c>
      <c r="G91" s="8">
        <f>4.2669 * CHOOSE( CONTROL!$C$15, $D$11, 100%, $F$11)</f>
        <v>4.2668999999999997</v>
      </c>
      <c r="H91" s="4">
        <f>5.153 * CHOOSE(CONTROL!$C$15, $D$11, 100%, $F$11)</f>
        <v>5.1529999999999996</v>
      </c>
      <c r="I91" s="8">
        <f>4.285 * CHOOSE(CONTROL!$C$15, $D$11, 100%, $F$11)</f>
        <v>4.2850000000000001</v>
      </c>
      <c r="J91" s="4">
        <f>4.1888 * CHOOSE(CONTROL!$C$15, $D$11, 100%, $F$11)</f>
        <v>4.1887999999999996</v>
      </c>
      <c r="K91" s="4"/>
      <c r="L91" s="9">
        <v>29.306000000000001</v>
      </c>
      <c r="M91" s="9">
        <v>12.063700000000001</v>
      </c>
      <c r="N91" s="9">
        <v>4.9444999999999997</v>
      </c>
      <c r="O91" s="9">
        <v>0.37409999999999999</v>
      </c>
      <c r="P91" s="9">
        <v>1.2927</v>
      </c>
      <c r="Q91" s="9">
        <v>33.011299999999999</v>
      </c>
      <c r="R91" s="9"/>
      <c r="S91" s="11"/>
    </row>
    <row r="92" spans="1:19" ht="15.75">
      <c r="A92" s="13">
        <v>44287</v>
      </c>
      <c r="B92" s="8">
        <f>4.4299 * CHOOSE(CONTROL!$C$15, $D$11, 100%, $F$11)</f>
        <v>4.4298999999999999</v>
      </c>
      <c r="C92" s="8">
        <f>4.4344 * CHOOSE(CONTROL!$C$15, $D$11, 100%, $F$11)</f>
        <v>4.4344000000000001</v>
      </c>
      <c r="D92" s="8">
        <f>4.4455 * CHOOSE( CONTROL!$C$15, $D$11, 100%, $F$11)</f>
        <v>4.4455</v>
      </c>
      <c r="E92" s="12">
        <f>4.4413 * CHOOSE( CONTROL!$C$15, $D$11, 100%, $F$11)</f>
        <v>4.4413</v>
      </c>
      <c r="F92" s="4">
        <f>5.1195 * CHOOSE(CONTROL!$C$15, $D$11, 100%, $F$11)</f>
        <v>5.1195000000000004</v>
      </c>
      <c r="G92" s="8">
        <f>4.3245 * CHOOSE( CONTROL!$C$15, $D$11, 100%, $F$11)</f>
        <v>4.3244999999999996</v>
      </c>
      <c r="H92" s="4">
        <f>5.2634 * CHOOSE(CONTROL!$C$15, $D$11, 100%, $F$11)</f>
        <v>5.2633999999999999</v>
      </c>
      <c r="I92" s="8">
        <f>4.3438 * CHOOSE(CONTROL!$C$15, $D$11, 100%, $F$11)</f>
        <v>4.3437999999999999</v>
      </c>
      <c r="J92" s="4">
        <f>4.2525 * CHOOSE(CONTROL!$C$15, $D$11, 100%, $F$11)</f>
        <v>4.2525000000000004</v>
      </c>
      <c r="K92" s="4"/>
      <c r="L92" s="9">
        <v>30.092199999999998</v>
      </c>
      <c r="M92" s="9">
        <v>11.6745</v>
      </c>
      <c r="N92" s="9">
        <v>4.7850000000000001</v>
      </c>
      <c r="O92" s="9">
        <v>0.36199999999999999</v>
      </c>
      <c r="P92" s="9">
        <v>1.1791</v>
      </c>
      <c r="Q92" s="9">
        <v>31.946400000000001</v>
      </c>
      <c r="R92" s="9"/>
      <c r="S92" s="11"/>
    </row>
    <row r="93" spans="1:19" ht="15.75">
      <c r="A93" s="13">
        <v>44317</v>
      </c>
      <c r="B93" s="8">
        <f>CHOOSE( CONTROL!$C$32, 4.552, 4.5485) * CHOOSE(CONTROL!$C$15, $D$11, 100%, $F$11)</f>
        <v>4.5519999999999996</v>
      </c>
      <c r="C93" s="8">
        <f>CHOOSE( CONTROL!$C$32, 4.56, 4.5565) * CHOOSE(CONTROL!$C$15, $D$11, 100%, $F$11)</f>
        <v>4.5599999999999996</v>
      </c>
      <c r="D93" s="8">
        <f>CHOOSE( CONTROL!$C$32, 4.5661, 4.5625) * CHOOSE( CONTROL!$C$15, $D$11, 100%, $F$11)</f>
        <v>4.5660999999999996</v>
      </c>
      <c r="E93" s="12">
        <f>CHOOSE( CONTROL!$C$32, 4.5627, 4.5591) * CHOOSE( CONTROL!$C$15, $D$11, 100%, $F$11)</f>
        <v>4.5627000000000004</v>
      </c>
      <c r="F93" s="4">
        <f>CHOOSE( CONTROL!$C$32, 5.2403, 5.2367) * CHOOSE(CONTROL!$C$15, $D$11, 100%, $F$11)</f>
        <v>5.2403000000000004</v>
      </c>
      <c r="G93" s="8">
        <f>CHOOSE( CONTROL!$C$32, 4.4443, 4.4408) * CHOOSE( CONTROL!$C$15, $D$11, 100%, $F$11)</f>
        <v>4.4443000000000001</v>
      </c>
      <c r="H93" s="4">
        <f>CHOOSE( CONTROL!$C$32, 5.3822, 5.3787) * CHOOSE(CONTROL!$C$15, $D$11, 100%, $F$11)</f>
        <v>5.3822000000000001</v>
      </c>
      <c r="I93" s="8">
        <f>CHOOSE( CONTROL!$C$32, 4.4615, 4.458) * CHOOSE(CONTROL!$C$15, $D$11, 100%, $F$11)</f>
        <v>4.4615</v>
      </c>
      <c r="J93" s="4">
        <f>CHOOSE( CONTROL!$C$32, 4.3692, 4.3658) * CHOOSE(CONTROL!$C$15, $D$11, 100%, $F$11)</f>
        <v>4.3692000000000002</v>
      </c>
      <c r="K93" s="4"/>
      <c r="L93" s="9">
        <v>30.7165</v>
      </c>
      <c r="M93" s="9">
        <v>12.063700000000001</v>
      </c>
      <c r="N93" s="9">
        <v>4.9444999999999997</v>
      </c>
      <c r="O93" s="9">
        <v>0.37409999999999999</v>
      </c>
      <c r="P93" s="9">
        <v>1.2183999999999999</v>
      </c>
      <c r="Q93" s="9">
        <v>33.011299999999999</v>
      </c>
      <c r="R93" s="9"/>
      <c r="S93" s="11"/>
    </row>
    <row r="94" spans="1:19" ht="15.75">
      <c r="A94" s="13">
        <v>44348</v>
      </c>
      <c r="B94" s="8">
        <f>CHOOSE( CONTROL!$C$32, 4.4794, 4.4759) * CHOOSE(CONTROL!$C$15, $D$11, 100%, $F$11)</f>
        <v>4.4794</v>
      </c>
      <c r="C94" s="8">
        <f>CHOOSE( CONTROL!$C$32, 4.4874, 4.4839) * CHOOSE(CONTROL!$C$15, $D$11, 100%, $F$11)</f>
        <v>4.4874000000000001</v>
      </c>
      <c r="D94" s="8">
        <f>CHOOSE( CONTROL!$C$32, 4.4937, 4.4902) * CHOOSE( CONTROL!$C$15, $D$11, 100%, $F$11)</f>
        <v>4.4936999999999996</v>
      </c>
      <c r="E94" s="12">
        <f>CHOOSE( CONTROL!$C$32, 4.4902, 4.4867) * CHOOSE( CONTROL!$C$15, $D$11, 100%, $F$11)</f>
        <v>4.4901999999999997</v>
      </c>
      <c r="F94" s="4">
        <f>CHOOSE( CONTROL!$C$32, 5.1677, 5.1641) * CHOOSE(CONTROL!$C$15, $D$11, 100%, $F$11)</f>
        <v>5.1677</v>
      </c>
      <c r="G94" s="8">
        <f>CHOOSE( CONTROL!$C$32, 4.3733, 4.3698) * CHOOSE( CONTROL!$C$15, $D$11, 100%, $F$11)</f>
        <v>4.3733000000000004</v>
      </c>
      <c r="H94" s="4">
        <f>CHOOSE( CONTROL!$C$32, 5.3108, 5.3073) * CHOOSE(CONTROL!$C$15, $D$11, 100%, $F$11)</f>
        <v>5.3108000000000004</v>
      </c>
      <c r="I94" s="8">
        <f>CHOOSE( CONTROL!$C$32, 4.3926, 4.3891) * CHOOSE(CONTROL!$C$15, $D$11, 100%, $F$11)</f>
        <v>4.3925999999999998</v>
      </c>
      <c r="J94" s="4">
        <f>CHOOSE( CONTROL!$C$32, 4.299, 4.2956) * CHOOSE(CONTROL!$C$15, $D$11, 100%, $F$11)</f>
        <v>4.2990000000000004</v>
      </c>
      <c r="K94" s="4"/>
      <c r="L94" s="9">
        <v>29.7257</v>
      </c>
      <c r="M94" s="9">
        <v>11.6745</v>
      </c>
      <c r="N94" s="9">
        <v>4.7850000000000001</v>
      </c>
      <c r="O94" s="9">
        <v>0.36199999999999999</v>
      </c>
      <c r="P94" s="9">
        <v>1.1791</v>
      </c>
      <c r="Q94" s="9">
        <v>31.946400000000001</v>
      </c>
      <c r="R94" s="9"/>
      <c r="S94" s="11"/>
    </row>
    <row r="95" spans="1:19" ht="15.75">
      <c r="A95" s="13">
        <v>44378</v>
      </c>
      <c r="B95" s="8">
        <f>CHOOSE( CONTROL!$C$32, 4.6706, 4.6671) * CHOOSE(CONTROL!$C$15, $D$11, 100%, $F$11)</f>
        <v>4.6706000000000003</v>
      </c>
      <c r="C95" s="8">
        <f>CHOOSE( CONTROL!$C$32, 4.6786, 4.6751) * CHOOSE(CONTROL!$C$15, $D$11, 100%, $F$11)</f>
        <v>4.6786000000000003</v>
      </c>
      <c r="D95" s="8">
        <f>CHOOSE( CONTROL!$C$32, 4.6852, 4.6817) * CHOOSE( CONTROL!$C$15, $D$11, 100%, $F$11)</f>
        <v>4.6852</v>
      </c>
      <c r="E95" s="12">
        <f>CHOOSE( CONTROL!$C$32, 4.6816, 4.6781) * CHOOSE( CONTROL!$C$15, $D$11, 100%, $F$11)</f>
        <v>4.6816000000000004</v>
      </c>
      <c r="F95" s="4">
        <f>CHOOSE( CONTROL!$C$32, 5.3589, 5.3553) * CHOOSE(CONTROL!$C$15, $D$11, 100%, $F$11)</f>
        <v>5.3589000000000002</v>
      </c>
      <c r="G95" s="8">
        <f>CHOOSE( CONTROL!$C$32, 4.5618, 4.5583) * CHOOSE( CONTROL!$C$15, $D$11, 100%, $F$11)</f>
        <v>4.5617999999999999</v>
      </c>
      <c r="H95" s="4">
        <f>CHOOSE( CONTROL!$C$32, 5.4988, 5.4953) * CHOOSE(CONTROL!$C$15, $D$11, 100%, $F$11)</f>
        <v>5.4988000000000001</v>
      </c>
      <c r="I95" s="8">
        <f>CHOOSE( CONTROL!$C$32, 4.579, 4.5755) * CHOOSE(CONTROL!$C$15, $D$11, 100%, $F$11)</f>
        <v>4.5789999999999997</v>
      </c>
      <c r="J95" s="4">
        <f>CHOOSE( CONTROL!$C$32, 4.4839, 4.4804) * CHOOSE(CONTROL!$C$15, $D$11, 100%, $F$11)</f>
        <v>4.4839000000000002</v>
      </c>
      <c r="K95" s="4"/>
      <c r="L95" s="9">
        <v>30.7165</v>
      </c>
      <c r="M95" s="9">
        <v>12.063700000000001</v>
      </c>
      <c r="N95" s="9">
        <v>4.9444999999999997</v>
      </c>
      <c r="O95" s="9">
        <v>0.37409999999999999</v>
      </c>
      <c r="P95" s="9">
        <v>1.2183999999999999</v>
      </c>
      <c r="Q95" s="9">
        <v>33.011299999999999</v>
      </c>
      <c r="R95" s="9"/>
      <c r="S95" s="11"/>
    </row>
    <row r="96" spans="1:19" ht="15.75">
      <c r="A96" s="13">
        <v>44409</v>
      </c>
      <c r="B96" s="8">
        <f>CHOOSE( CONTROL!$C$32, 4.3129, 4.3093) * CHOOSE(CONTROL!$C$15, $D$11, 100%, $F$11)</f>
        <v>4.3129</v>
      </c>
      <c r="C96" s="8">
        <f>CHOOSE( CONTROL!$C$32, 4.3209, 4.3173) * CHOOSE(CONTROL!$C$15, $D$11, 100%, $F$11)</f>
        <v>4.3209</v>
      </c>
      <c r="D96" s="8">
        <f>CHOOSE( CONTROL!$C$32, 4.3276, 4.324) * CHOOSE( CONTROL!$C$15, $D$11, 100%, $F$11)</f>
        <v>4.3276000000000003</v>
      </c>
      <c r="E96" s="12">
        <f>CHOOSE( CONTROL!$C$32, 4.324, 4.3204) * CHOOSE( CONTROL!$C$15, $D$11, 100%, $F$11)</f>
        <v>4.3239999999999998</v>
      </c>
      <c r="F96" s="4">
        <f>CHOOSE( CONTROL!$C$32, 5.0011, 4.9976) * CHOOSE(CONTROL!$C$15, $D$11, 100%, $F$11)</f>
        <v>5.0011000000000001</v>
      </c>
      <c r="G96" s="8">
        <f>CHOOSE( CONTROL!$C$32, 4.2101, 4.2066) * CHOOSE( CONTROL!$C$15, $D$11, 100%, $F$11)</f>
        <v>4.2100999999999997</v>
      </c>
      <c r="H96" s="4">
        <f>CHOOSE( CONTROL!$C$32, 5.147, 5.1435) * CHOOSE(CONTROL!$C$15, $D$11, 100%, $F$11)</f>
        <v>5.1470000000000002</v>
      </c>
      <c r="I96" s="8">
        <f>CHOOSE( CONTROL!$C$32, 4.2334, 4.2299) * CHOOSE(CONTROL!$C$15, $D$11, 100%, $F$11)</f>
        <v>4.2333999999999996</v>
      </c>
      <c r="J96" s="4">
        <f>CHOOSE( CONTROL!$C$32, 4.138, 4.1346) * CHOOSE(CONTROL!$C$15, $D$11, 100%, $F$11)</f>
        <v>4.1379999999999999</v>
      </c>
      <c r="K96" s="4"/>
      <c r="L96" s="9">
        <v>30.7165</v>
      </c>
      <c r="M96" s="9">
        <v>12.063700000000001</v>
      </c>
      <c r="N96" s="9">
        <v>4.9444999999999997</v>
      </c>
      <c r="O96" s="9">
        <v>0.37409999999999999</v>
      </c>
      <c r="P96" s="9">
        <v>1.2183999999999999</v>
      </c>
      <c r="Q96" s="9">
        <v>33.011299999999999</v>
      </c>
      <c r="R96" s="9"/>
      <c r="S96" s="11"/>
    </row>
    <row r="97" spans="1:19" ht="15.75">
      <c r="A97" s="13">
        <v>44440</v>
      </c>
      <c r="B97" s="8">
        <f>CHOOSE( CONTROL!$C$32, 4.2233, 4.2197) * CHOOSE(CONTROL!$C$15, $D$11, 100%, $F$11)</f>
        <v>4.2233000000000001</v>
      </c>
      <c r="C97" s="8">
        <f>CHOOSE( CONTROL!$C$32, 4.2313, 4.2277) * CHOOSE(CONTROL!$C$15, $D$11, 100%, $F$11)</f>
        <v>4.2313000000000001</v>
      </c>
      <c r="D97" s="8">
        <f>CHOOSE( CONTROL!$C$32, 4.238, 4.2344) * CHOOSE( CONTROL!$C$15, $D$11, 100%, $F$11)</f>
        <v>4.2380000000000004</v>
      </c>
      <c r="E97" s="12">
        <f>CHOOSE( CONTROL!$C$32, 4.2344, 4.2308) * CHOOSE( CONTROL!$C$15, $D$11, 100%, $F$11)</f>
        <v>4.2343999999999999</v>
      </c>
      <c r="F97" s="4">
        <f>CHOOSE( CONTROL!$C$32, 4.9115, 4.908) * CHOOSE(CONTROL!$C$15, $D$11, 100%, $F$11)</f>
        <v>4.9115000000000002</v>
      </c>
      <c r="G97" s="8">
        <f>CHOOSE( CONTROL!$C$32, 4.122, 4.1185) * CHOOSE( CONTROL!$C$15, $D$11, 100%, $F$11)</f>
        <v>4.1219999999999999</v>
      </c>
      <c r="H97" s="4">
        <f>CHOOSE( CONTROL!$C$32, 5.0589, 5.0554) * CHOOSE(CONTROL!$C$15, $D$11, 100%, $F$11)</f>
        <v>5.0589000000000004</v>
      </c>
      <c r="I97" s="8">
        <f>CHOOSE( CONTROL!$C$32, 4.1467, 4.1433) * CHOOSE(CONTROL!$C$15, $D$11, 100%, $F$11)</f>
        <v>4.1467000000000001</v>
      </c>
      <c r="J97" s="4">
        <f>CHOOSE( CONTROL!$C$32, 4.0514, 4.048) * CHOOSE(CONTROL!$C$15, $D$11, 100%, $F$11)</f>
        <v>4.0514000000000001</v>
      </c>
      <c r="K97" s="4"/>
      <c r="L97" s="9">
        <v>29.7257</v>
      </c>
      <c r="M97" s="9">
        <v>11.6745</v>
      </c>
      <c r="N97" s="9">
        <v>4.7850000000000001</v>
      </c>
      <c r="O97" s="9">
        <v>0.36199999999999999</v>
      </c>
      <c r="P97" s="9">
        <v>1.1791</v>
      </c>
      <c r="Q97" s="9">
        <v>31.946400000000001</v>
      </c>
      <c r="R97" s="9"/>
      <c r="S97" s="11"/>
    </row>
    <row r="98" spans="1:19" ht="15.75">
      <c r="A98" s="13">
        <v>44470</v>
      </c>
      <c r="B98" s="8">
        <f>4.404 * CHOOSE(CONTROL!$C$15, $D$11, 100%, $F$11)</f>
        <v>4.4039999999999999</v>
      </c>
      <c r="C98" s="8">
        <f>4.4094 * CHOOSE(CONTROL!$C$15, $D$11, 100%, $F$11)</f>
        <v>4.4093999999999998</v>
      </c>
      <c r="D98" s="8">
        <f>4.4209 * CHOOSE( CONTROL!$C$15, $D$11, 100%, $F$11)</f>
        <v>4.4208999999999996</v>
      </c>
      <c r="E98" s="12">
        <f>4.4165 * CHOOSE( CONTROL!$C$15, $D$11, 100%, $F$11)</f>
        <v>4.4165000000000001</v>
      </c>
      <c r="F98" s="4">
        <f>5.094 * CHOOSE(CONTROL!$C$15, $D$11, 100%, $F$11)</f>
        <v>5.0940000000000003</v>
      </c>
      <c r="G98" s="8">
        <f>4.3009 * CHOOSE( CONTROL!$C$15, $D$11, 100%, $F$11)</f>
        <v>4.3009000000000004</v>
      </c>
      <c r="H98" s="4">
        <f>5.2383 * CHOOSE(CONTROL!$C$15, $D$11, 100%, $F$11)</f>
        <v>5.2382999999999997</v>
      </c>
      <c r="I98" s="8">
        <f>4.3239 * CHOOSE(CONTROL!$C$15, $D$11, 100%, $F$11)</f>
        <v>4.3239000000000001</v>
      </c>
      <c r="J98" s="4">
        <f>4.2278 * CHOOSE(CONTROL!$C$15, $D$11, 100%, $F$11)</f>
        <v>4.2278000000000002</v>
      </c>
      <c r="K98" s="4"/>
      <c r="L98" s="9">
        <v>31.095300000000002</v>
      </c>
      <c r="M98" s="9">
        <v>12.063700000000001</v>
      </c>
      <c r="N98" s="9">
        <v>4.9444999999999997</v>
      </c>
      <c r="O98" s="9">
        <v>0.37409999999999999</v>
      </c>
      <c r="P98" s="9">
        <v>1.2183999999999999</v>
      </c>
      <c r="Q98" s="9">
        <v>33.011299999999999</v>
      </c>
      <c r="R98" s="9"/>
      <c r="S98" s="11"/>
    </row>
    <row r="99" spans="1:19" ht="15.75">
      <c r="A99" s="13">
        <v>44501</v>
      </c>
      <c r="B99" s="8">
        <f>4.747 * CHOOSE(CONTROL!$C$15, $D$11, 100%, $F$11)</f>
        <v>4.7469999999999999</v>
      </c>
      <c r="C99" s="8">
        <f>4.7521 * CHOOSE(CONTROL!$C$15, $D$11, 100%, $F$11)</f>
        <v>4.7521000000000004</v>
      </c>
      <c r="D99" s="8">
        <f>4.729 * CHOOSE( CONTROL!$C$15, $D$11, 100%, $F$11)</f>
        <v>4.7290000000000001</v>
      </c>
      <c r="E99" s="12">
        <f>4.7369 * CHOOSE( CONTROL!$C$15, $D$11, 100%, $F$11)</f>
        <v>4.7369000000000003</v>
      </c>
      <c r="F99" s="4">
        <f>5.3918 * CHOOSE(CONTROL!$C$15, $D$11, 100%, $F$11)</f>
        <v>5.3917999999999999</v>
      </c>
      <c r="G99" s="8">
        <f>4.6494 * CHOOSE( CONTROL!$C$15, $D$11, 100%, $F$11)</f>
        <v>4.6494</v>
      </c>
      <c r="H99" s="4">
        <f>5.5312 * CHOOSE(CONTROL!$C$15, $D$11, 100%, $F$11)</f>
        <v>5.5312000000000001</v>
      </c>
      <c r="I99" s="8">
        <f>4.6807 * CHOOSE(CONTROL!$C$15, $D$11, 100%, $F$11)</f>
        <v>4.6806999999999999</v>
      </c>
      <c r="J99" s="4">
        <f>4.5597 * CHOOSE(CONTROL!$C$15, $D$11, 100%, $F$11)</f>
        <v>4.5597000000000003</v>
      </c>
      <c r="K99" s="4"/>
      <c r="L99" s="9">
        <v>28.360600000000002</v>
      </c>
      <c r="M99" s="9">
        <v>11.6745</v>
      </c>
      <c r="N99" s="9">
        <v>4.7850000000000001</v>
      </c>
      <c r="O99" s="9">
        <v>0.36199999999999999</v>
      </c>
      <c r="P99" s="9">
        <v>1.2509999999999999</v>
      </c>
      <c r="Q99" s="9">
        <v>31.946400000000001</v>
      </c>
      <c r="R99" s="9"/>
      <c r="S99" s="11"/>
    </row>
    <row r="100" spans="1:19" ht="15.75">
      <c r="A100" s="13">
        <v>44531</v>
      </c>
      <c r="B100" s="8">
        <f>4.7384 * CHOOSE(CONTROL!$C$15, $D$11, 100%, $F$11)</f>
        <v>4.7384000000000004</v>
      </c>
      <c r="C100" s="8">
        <f>4.7435 * CHOOSE(CONTROL!$C$15, $D$11, 100%, $F$11)</f>
        <v>4.7435</v>
      </c>
      <c r="D100" s="8">
        <f>4.7218 * CHOOSE( CONTROL!$C$15, $D$11, 100%, $F$11)</f>
        <v>4.7218</v>
      </c>
      <c r="E100" s="12">
        <f>4.7292 * CHOOSE( CONTROL!$C$15, $D$11, 100%, $F$11)</f>
        <v>4.7291999999999996</v>
      </c>
      <c r="F100" s="4">
        <f>5.3833 * CHOOSE(CONTROL!$C$15, $D$11, 100%, $F$11)</f>
        <v>5.3833000000000002</v>
      </c>
      <c r="G100" s="8">
        <f>4.642 * CHOOSE( CONTROL!$C$15, $D$11, 100%, $F$11)</f>
        <v>4.6420000000000003</v>
      </c>
      <c r="H100" s="4">
        <f>5.5228 * CHOOSE(CONTROL!$C$15, $D$11, 100%, $F$11)</f>
        <v>5.5228000000000002</v>
      </c>
      <c r="I100" s="8">
        <f>4.6767 * CHOOSE(CONTROL!$C$15, $D$11, 100%, $F$11)</f>
        <v>4.6767000000000003</v>
      </c>
      <c r="J100" s="4">
        <f>4.5514 * CHOOSE(CONTROL!$C$15, $D$11, 100%, $F$11)</f>
        <v>4.5514000000000001</v>
      </c>
      <c r="K100" s="4"/>
      <c r="L100" s="9">
        <v>29.306000000000001</v>
      </c>
      <c r="M100" s="9">
        <v>12.063700000000001</v>
      </c>
      <c r="N100" s="9">
        <v>4.9444999999999997</v>
      </c>
      <c r="O100" s="9">
        <v>0.37409999999999999</v>
      </c>
      <c r="P100" s="9">
        <v>1.2927</v>
      </c>
      <c r="Q100" s="9">
        <v>33.011299999999999</v>
      </c>
      <c r="R100" s="9"/>
      <c r="S100" s="11"/>
    </row>
    <row r="101" spans="1:19" ht="15.75">
      <c r="A101" s="13">
        <v>44562</v>
      </c>
      <c r="B101" s="8">
        <f>5.0477 * CHOOSE(CONTROL!$C$15, $D$11, 100%, $F$11)</f>
        <v>5.0476999999999999</v>
      </c>
      <c r="C101" s="8">
        <f>5.0529 * CHOOSE(CONTROL!$C$15, $D$11, 100%, $F$11)</f>
        <v>5.0529000000000002</v>
      </c>
      <c r="D101" s="8">
        <f>5.027 * CHOOSE( CONTROL!$C$15, $D$11, 100%, $F$11)</f>
        <v>5.0270000000000001</v>
      </c>
      <c r="E101" s="12">
        <f>5.0359 * CHOOSE( CONTROL!$C$15, $D$11, 100%, $F$11)</f>
        <v>5.0358999999999998</v>
      </c>
      <c r="F101" s="4">
        <f>5.6918 * CHOOSE(CONTROL!$C$15, $D$11, 100%, $F$11)</f>
        <v>5.6917999999999997</v>
      </c>
      <c r="G101" s="8">
        <f>4.9399 * CHOOSE( CONTROL!$C$15, $D$11, 100%, $F$11)</f>
        <v>4.9398999999999997</v>
      </c>
      <c r="H101" s="4">
        <f>5.8261 * CHOOSE(CONTROL!$C$15, $D$11, 100%, $F$11)</f>
        <v>5.8261000000000003</v>
      </c>
      <c r="I101" s="8">
        <f>4.9465 * CHOOSE(CONTROL!$C$15, $D$11, 100%, $F$11)</f>
        <v>4.9465000000000003</v>
      </c>
      <c r="J101" s="4">
        <f>4.8505 * CHOOSE(CONTROL!$C$15, $D$11, 100%, $F$11)</f>
        <v>4.8505000000000003</v>
      </c>
      <c r="K101" s="4"/>
      <c r="L101" s="9">
        <v>29.306000000000001</v>
      </c>
      <c r="M101" s="9">
        <v>12.063700000000001</v>
      </c>
      <c r="N101" s="9">
        <v>4.9444999999999997</v>
      </c>
      <c r="O101" s="9">
        <v>0.37409999999999999</v>
      </c>
      <c r="P101" s="9">
        <v>1.2927</v>
      </c>
      <c r="Q101" s="9">
        <v>32.8123</v>
      </c>
      <c r="R101" s="9"/>
      <c r="S101" s="11"/>
    </row>
    <row r="102" spans="1:19" ht="15.75">
      <c r="A102" s="13">
        <v>44593</v>
      </c>
      <c r="B102" s="8">
        <f>4.7234 * CHOOSE(CONTROL!$C$15, $D$11, 100%, $F$11)</f>
        <v>4.7233999999999998</v>
      </c>
      <c r="C102" s="8">
        <f>4.7285 * CHOOSE(CONTROL!$C$15, $D$11, 100%, $F$11)</f>
        <v>4.7285000000000004</v>
      </c>
      <c r="D102" s="8">
        <f>4.7029 * CHOOSE( CONTROL!$C$15, $D$11, 100%, $F$11)</f>
        <v>4.7028999999999996</v>
      </c>
      <c r="E102" s="12">
        <f>4.7117 * CHOOSE( CONTROL!$C$15, $D$11, 100%, $F$11)</f>
        <v>4.7117000000000004</v>
      </c>
      <c r="F102" s="4">
        <f>5.3674 * CHOOSE(CONTROL!$C$15, $D$11, 100%, $F$11)</f>
        <v>5.3673999999999999</v>
      </c>
      <c r="G102" s="8">
        <f>4.6211 * CHOOSE( CONTROL!$C$15, $D$11, 100%, $F$11)</f>
        <v>4.6211000000000002</v>
      </c>
      <c r="H102" s="4">
        <f>5.5071 * CHOOSE(CONTROL!$C$15, $D$11, 100%, $F$11)</f>
        <v>5.5071000000000003</v>
      </c>
      <c r="I102" s="8">
        <f>4.6335 * CHOOSE(CONTROL!$C$15, $D$11, 100%, $F$11)</f>
        <v>4.6334999999999997</v>
      </c>
      <c r="J102" s="4">
        <f>4.5369 * CHOOSE(CONTROL!$C$15, $D$11, 100%, $F$11)</f>
        <v>4.5369000000000002</v>
      </c>
      <c r="K102" s="4"/>
      <c r="L102" s="9">
        <v>26.469899999999999</v>
      </c>
      <c r="M102" s="9">
        <v>10.8962</v>
      </c>
      <c r="N102" s="9">
        <v>4.4660000000000002</v>
      </c>
      <c r="O102" s="9">
        <v>0.33789999999999998</v>
      </c>
      <c r="P102" s="9">
        <v>1.1676</v>
      </c>
      <c r="Q102" s="9">
        <v>29.636900000000001</v>
      </c>
      <c r="R102" s="9"/>
      <c r="S102" s="11"/>
    </row>
    <row r="103" spans="1:19" ht="15.75">
      <c r="A103" s="13">
        <v>44621</v>
      </c>
      <c r="B103" s="8">
        <f>4.6235 * CHOOSE(CONTROL!$C$15, $D$11, 100%, $F$11)</f>
        <v>4.6234999999999999</v>
      </c>
      <c r="C103" s="8">
        <f>4.6286 * CHOOSE(CONTROL!$C$15, $D$11, 100%, $F$11)</f>
        <v>4.6285999999999996</v>
      </c>
      <c r="D103" s="8">
        <f>4.6029 * CHOOSE( CONTROL!$C$15, $D$11, 100%, $F$11)</f>
        <v>4.6029</v>
      </c>
      <c r="E103" s="12">
        <f>4.6118 * CHOOSE( CONTROL!$C$15, $D$11, 100%, $F$11)</f>
        <v>4.6117999999999997</v>
      </c>
      <c r="F103" s="4">
        <f>5.2675 * CHOOSE(CONTROL!$C$15, $D$11, 100%, $F$11)</f>
        <v>5.2675000000000001</v>
      </c>
      <c r="G103" s="8">
        <f>4.5228 * CHOOSE( CONTROL!$C$15, $D$11, 100%, $F$11)</f>
        <v>4.5228000000000002</v>
      </c>
      <c r="H103" s="4">
        <f>5.4089 * CHOOSE(CONTROL!$C$15, $D$11, 100%, $F$11)</f>
        <v>5.4089</v>
      </c>
      <c r="I103" s="8">
        <f>4.5367 * CHOOSE(CONTROL!$C$15, $D$11, 100%, $F$11)</f>
        <v>4.5366999999999997</v>
      </c>
      <c r="J103" s="4">
        <f>4.4403 * CHOOSE(CONTROL!$C$15, $D$11, 100%, $F$11)</f>
        <v>4.4402999999999997</v>
      </c>
      <c r="K103" s="4"/>
      <c r="L103" s="9">
        <v>29.306000000000001</v>
      </c>
      <c r="M103" s="9">
        <v>12.063700000000001</v>
      </c>
      <c r="N103" s="9">
        <v>4.9444999999999997</v>
      </c>
      <c r="O103" s="9">
        <v>0.37409999999999999</v>
      </c>
      <c r="P103" s="9">
        <v>1.2927</v>
      </c>
      <c r="Q103" s="9">
        <v>32.8123</v>
      </c>
      <c r="R103" s="9"/>
      <c r="S103" s="11"/>
    </row>
    <row r="104" spans="1:19" ht="15.75">
      <c r="A104" s="13">
        <v>44652</v>
      </c>
      <c r="B104" s="8">
        <f>4.694 * CHOOSE(CONTROL!$C$15, $D$11, 100%, $F$11)</f>
        <v>4.694</v>
      </c>
      <c r="C104" s="8">
        <f>4.6986 * CHOOSE(CONTROL!$C$15, $D$11, 100%, $F$11)</f>
        <v>4.6985999999999999</v>
      </c>
      <c r="D104" s="8">
        <f>4.7096 * CHOOSE( CONTROL!$C$15, $D$11, 100%, $F$11)</f>
        <v>4.7096</v>
      </c>
      <c r="E104" s="12">
        <f>4.7054 * CHOOSE( CONTROL!$C$15, $D$11, 100%, $F$11)</f>
        <v>4.7054</v>
      </c>
      <c r="F104" s="4">
        <f>5.3837 * CHOOSE(CONTROL!$C$15, $D$11, 100%, $F$11)</f>
        <v>5.3837000000000002</v>
      </c>
      <c r="G104" s="8">
        <f>4.5843 * CHOOSE( CONTROL!$C$15, $D$11, 100%, $F$11)</f>
        <v>4.5842999999999998</v>
      </c>
      <c r="H104" s="4">
        <f>5.5232 * CHOOSE(CONTROL!$C$15, $D$11, 100%, $F$11)</f>
        <v>5.5232000000000001</v>
      </c>
      <c r="I104" s="8">
        <f>4.5992 * CHOOSE(CONTROL!$C$15, $D$11, 100%, $F$11)</f>
        <v>4.5991999999999997</v>
      </c>
      <c r="J104" s="4">
        <f>4.5078 * CHOOSE(CONTROL!$C$15, $D$11, 100%, $F$11)</f>
        <v>4.5077999999999996</v>
      </c>
      <c r="K104" s="4"/>
      <c r="L104" s="9">
        <v>30.092199999999998</v>
      </c>
      <c r="M104" s="9">
        <v>11.6745</v>
      </c>
      <c r="N104" s="9">
        <v>4.7850000000000001</v>
      </c>
      <c r="O104" s="9">
        <v>0.36199999999999999</v>
      </c>
      <c r="P104" s="9">
        <v>1.1791</v>
      </c>
      <c r="Q104" s="9">
        <v>31.753799999999998</v>
      </c>
      <c r="R104" s="9"/>
      <c r="S104" s="11"/>
    </row>
    <row r="105" spans="1:19" ht="15.75">
      <c r="A105" s="13">
        <v>44682</v>
      </c>
      <c r="B105" s="8">
        <f>CHOOSE( CONTROL!$C$32, 4.8232, 4.8196) * CHOOSE(CONTROL!$C$15, $D$11, 100%, $F$11)</f>
        <v>4.8231999999999999</v>
      </c>
      <c r="C105" s="8">
        <f>CHOOSE( CONTROL!$C$32, 4.8312, 4.8277) * CHOOSE(CONTROL!$C$15, $D$11, 100%, $F$11)</f>
        <v>4.8311999999999999</v>
      </c>
      <c r="D105" s="8">
        <f>CHOOSE( CONTROL!$C$32, 4.8372, 4.8337) * CHOOSE( CONTROL!$C$15, $D$11, 100%, $F$11)</f>
        <v>4.8372000000000002</v>
      </c>
      <c r="E105" s="12">
        <f>CHOOSE( CONTROL!$C$32, 4.8338, 4.8303) * CHOOSE( CONTROL!$C$15, $D$11, 100%, $F$11)</f>
        <v>4.8338000000000001</v>
      </c>
      <c r="F105" s="4">
        <f>CHOOSE( CONTROL!$C$32, 5.5115, 5.5079) * CHOOSE(CONTROL!$C$15, $D$11, 100%, $F$11)</f>
        <v>5.5114999999999998</v>
      </c>
      <c r="G105" s="8">
        <f>CHOOSE( CONTROL!$C$32, 4.711, 4.7075) * CHOOSE( CONTROL!$C$15, $D$11, 100%, $F$11)</f>
        <v>4.7110000000000003</v>
      </c>
      <c r="H105" s="4">
        <f>CHOOSE( CONTROL!$C$32, 5.6489, 5.6454) * CHOOSE(CONTROL!$C$15, $D$11, 100%, $F$11)</f>
        <v>5.6489000000000003</v>
      </c>
      <c r="I105" s="8">
        <f>CHOOSE( CONTROL!$C$32, 4.7237, 4.7203) * CHOOSE(CONTROL!$C$15, $D$11, 100%, $F$11)</f>
        <v>4.7237</v>
      </c>
      <c r="J105" s="4">
        <f>CHOOSE( CONTROL!$C$32, 4.6314, 4.6279) * CHOOSE(CONTROL!$C$15, $D$11, 100%, $F$11)</f>
        <v>4.6314000000000002</v>
      </c>
      <c r="K105" s="4"/>
      <c r="L105" s="9">
        <v>30.7165</v>
      </c>
      <c r="M105" s="9">
        <v>12.063700000000001</v>
      </c>
      <c r="N105" s="9">
        <v>4.9444999999999997</v>
      </c>
      <c r="O105" s="9">
        <v>0.37409999999999999</v>
      </c>
      <c r="P105" s="9">
        <v>1.2183999999999999</v>
      </c>
      <c r="Q105" s="9">
        <v>32.8123</v>
      </c>
      <c r="R105" s="9"/>
      <c r="S105" s="11"/>
    </row>
    <row r="106" spans="1:19" ht="15.75">
      <c r="A106" s="13">
        <v>44713</v>
      </c>
      <c r="B106" s="8">
        <f>CHOOSE( CONTROL!$C$32, 4.7462, 4.7427) * CHOOSE(CONTROL!$C$15, $D$11, 100%, $F$11)</f>
        <v>4.7462</v>
      </c>
      <c r="C106" s="8">
        <f>CHOOSE( CONTROL!$C$32, 4.7543, 4.7507) * CHOOSE(CONTROL!$C$15, $D$11, 100%, $F$11)</f>
        <v>4.7542999999999997</v>
      </c>
      <c r="D106" s="8">
        <f>CHOOSE( CONTROL!$C$32, 4.7605, 4.757) * CHOOSE( CONTROL!$C$15, $D$11, 100%, $F$11)</f>
        <v>4.7605000000000004</v>
      </c>
      <c r="E106" s="12">
        <f>CHOOSE( CONTROL!$C$32, 4.757, 4.7535) * CHOOSE( CONTROL!$C$15, $D$11, 100%, $F$11)</f>
        <v>4.7569999999999997</v>
      </c>
      <c r="F106" s="4">
        <f>CHOOSE( CONTROL!$C$32, 5.4345, 5.4309) * CHOOSE(CONTROL!$C$15, $D$11, 100%, $F$11)</f>
        <v>5.4344999999999999</v>
      </c>
      <c r="G106" s="8">
        <f>CHOOSE( CONTROL!$C$32, 4.6357, 4.6322) * CHOOSE( CONTROL!$C$15, $D$11, 100%, $F$11)</f>
        <v>4.6356999999999999</v>
      </c>
      <c r="H106" s="4">
        <f>CHOOSE( CONTROL!$C$32, 5.5732, 5.5697) * CHOOSE(CONTROL!$C$15, $D$11, 100%, $F$11)</f>
        <v>5.5731999999999999</v>
      </c>
      <c r="I106" s="8">
        <f>CHOOSE( CONTROL!$C$32, 4.6506, 4.6472) * CHOOSE(CONTROL!$C$15, $D$11, 100%, $F$11)</f>
        <v>4.6505999999999998</v>
      </c>
      <c r="J106" s="4">
        <f>CHOOSE( CONTROL!$C$32, 4.557, 4.5535) * CHOOSE(CONTROL!$C$15, $D$11, 100%, $F$11)</f>
        <v>4.5570000000000004</v>
      </c>
      <c r="K106" s="4"/>
      <c r="L106" s="9">
        <v>29.7257</v>
      </c>
      <c r="M106" s="9">
        <v>11.6745</v>
      </c>
      <c r="N106" s="9">
        <v>4.7850000000000001</v>
      </c>
      <c r="O106" s="9">
        <v>0.36199999999999999</v>
      </c>
      <c r="P106" s="9">
        <v>1.1791</v>
      </c>
      <c r="Q106" s="9">
        <v>31.753799999999998</v>
      </c>
      <c r="R106" s="9"/>
      <c r="S106" s="11"/>
    </row>
    <row r="107" spans="1:19" ht="15.75">
      <c r="A107" s="13">
        <v>44743</v>
      </c>
      <c r="B107" s="8">
        <f>CHOOSE( CONTROL!$C$32, 4.9489, 4.9454) * CHOOSE(CONTROL!$C$15, $D$11, 100%, $F$11)</f>
        <v>4.9489000000000001</v>
      </c>
      <c r="C107" s="8">
        <f>CHOOSE( CONTROL!$C$32, 4.9569, 4.9534) * CHOOSE(CONTROL!$C$15, $D$11, 100%, $F$11)</f>
        <v>4.9569000000000001</v>
      </c>
      <c r="D107" s="8">
        <f>CHOOSE( CONTROL!$C$32, 4.9635, 4.96) * CHOOSE( CONTROL!$C$15, $D$11, 100%, $F$11)</f>
        <v>4.9634999999999998</v>
      </c>
      <c r="E107" s="12">
        <f>CHOOSE( CONTROL!$C$32, 4.9599, 4.9564) * CHOOSE( CONTROL!$C$15, $D$11, 100%, $F$11)</f>
        <v>4.9599000000000002</v>
      </c>
      <c r="F107" s="4">
        <f>CHOOSE( CONTROL!$C$32, 5.6372, 5.6336) * CHOOSE(CONTROL!$C$15, $D$11, 100%, $F$11)</f>
        <v>5.6372</v>
      </c>
      <c r="G107" s="8">
        <f>CHOOSE( CONTROL!$C$32, 4.8355, 4.832) * CHOOSE( CONTROL!$C$15, $D$11, 100%, $F$11)</f>
        <v>4.8354999999999997</v>
      </c>
      <c r="H107" s="4">
        <f>CHOOSE( CONTROL!$C$32, 5.7725, 5.769) * CHOOSE(CONTROL!$C$15, $D$11, 100%, $F$11)</f>
        <v>5.7725</v>
      </c>
      <c r="I107" s="8">
        <f>CHOOSE( CONTROL!$C$32, 4.8481, 4.8447) * CHOOSE(CONTROL!$C$15, $D$11, 100%, $F$11)</f>
        <v>4.8480999999999996</v>
      </c>
      <c r="J107" s="4">
        <f>CHOOSE( CONTROL!$C$32, 4.7529, 4.7495) * CHOOSE(CONTROL!$C$15, $D$11, 100%, $F$11)</f>
        <v>4.7529000000000003</v>
      </c>
      <c r="K107" s="4"/>
      <c r="L107" s="9">
        <v>30.7165</v>
      </c>
      <c r="M107" s="9">
        <v>12.063700000000001</v>
      </c>
      <c r="N107" s="9">
        <v>4.9444999999999997</v>
      </c>
      <c r="O107" s="9">
        <v>0.37409999999999999</v>
      </c>
      <c r="P107" s="9">
        <v>1.2183999999999999</v>
      </c>
      <c r="Q107" s="9">
        <v>32.8123</v>
      </c>
      <c r="R107" s="9"/>
      <c r="S107" s="11"/>
    </row>
    <row r="108" spans="1:19" ht="15.75">
      <c r="A108" s="13">
        <v>44774</v>
      </c>
      <c r="B108" s="8">
        <f>CHOOSE( CONTROL!$C$32, 4.5697, 4.5661) * CHOOSE(CONTROL!$C$15, $D$11, 100%, $F$11)</f>
        <v>4.5697000000000001</v>
      </c>
      <c r="C108" s="8">
        <f>CHOOSE( CONTROL!$C$32, 4.5777, 4.5741) * CHOOSE(CONTROL!$C$15, $D$11, 100%, $F$11)</f>
        <v>4.5777000000000001</v>
      </c>
      <c r="D108" s="8">
        <f>CHOOSE( CONTROL!$C$32, 4.5844, 4.5808) * CHOOSE( CONTROL!$C$15, $D$11, 100%, $F$11)</f>
        <v>4.5843999999999996</v>
      </c>
      <c r="E108" s="12">
        <f>CHOOSE( CONTROL!$C$32, 4.5808, 4.5772) * CHOOSE( CONTROL!$C$15, $D$11, 100%, $F$11)</f>
        <v>4.5808</v>
      </c>
      <c r="F108" s="4">
        <f>CHOOSE( CONTROL!$C$32, 5.258, 5.2544) * CHOOSE(CONTROL!$C$15, $D$11, 100%, $F$11)</f>
        <v>5.258</v>
      </c>
      <c r="G108" s="8">
        <f>CHOOSE( CONTROL!$C$32, 4.4627, 4.4592) * CHOOSE( CONTROL!$C$15, $D$11, 100%, $F$11)</f>
        <v>4.4626999999999999</v>
      </c>
      <c r="H108" s="4">
        <f>CHOOSE( CONTROL!$C$32, 5.3995, 5.396) * CHOOSE(CONTROL!$C$15, $D$11, 100%, $F$11)</f>
        <v>5.3994999999999997</v>
      </c>
      <c r="I108" s="8">
        <f>CHOOSE( CONTROL!$C$32, 4.4818, 4.4783) * CHOOSE(CONTROL!$C$15, $D$11, 100%, $F$11)</f>
        <v>4.4817999999999998</v>
      </c>
      <c r="J108" s="4">
        <f>CHOOSE( CONTROL!$C$32, 4.3863, 4.3828) * CHOOSE(CONTROL!$C$15, $D$11, 100%, $F$11)</f>
        <v>4.3863000000000003</v>
      </c>
      <c r="K108" s="4"/>
      <c r="L108" s="9">
        <v>30.7165</v>
      </c>
      <c r="M108" s="9">
        <v>12.063700000000001</v>
      </c>
      <c r="N108" s="9">
        <v>4.9444999999999997</v>
      </c>
      <c r="O108" s="9">
        <v>0.37409999999999999</v>
      </c>
      <c r="P108" s="9">
        <v>1.2183999999999999</v>
      </c>
      <c r="Q108" s="9">
        <v>32.8123</v>
      </c>
      <c r="R108" s="9"/>
      <c r="S108" s="11"/>
    </row>
    <row r="109" spans="1:19" ht="15.75">
      <c r="A109" s="13">
        <v>44805</v>
      </c>
      <c r="B109" s="8">
        <f>CHOOSE( CONTROL!$C$32, 4.4747, 4.4711) * CHOOSE(CONTROL!$C$15, $D$11, 100%, $F$11)</f>
        <v>4.4747000000000003</v>
      </c>
      <c r="C109" s="8">
        <f>CHOOSE( CONTROL!$C$32, 4.4827, 4.4792) * CHOOSE(CONTROL!$C$15, $D$11, 100%, $F$11)</f>
        <v>4.4827000000000004</v>
      </c>
      <c r="D109" s="8">
        <f>CHOOSE( CONTROL!$C$32, 4.4894, 4.4859) * CHOOSE( CONTROL!$C$15, $D$11, 100%, $F$11)</f>
        <v>4.4893999999999998</v>
      </c>
      <c r="E109" s="12">
        <f>CHOOSE( CONTROL!$C$32, 4.4858, 4.4822) * CHOOSE( CONTROL!$C$15, $D$11, 100%, $F$11)</f>
        <v>4.4858000000000002</v>
      </c>
      <c r="F109" s="4">
        <f>CHOOSE( CONTROL!$C$32, 5.163, 5.1594) * CHOOSE(CONTROL!$C$15, $D$11, 100%, $F$11)</f>
        <v>5.1630000000000003</v>
      </c>
      <c r="G109" s="8">
        <f>CHOOSE( CONTROL!$C$32, 4.3693, 4.3658) * CHOOSE( CONTROL!$C$15, $D$11, 100%, $F$11)</f>
        <v>4.3693</v>
      </c>
      <c r="H109" s="4">
        <f>CHOOSE( CONTROL!$C$32, 5.3061, 5.3026) * CHOOSE(CONTROL!$C$15, $D$11, 100%, $F$11)</f>
        <v>5.3060999999999998</v>
      </c>
      <c r="I109" s="8">
        <f>CHOOSE( CONTROL!$C$32, 4.3899, 4.3865) * CHOOSE(CONTROL!$C$15, $D$11, 100%, $F$11)</f>
        <v>4.3898999999999999</v>
      </c>
      <c r="J109" s="4">
        <f>CHOOSE( CONTROL!$C$32, 4.2945, 4.291) * CHOOSE(CONTROL!$C$15, $D$11, 100%, $F$11)</f>
        <v>4.2945000000000002</v>
      </c>
      <c r="K109" s="4"/>
      <c r="L109" s="9">
        <v>29.7257</v>
      </c>
      <c r="M109" s="9">
        <v>11.6745</v>
      </c>
      <c r="N109" s="9">
        <v>4.7850000000000001</v>
      </c>
      <c r="O109" s="9">
        <v>0.36199999999999999</v>
      </c>
      <c r="P109" s="9">
        <v>1.1791</v>
      </c>
      <c r="Q109" s="9">
        <v>31.753799999999998</v>
      </c>
      <c r="R109" s="9"/>
      <c r="S109" s="11"/>
    </row>
    <row r="110" spans="1:19" ht="15.75">
      <c r="A110" s="13">
        <v>44835</v>
      </c>
      <c r="B110" s="8">
        <f>4.6666 * CHOOSE(CONTROL!$C$15, $D$11, 100%, $F$11)</f>
        <v>4.6665999999999999</v>
      </c>
      <c r="C110" s="8">
        <f>4.672 * CHOOSE(CONTROL!$C$15, $D$11, 100%, $F$11)</f>
        <v>4.6719999999999997</v>
      </c>
      <c r="D110" s="8">
        <f>4.6835 * CHOOSE( CONTROL!$C$15, $D$11, 100%, $F$11)</f>
        <v>4.6835000000000004</v>
      </c>
      <c r="E110" s="12">
        <f>4.6791 * CHOOSE( CONTROL!$C$15, $D$11, 100%, $F$11)</f>
        <v>4.6791</v>
      </c>
      <c r="F110" s="4">
        <f>5.3566 * CHOOSE(CONTROL!$C$15, $D$11, 100%, $F$11)</f>
        <v>5.3566000000000003</v>
      </c>
      <c r="G110" s="8">
        <f>4.5592 * CHOOSE( CONTROL!$C$15, $D$11, 100%, $F$11)</f>
        <v>4.5591999999999997</v>
      </c>
      <c r="H110" s="4">
        <f>5.4965 * CHOOSE(CONTROL!$C$15, $D$11, 100%, $F$11)</f>
        <v>5.4965000000000002</v>
      </c>
      <c r="I110" s="8">
        <f>4.5779 * CHOOSE(CONTROL!$C$15, $D$11, 100%, $F$11)</f>
        <v>4.5778999999999996</v>
      </c>
      <c r="J110" s="4">
        <f>4.4816 * CHOOSE(CONTROL!$C$15, $D$11, 100%, $F$11)</f>
        <v>4.4816000000000003</v>
      </c>
      <c r="K110" s="4"/>
      <c r="L110" s="9">
        <v>31.095300000000002</v>
      </c>
      <c r="M110" s="9">
        <v>12.063700000000001</v>
      </c>
      <c r="N110" s="9">
        <v>4.9444999999999997</v>
      </c>
      <c r="O110" s="9">
        <v>0.37409999999999999</v>
      </c>
      <c r="P110" s="9">
        <v>1.2183999999999999</v>
      </c>
      <c r="Q110" s="9">
        <v>32.8123</v>
      </c>
      <c r="R110" s="9"/>
      <c r="S110" s="11"/>
    </row>
    <row r="111" spans="1:19" ht="15.75">
      <c r="A111" s="13">
        <v>44866</v>
      </c>
      <c r="B111" s="8">
        <f>5.0302 * CHOOSE(CONTROL!$C$15, $D$11, 100%, $F$11)</f>
        <v>5.0301999999999998</v>
      </c>
      <c r="C111" s="8">
        <f>5.0353 * CHOOSE(CONTROL!$C$15, $D$11, 100%, $F$11)</f>
        <v>5.0353000000000003</v>
      </c>
      <c r="D111" s="8">
        <f>5.0122 * CHOOSE( CONTROL!$C$15, $D$11, 100%, $F$11)</f>
        <v>5.0122</v>
      </c>
      <c r="E111" s="12">
        <f>5.0201 * CHOOSE( CONTROL!$C$15, $D$11, 100%, $F$11)</f>
        <v>5.0201000000000002</v>
      </c>
      <c r="F111" s="4">
        <f>5.6751 * CHOOSE(CONTROL!$C$15, $D$11, 100%, $F$11)</f>
        <v>5.6750999999999996</v>
      </c>
      <c r="G111" s="8">
        <f>4.9279 * CHOOSE( CONTROL!$C$15, $D$11, 100%, $F$11)</f>
        <v>4.9279000000000002</v>
      </c>
      <c r="H111" s="4">
        <f>5.8097 * CHOOSE(CONTROL!$C$15, $D$11, 100%, $F$11)</f>
        <v>5.8097000000000003</v>
      </c>
      <c r="I111" s="8">
        <f>4.9546 * CHOOSE(CONTROL!$C$15, $D$11, 100%, $F$11)</f>
        <v>4.9546000000000001</v>
      </c>
      <c r="J111" s="4">
        <f>4.8335 * CHOOSE(CONTROL!$C$15, $D$11, 100%, $F$11)</f>
        <v>4.8334999999999999</v>
      </c>
      <c r="K111" s="4"/>
      <c r="L111" s="9">
        <v>28.360600000000002</v>
      </c>
      <c r="M111" s="9">
        <v>11.6745</v>
      </c>
      <c r="N111" s="9">
        <v>4.7850000000000001</v>
      </c>
      <c r="O111" s="9">
        <v>0.36199999999999999</v>
      </c>
      <c r="P111" s="9">
        <v>1.2509999999999999</v>
      </c>
      <c r="Q111" s="9">
        <v>31.753799999999998</v>
      </c>
      <c r="R111" s="9"/>
      <c r="S111" s="11"/>
    </row>
    <row r="112" spans="1:19" ht="15.75">
      <c r="A112" s="13">
        <v>44896</v>
      </c>
      <c r="B112" s="8">
        <f>5.0211 * CHOOSE(CONTROL!$C$15, $D$11, 100%, $F$11)</f>
        <v>5.0210999999999997</v>
      </c>
      <c r="C112" s="8">
        <f>5.0262 * CHOOSE(CONTROL!$C$15, $D$11, 100%, $F$11)</f>
        <v>5.0262000000000002</v>
      </c>
      <c r="D112" s="8">
        <f>5.0045 * CHOOSE( CONTROL!$C$15, $D$11, 100%, $F$11)</f>
        <v>5.0045000000000002</v>
      </c>
      <c r="E112" s="12">
        <f>5.0119 * CHOOSE( CONTROL!$C$15, $D$11, 100%, $F$11)</f>
        <v>5.0118999999999998</v>
      </c>
      <c r="F112" s="4">
        <f>5.666 * CHOOSE(CONTROL!$C$15, $D$11, 100%, $F$11)</f>
        <v>5.6660000000000004</v>
      </c>
      <c r="G112" s="8">
        <f>4.92 * CHOOSE( CONTROL!$C$15, $D$11, 100%, $F$11)</f>
        <v>4.92</v>
      </c>
      <c r="H112" s="4">
        <f>5.8008 * CHOOSE(CONTROL!$C$15, $D$11, 100%, $F$11)</f>
        <v>5.8007999999999997</v>
      </c>
      <c r="I112" s="8">
        <f>4.9502 * CHOOSE(CONTROL!$C$15, $D$11, 100%, $F$11)</f>
        <v>4.9501999999999997</v>
      </c>
      <c r="J112" s="4">
        <f>4.8247 * CHOOSE(CONTROL!$C$15, $D$11, 100%, $F$11)</f>
        <v>4.8247</v>
      </c>
      <c r="K112" s="4"/>
      <c r="L112" s="9">
        <v>29.306000000000001</v>
      </c>
      <c r="M112" s="9">
        <v>12.063700000000001</v>
      </c>
      <c r="N112" s="9">
        <v>4.9444999999999997</v>
      </c>
      <c r="O112" s="9">
        <v>0.37409999999999999</v>
      </c>
      <c r="P112" s="9">
        <v>1.2927</v>
      </c>
      <c r="Q112" s="9">
        <v>32.8123</v>
      </c>
      <c r="R112" s="9"/>
      <c r="S112" s="11"/>
    </row>
    <row r="113" spans="1:19" ht="15.75">
      <c r="A113" s="13">
        <v>44927</v>
      </c>
      <c r="B113" s="8">
        <f>5.3975 * CHOOSE(CONTROL!$C$15, $D$11, 100%, $F$11)</f>
        <v>5.3975</v>
      </c>
      <c r="C113" s="8">
        <f>5.4027 * CHOOSE(CONTROL!$C$15, $D$11, 100%, $F$11)</f>
        <v>5.4027000000000003</v>
      </c>
      <c r="D113" s="8">
        <f>5.3768 * CHOOSE( CONTROL!$C$15, $D$11, 100%, $F$11)</f>
        <v>5.3768000000000002</v>
      </c>
      <c r="E113" s="12">
        <f>5.3857 * CHOOSE( CONTROL!$C$15, $D$11, 100%, $F$11)</f>
        <v>5.3856999999999999</v>
      </c>
      <c r="F113" s="4">
        <f>6.0416 * CHOOSE(CONTROL!$C$15, $D$11, 100%, $F$11)</f>
        <v>6.0415999999999999</v>
      </c>
      <c r="G113" s="8">
        <f>5.2839 * CHOOSE( CONTROL!$C$15, $D$11, 100%, $F$11)</f>
        <v>5.2839</v>
      </c>
      <c r="H113" s="4">
        <f>6.1702 * CHOOSE(CONTROL!$C$15, $D$11, 100%, $F$11)</f>
        <v>6.1702000000000004</v>
      </c>
      <c r="I113" s="8">
        <f>5.2848 * CHOOSE(CONTROL!$C$15, $D$11, 100%, $F$11)</f>
        <v>5.2847999999999997</v>
      </c>
      <c r="J113" s="4">
        <f>5.1886 * CHOOSE(CONTROL!$C$15, $D$11, 100%, $F$11)</f>
        <v>5.1886000000000001</v>
      </c>
      <c r="K113" s="4"/>
      <c r="L113" s="9">
        <v>29.306000000000001</v>
      </c>
      <c r="M113" s="9">
        <v>12.063700000000001</v>
      </c>
      <c r="N113" s="9">
        <v>4.9444999999999997</v>
      </c>
      <c r="O113" s="9">
        <v>0.37409999999999999</v>
      </c>
      <c r="P113" s="9">
        <v>1.2927</v>
      </c>
      <c r="Q113" s="9">
        <v>32.624400000000001</v>
      </c>
      <c r="R113" s="9"/>
      <c r="S113" s="11"/>
    </row>
    <row r="114" spans="1:19" ht="15.75">
      <c r="A114" s="13">
        <v>44958</v>
      </c>
      <c r="B114" s="8">
        <f>5.0506 * CHOOSE(CONTROL!$C$15, $D$11, 100%, $F$11)</f>
        <v>5.0506000000000002</v>
      </c>
      <c r="C114" s="8">
        <f>5.0557 * CHOOSE(CONTROL!$C$15, $D$11, 100%, $F$11)</f>
        <v>5.0556999999999999</v>
      </c>
      <c r="D114" s="8">
        <f>5.0301 * CHOOSE( CONTROL!$C$15, $D$11, 100%, $F$11)</f>
        <v>5.0301</v>
      </c>
      <c r="E114" s="12">
        <f>5.0389 * CHOOSE( CONTROL!$C$15, $D$11, 100%, $F$11)</f>
        <v>5.0388999999999999</v>
      </c>
      <c r="F114" s="4">
        <f>5.6946 * CHOOSE(CONTROL!$C$15, $D$11, 100%, $F$11)</f>
        <v>5.6946000000000003</v>
      </c>
      <c r="G114" s="8">
        <f>4.9429 * CHOOSE( CONTROL!$C$15, $D$11, 100%, $F$11)</f>
        <v>4.9428999999999998</v>
      </c>
      <c r="H114" s="4">
        <f>5.8289 * CHOOSE(CONTROL!$C$15, $D$11, 100%, $F$11)</f>
        <v>5.8289</v>
      </c>
      <c r="I114" s="8">
        <f>4.95 * CHOOSE(CONTROL!$C$15, $D$11, 100%, $F$11)</f>
        <v>4.95</v>
      </c>
      <c r="J114" s="4">
        <f>4.8532 * CHOOSE(CONTROL!$C$15, $D$11, 100%, $F$11)</f>
        <v>4.8532000000000002</v>
      </c>
      <c r="K114" s="4"/>
      <c r="L114" s="9">
        <v>26.469899999999999</v>
      </c>
      <c r="M114" s="9">
        <v>10.8962</v>
      </c>
      <c r="N114" s="9">
        <v>4.4660000000000002</v>
      </c>
      <c r="O114" s="9">
        <v>0.33789999999999998</v>
      </c>
      <c r="P114" s="9">
        <v>1.1676</v>
      </c>
      <c r="Q114" s="9">
        <v>29.467199999999998</v>
      </c>
      <c r="R114" s="9"/>
      <c r="S114" s="11"/>
    </row>
    <row r="115" spans="1:19" ht="15.75">
      <c r="A115" s="13">
        <v>44986</v>
      </c>
      <c r="B115" s="8">
        <f>4.9437 * CHOOSE(CONTROL!$C$15, $D$11, 100%, $F$11)</f>
        <v>4.9436999999999998</v>
      </c>
      <c r="C115" s="8">
        <f>4.9488 * CHOOSE(CONTROL!$C$15, $D$11, 100%, $F$11)</f>
        <v>4.9488000000000003</v>
      </c>
      <c r="D115" s="8">
        <f>4.9231 * CHOOSE( CONTROL!$C$15, $D$11, 100%, $F$11)</f>
        <v>4.9230999999999998</v>
      </c>
      <c r="E115" s="12">
        <f>4.932 * CHOOSE( CONTROL!$C$15, $D$11, 100%, $F$11)</f>
        <v>4.9320000000000004</v>
      </c>
      <c r="F115" s="4">
        <f>5.5877 * CHOOSE(CONTROL!$C$15, $D$11, 100%, $F$11)</f>
        <v>5.5876999999999999</v>
      </c>
      <c r="G115" s="8">
        <f>4.8377 * CHOOSE( CONTROL!$C$15, $D$11, 100%, $F$11)</f>
        <v>4.8376999999999999</v>
      </c>
      <c r="H115" s="4">
        <f>5.7238 * CHOOSE(CONTROL!$C$15, $D$11, 100%, $F$11)</f>
        <v>5.7237999999999998</v>
      </c>
      <c r="I115" s="8">
        <f>4.8464 * CHOOSE(CONTROL!$C$15, $D$11, 100%, $F$11)</f>
        <v>4.8464</v>
      </c>
      <c r="J115" s="4">
        <f>4.7499 * CHOOSE(CONTROL!$C$15, $D$11, 100%, $F$11)</f>
        <v>4.7499000000000002</v>
      </c>
      <c r="K115" s="4"/>
      <c r="L115" s="9">
        <v>29.306000000000001</v>
      </c>
      <c r="M115" s="9">
        <v>12.063700000000001</v>
      </c>
      <c r="N115" s="9">
        <v>4.9444999999999997</v>
      </c>
      <c r="O115" s="9">
        <v>0.37409999999999999</v>
      </c>
      <c r="P115" s="9">
        <v>1.2927</v>
      </c>
      <c r="Q115" s="9">
        <v>32.624400000000001</v>
      </c>
      <c r="R115" s="9"/>
      <c r="S115" s="11"/>
    </row>
    <row r="116" spans="1:19" ht="15.75">
      <c r="A116" s="13">
        <v>45017</v>
      </c>
      <c r="B116" s="8">
        <f>5.0191 * CHOOSE(CONTROL!$C$15, $D$11, 100%, $F$11)</f>
        <v>5.0190999999999999</v>
      </c>
      <c r="C116" s="8">
        <f>5.0237 * CHOOSE(CONTROL!$C$15, $D$11, 100%, $F$11)</f>
        <v>5.0236999999999998</v>
      </c>
      <c r="D116" s="8">
        <f>5.0347 * CHOOSE( CONTROL!$C$15, $D$11, 100%, $F$11)</f>
        <v>5.0347</v>
      </c>
      <c r="E116" s="12">
        <f>5.0305 * CHOOSE( CONTROL!$C$15, $D$11, 100%, $F$11)</f>
        <v>5.0305</v>
      </c>
      <c r="F116" s="4">
        <f>5.7088 * CHOOSE(CONTROL!$C$15, $D$11, 100%, $F$11)</f>
        <v>5.7088000000000001</v>
      </c>
      <c r="G116" s="8">
        <f>4.904 * CHOOSE( CONTROL!$C$15, $D$11, 100%, $F$11)</f>
        <v>4.9039999999999999</v>
      </c>
      <c r="H116" s="4">
        <f>5.8429 * CHOOSE(CONTROL!$C$15, $D$11, 100%, $F$11)</f>
        <v>5.8429000000000002</v>
      </c>
      <c r="I116" s="8">
        <f>4.9137 * CHOOSE(CONTROL!$C$15, $D$11, 100%, $F$11)</f>
        <v>4.9137000000000004</v>
      </c>
      <c r="J116" s="4">
        <f>4.8221 * CHOOSE(CONTROL!$C$15, $D$11, 100%, $F$11)</f>
        <v>4.8220999999999998</v>
      </c>
      <c r="K116" s="4"/>
      <c r="L116" s="9">
        <v>30.092199999999998</v>
      </c>
      <c r="M116" s="9">
        <v>11.6745</v>
      </c>
      <c r="N116" s="9">
        <v>4.7850000000000001</v>
      </c>
      <c r="O116" s="9">
        <v>0.36199999999999999</v>
      </c>
      <c r="P116" s="9">
        <v>1.1791</v>
      </c>
      <c r="Q116" s="9">
        <v>31.571999999999999</v>
      </c>
      <c r="R116" s="9"/>
      <c r="S116" s="11"/>
    </row>
    <row r="117" spans="1:19" ht="15.75">
      <c r="A117" s="13">
        <v>45047</v>
      </c>
      <c r="B117" s="8">
        <f>CHOOSE( CONTROL!$C$32, 5.157, 5.1534) * CHOOSE(CONTROL!$C$15, $D$11, 100%, $F$11)</f>
        <v>5.157</v>
      </c>
      <c r="C117" s="8">
        <f>CHOOSE( CONTROL!$C$32, 5.165, 5.1614) * CHOOSE(CONTROL!$C$15, $D$11, 100%, $F$11)</f>
        <v>5.165</v>
      </c>
      <c r="D117" s="8">
        <f>CHOOSE( CONTROL!$C$32, 5.171, 5.1674) * CHOOSE( CONTROL!$C$15, $D$11, 100%, $F$11)</f>
        <v>5.1710000000000003</v>
      </c>
      <c r="E117" s="12">
        <f>CHOOSE( CONTROL!$C$32, 5.1676, 5.164) * CHOOSE( CONTROL!$C$15, $D$11, 100%, $F$11)</f>
        <v>5.1676000000000002</v>
      </c>
      <c r="F117" s="4">
        <f>CHOOSE( CONTROL!$C$32, 5.8452, 5.8417) * CHOOSE(CONTROL!$C$15, $D$11, 100%, $F$11)</f>
        <v>5.8452000000000002</v>
      </c>
      <c r="G117" s="8">
        <f>CHOOSE( CONTROL!$C$32, 5.0392, 5.0357) * CHOOSE( CONTROL!$C$15, $D$11, 100%, $F$11)</f>
        <v>5.0392000000000001</v>
      </c>
      <c r="H117" s="4">
        <f>CHOOSE( CONTROL!$C$32, 5.9771, 5.9736) * CHOOSE(CONTROL!$C$15, $D$11, 100%, $F$11)</f>
        <v>5.9771000000000001</v>
      </c>
      <c r="I117" s="8">
        <f>CHOOSE( CONTROL!$C$32, 5.0465, 5.0431) * CHOOSE(CONTROL!$C$15, $D$11, 100%, $F$11)</f>
        <v>5.0465</v>
      </c>
      <c r="J117" s="4">
        <f>CHOOSE( CONTROL!$C$32, 4.954, 4.9506) * CHOOSE(CONTROL!$C$15, $D$11, 100%, $F$11)</f>
        <v>4.9539999999999997</v>
      </c>
      <c r="K117" s="4"/>
      <c r="L117" s="9">
        <v>30.7165</v>
      </c>
      <c r="M117" s="9">
        <v>12.063700000000001</v>
      </c>
      <c r="N117" s="9">
        <v>4.9444999999999997</v>
      </c>
      <c r="O117" s="9">
        <v>0.37409999999999999</v>
      </c>
      <c r="P117" s="9">
        <v>1.2183999999999999</v>
      </c>
      <c r="Q117" s="9">
        <v>32.624400000000001</v>
      </c>
      <c r="R117" s="9"/>
      <c r="S117" s="11"/>
    </row>
    <row r="118" spans="1:19" ht="15.75">
      <c r="A118" s="13">
        <v>45078</v>
      </c>
      <c r="B118" s="8">
        <f>CHOOSE( CONTROL!$C$32, 5.0746, 5.0711) * CHOOSE(CONTROL!$C$15, $D$11, 100%, $F$11)</f>
        <v>5.0746000000000002</v>
      </c>
      <c r="C118" s="8">
        <f>CHOOSE( CONTROL!$C$32, 5.0827, 5.0791) * CHOOSE(CONTROL!$C$15, $D$11, 100%, $F$11)</f>
        <v>5.0827</v>
      </c>
      <c r="D118" s="8">
        <f>CHOOSE( CONTROL!$C$32, 5.0889, 5.0854) * CHOOSE( CONTROL!$C$15, $D$11, 100%, $F$11)</f>
        <v>5.0888999999999998</v>
      </c>
      <c r="E118" s="12">
        <f>CHOOSE( CONTROL!$C$32, 5.0854, 5.0819) * CHOOSE( CONTROL!$C$15, $D$11, 100%, $F$11)</f>
        <v>5.0853999999999999</v>
      </c>
      <c r="F118" s="4">
        <f>CHOOSE( CONTROL!$C$32, 5.7629, 5.7593) * CHOOSE(CONTROL!$C$15, $D$11, 100%, $F$11)</f>
        <v>5.7629000000000001</v>
      </c>
      <c r="G118" s="8">
        <f>CHOOSE( CONTROL!$C$32, 4.9587, 4.9552) * CHOOSE( CONTROL!$C$15, $D$11, 100%, $F$11)</f>
        <v>4.9587000000000003</v>
      </c>
      <c r="H118" s="4">
        <f>CHOOSE( CONTROL!$C$32, 5.8961, 5.8926) * CHOOSE(CONTROL!$C$15, $D$11, 100%, $F$11)</f>
        <v>5.8960999999999997</v>
      </c>
      <c r="I118" s="8">
        <f>CHOOSE( CONTROL!$C$32, 4.9682, 4.9648) * CHOOSE(CONTROL!$C$15, $D$11, 100%, $F$11)</f>
        <v>4.9682000000000004</v>
      </c>
      <c r="J118" s="4">
        <f>CHOOSE( CONTROL!$C$32, 4.8744, 4.871) * CHOOSE(CONTROL!$C$15, $D$11, 100%, $F$11)</f>
        <v>4.8743999999999996</v>
      </c>
      <c r="K118" s="4"/>
      <c r="L118" s="9">
        <v>29.7257</v>
      </c>
      <c r="M118" s="9">
        <v>11.6745</v>
      </c>
      <c r="N118" s="9">
        <v>4.7850000000000001</v>
      </c>
      <c r="O118" s="9">
        <v>0.36199999999999999</v>
      </c>
      <c r="P118" s="9">
        <v>1.1791</v>
      </c>
      <c r="Q118" s="9">
        <v>31.571999999999999</v>
      </c>
      <c r="R118" s="9"/>
      <c r="S118" s="11"/>
    </row>
    <row r="119" spans="1:19" ht="15.75">
      <c r="A119" s="13">
        <v>45108</v>
      </c>
      <c r="B119" s="8">
        <f>CHOOSE( CONTROL!$C$32, 5.2915, 5.2879) * CHOOSE(CONTROL!$C$15, $D$11, 100%, $F$11)</f>
        <v>5.2915000000000001</v>
      </c>
      <c r="C119" s="8">
        <f>CHOOSE( CONTROL!$C$32, 5.2995, 5.2959) * CHOOSE(CONTROL!$C$15, $D$11, 100%, $F$11)</f>
        <v>5.2995000000000001</v>
      </c>
      <c r="D119" s="8">
        <f>CHOOSE( CONTROL!$C$32, 5.3061, 5.3025) * CHOOSE( CONTROL!$C$15, $D$11, 100%, $F$11)</f>
        <v>5.3060999999999998</v>
      </c>
      <c r="E119" s="12">
        <f>CHOOSE( CONTROL!$C$32, 5.3025, 5.2989) * CHOOSE( CONTROL!$C$15, $D$11, 100%, $F$11)</f>
        <v>5.3025000000000002</v>
      </c>
      <c r="F119" s="4">
        <f>CHOOSE( CONTROL!$C$32, 5.9797, 5.9762) * CHOOSE(CONTROL!$C$15, $D$11, 100%, $F$11)</f>
        <v>5.9797000000000002</v>
      </c>
      <c r="G119" s="8">
        <f>CHOOSE( CONTROL!$C$32, 5.1724, 5.1688) * CHOOSE( CONTROL!$C$15, $D$11, 100%, $F$11)</f>
        <v>5.1723999999999997</v>
      </c>
      <c r="H119" s="4">
        <f>CHOOSE( CONTROL!$C$32, 6.1093, 6.1058) * CHOOSE(CONTROL!$C$15, $D$11, 100%, $F$11)</f>
        <v>6.1093000000000002</v>
      </c>
      <c r="I119" s="8">
        <f>CHOOSE( CONTROL!$C$32, 5.1794, 5.176) * CHOOSE(CONTROL!$C$15, $D$11, 100%, $F$11)</f>
        <v>5.1794000000000002</v>
      </c>
      <c r="J119" s="4">
        <f>CHOOSE( CONTROL!$C$32, 5.084, 5.0806) * CHOOSE(CONTROL!$C$15, $D$11, 100%, $F$11)</f>
        <v>5.0839999999999996</v>
      </c>
      <c r="K119" s="4"/>
      <c r="L119" s="9">
        <v>30.7165</v>
      </c>
      <c r="M119" s="9">
        <v>12.063700000000001</v>
      </c>
      <c r="N119" s="9">
        <v>4.9444999999999997</v>
      </c>
      <c r="O119" s="9">
        <v>0.37409999999999999</v>
      </c>
      <c r="P119" s="9">
        <v>1.2183999999999999</v>
      </c>
      <c r="Q119" s="9">
        <v>32.624400000000001</v>
      </c>
      <c r="R119" s="9"/>
      <c r="S119" s="11"/>
    </row>
    <row r="120" spans="1:19" ht="15.75">
      <c r="A120" s="13">
        <v>45139</v>
      </c>
      <c r="B120" s="8">
        <f>CHOOSE( CONTROL!$C$32, 4.8858, 4.8822) * CHOOSE(CONTROL!$C$15, $D$11, 100%, $F$11)</f>
        <v>4.8857999999999997</v>
      </c>
      <c r="C120" s="8">
        <f>CHOOSE( CONTROL!$C$32, 4.8938, 4.8902) * CHOOSE(CONTROL!$C$15, $D$11, 100%, $F$11)</f>
        <v>4.8937999999999997</v>
      </c>
      <c r="D120" s="8">
        <f>CHOOSE( CONTROL!$C$32, 4.9005, 4.8969) * CHOOSE( CONTROL!$C$15, $D$11, 100%, $F$11)</f>
        <v>4.9005000000000001</v>
      </c>
      <c r="E120" s="12">
        <f>CHOOSE( CONTROL!$C$32, 4.8969, 4.8933) * CHOOSE( CONTROL!$C$15, $D$11, 100%, $F$11)</f>
        <v>4.8968999999999996</v>
      </c>
      <c r="F120" s="4">
        <f>CHOOSE( CONTROL!$C$32, 5.574, 5.5705) * CHOOSE(CONTROL!$C$15, $D$11, 100%, $F$11)</f>
        <v>5.5739999999999998</v>
      </c>
      <c r="G120" s="8">
        <f>CHOOSE( CONTROL!$C$32, 4.7735, 4.77) * CHOOSE( CONTROL!$C$15, $D$11, 100%, $F$11)</f>
        <v>4.7735000000000003</v>
      </c>
      <c r="H120" s="4">
        <f>CHOOSE( CONTROL!$C$32, 5.7104, 5.7069) * CHOOSE(CONTROL!$C$15, $D$11, 100%, $F$11)</f>
        <v>5.7103999999999999</v>
      </c>
      <c r="I120" s="8">
        <f>CHOOSE( CONTROL!$C$32, 4.7875, 4.784) * CHOOSE(CONTROL!$C$15, $D$11, 100%, $F$11)</f>
        <v>4.7874999999999996</v>
      </c>
      <c r="J120" s="4">
        <f>CHOOSE( CONTROL!$C$32, 4.6918, 4.6884) * CHOOSE(CONTROL!$C$15, $D$11, 100%, $F$11)</f>
        <v>4.6917999999999997</v>
      </c>
      <c r="K120" s="4"/>
      <c r="L120" s="9">
        <v>30.7165</v>
      </c>
      <c r="M120" s="9">
        <v>12.063700000000001</v>
      </c>
      <c r="N120" s="9">
        <v>4.9444999999999997</v>
      </c>
      <c r="O120" s="9">
        <v>0.37409999999999999</v>
      </c>
      <c r="P120" s="9">
        <v>1.2183999999999999</v>
      </c>
      <c r="Q120" s="9">
        <v>32.624400000000001</v>
      </c>
      <c r="R120" s="9"/>
      <c r="S120" s="11"/>
    </row>
    <row r="121" spans="1:19" ht="15.75">
      <c r="A121" s="13">
        <v>45170</v>
      </c>
      <c r="B121" s="8">
        <f>CHOOSE( CONTROL!$C$32, 4.7842, 4.7806) * CHOOSE(CONTROL!$C$15, $D$11, 100%, $F$11)</f>
        <v>4.7842000000000002</v>
      </c>
      <c r="C121" s="8">
        <f>CHOOSE( CONTROL!$C$32, 4.7922, 4.7886) * CHOOSE(CONTROL!$C$15, $D$11, 100%, $F$11)</f>
        <v>4.7922000000000002</v>
      </c>
      <c r="D121" s="8">
        <f>CHOOSE( CONTROL!$C$32, 4.7989, 4.7953) * CHOOSE( CONTROL!$C$15, $D$11, 100%, $F$11)</f>
        <v>4.7988999999999997</v>
      </c>
      <c r="E121" s="12">
        <f>CHOOSE( CONTROL!$C$32, 4.7953, 4.7917) * CHOOSE( CONTROL!$C$15, $D$11, 100%, $F$11)</f>
        <v>4.7953000000000001</v>
      </c>
      <c r="F121" s="4">
        <f>CHOOSE( CONTROL!$C$32, 5.4724, 5.4689) * CHOOSE(CONTROL!$C$15, $D$11, 100%, $F$11)</f>
        <v>5.4724000000000004</v>
      </c>
      <c r="G121" s="8">
        <f>CHOOSE( CONTROL!$C$32, 4.6736, 4.6701) * CHOOSE( CONTROL!$C$15, $D$11, 100%, $F$11)</f>
        <v>4.6736000000000004</v>
      </c>
      <c r="H121" s="4">
        <f>CHOOSE( CONTROL!$C$32, 5.6105, 5.607) * CHOOSE(CONTROL!$C$15, $D$11, 100%, $F$11)</f>
        <v>5.6105</v>
      </c>
      <c r="I121" s="8">
        <f>CHOOSE( CONTROL!$C$32, 4.6892, 4.6858) * CHOOSE(CONTROL!$C$15, $D$11, 100%, $F$11)</f>
        <v>4.6891999999999996</v>
      </c>
      <c r="J121" s="4">
        <f>CHOOSE( CONTROL!$C$32, 4.5936, 4.5902) * CHOOSE(CONTROL!$C$15, $D$11, 100%, $F$11)</f>
        <v>4.5936000000000003</v>
      </c>
      <c r="K121" s="4"/>
      <c r="L121" s="9">
        <v>29.7257</v>
      </c>
      <c r="M121" s="9">
        <v>11.6745</v>
      </c>
      <c r="N121" s="9">
        <v>4.7850000000000001</v>
      </c>
      <c r="O121" s="9">
        <v>0.36199999999999999</v>
      </c>
      <c r="P121" s="9">
        <v>1.1791</v>
      </c>
      <c r="Q121" s="9">
        <v>31.571999999999999</v>
      </c>
      <c r="R121" s="9"/>
      <c r="S121" s="11"/>
    </row>
    <row r="122" spans="1:19" ht="15.75">
      <c r="A122" s="13">
        <v>45200</v>
      </c>
      <c r="B122" s="8">
        <f>4.9898 * CHOOSE(CONTROL!$C$15, $D$11, 100%, $F$11)</f>
        <v>4.9897999999999998</v>
      </c>
      <c r="C122" s="8">
        <f>4.9952 * CHOOSE(CONTROL!$C$15, $D$11, 100%, $F$11)</f>
        <v>4.9951999999999996</v>
      </c>
      <c r="D122" s="8">
        <f>5.0067 * CHOOSE( CONTROL!$C$15, $D$11, 100%, $F$11)</f>
        <v>5.0067000000000004</v>
      </c>
      <c r="E122" s="12">
        <f>5.0023 * CHOOSE( CONTROL!$C$15, $D$11, 100%, $F$11)</f>
        <v>5.0023</v>
      </c>
      <c r="F122" s="4">
        <f>5.6798 * CHOOSE(CONTROL!$C$15, $D$11, 100%, $F$11)</f>
        <v>5.6798000000000002</v>
      </c>
      <c r="G122" s="8">
        <f>4.877 * CHOOSE( CONTROL!$C$15, $D$11, 100%, $F$11)</f>
        <v>4.8769999999999998</v>
      </c>
      <c r="H122" s="4">
        <f>5.8144 * CHOOSE(CONTROL!$C$15, $D$11, 100%, $F$11)</f>
        <v>5.8144</v>
      </c>
      <c r="I122" s="8">
        <f>4.8905 * CHOOSE(CONTROL!$C$15, $D$11, 100%, $F$11)</f>
        <v>4.8905000000000003</v>
      </c>
      <c r="J122" s="4">
        <f>4.7941 * CHOOSE(CONTROL!$C$15, $D$11, 100%, $F$11)</f>
        <v>4.7941000000000003</v>
      </c>
      <c r="K122" s="4"/>
      <c r="L122" s="9">
        <v>31.095300000000002</v>
      </c>
      <c r="M122" s="9">
        <v>12.063700000000001</v>
      </c>
      <c r="N122" s="9">
        <v>4.9444999999999997</v>
      </c>
      <c r="O122" s="9">
        <v>0.37409999999999999</v>
      </c>
      <c r="P122" s="9">
        <v>1.2183999999999999</v>
      </c>
      <c r="Q122" s="9">
        <v>32.624400000000001</v>
      </c>
      <c r="R122" s="9"/>
      <c r="S122" s="11"/>
    </row>
    <row r="123" spans="1:19" ht="15.75">
      <c r="A123" s="13">
        <v>45231</v>
      </c>
      <c r="B123" s="8">
        <f>5.3788 * CHOOSE(CONTROL!$C$15, $D$11, 100%, $F$11)</f>
        <v>5.3788</v>
      </c>
      <c r="C123" s="8">
        <f>5.3839 * CHOOSE(CONTROL!$C$15, $D$11, 100%, $F$11)</f>
        <v>5.3838999999999997</v>
      </c>
      <c r="D123" s="8">
        <f>5.3608 * CHOOSE( CONTROL!$C$15, $D$11, 100%, $F$11)</f>
        <v>5.3608000000000002</v>
      </c>
      <c r="E123" s="12">
        <f>5.3687 * CHOOSE( CONTROL!$C$15, $D$11, 100%, $F$11)</f>
        <v>5.3686999999999996</v>
      </c>
      <c r="F123" s="4">
        <f>6.0236 * CHOOSE(CONTROL!$C$15, $D$11, 100%, $F$11)</f>
        <v>6.0236000000000001</v>
      </c>
      <c r="G123" s="8">
        <f>5.2707 * CHOOSE( CONTROL!$C$15, $D$11, 100%, $F$11)</f>
        <v>5.2706999999999997</v>
      </c>
      <c r="H123" s="4">
        <f>6.1525 * CHOOSE(CONTROL!$C$15, $D$11, 100%, $F$11)</f>
        <v>6.1524999999999999</v>
      </c>
      <c r="I123" s="8">
        <f>5.2918 * CHOOSE(CONTROL!$C$15, $D$11, 100%, $F$11)</f>
        <v>5.2918000000000003</v>
      </c>
      <c r="J123" s="4">
        <f>5.1705 * CHOOSE(CONTROL!$C$15, $D$11, 100%, $F$11)</f>
        <v>5.1704999999999997</v>
      </c>
      <c r="K123" s="4"/>
      <c r="L123" s="9">
        <v>28.360600000000002</v>
      </c>
      <c r="M123" s="9">
        <v>11.6745</v>
      </c>
      <c r="N123" s="9">
        <v>4.7850000000000001</v>
      </c>
      <c r="O123" s="9">
        <v>0.36199999999999999</v>
      </c>
      <c r="P123" s="9">
        <v>1.2509999999999999</v>
      </c>
      <c r="Q123" s="9">
        <v>31.571999999999999</v>
      </c>
      <c r="R123" s="9"/>
      <c r="S123" s="11"/>
    </row>
    <row r="124" spans="1:19" ht="15.75">
      <c r="A124" s="13">
        <v>45261</v>
      </c>
      <c r="B124" s="8">
        <f>5.369 * CHOOSE(CONTROL!$C$15, $D$11, 100%, $F$11)</f>
        <v>5.3689999999999998</v>
      </c>
      <c r="C124" s="8">
        <f>5.3741 * CHOOSE(CONTROL!$C$15, $D$11, 100%, $F$11)</f>
        <v>5.3741000000000003</v>
      </c>
      <c r="D124" s="8">
        <f>5.3525 * CHOOSE( CONTROL!$C$15, $D$11, 100%, $F$11)</f>
        <v>5.3525</v>
      </c>
      <c r="E124" s="12">
        <f>5.3599 * CHOOSE( CONTROL!$C$15, $D$11, 100%, $F$11)</f>
        <v>5.3598999999999997</v>
      </c>
      <c r="F124" s="4">
        <f>6.0139 * CHOOSE(CONTROL!$C$15, $D$11, 100%, $F$11)</f>
        <v>6.0138999999999996</v>
      </c>
      <c r="G124" s="8">
        <f>5.2622 * CHOOSE( CONTROL!$C$15, $D$11, 100%, $F$11)</f>
        <v>5.2622</v>
      </c>
      <c r="H124" s="4">
        <f>6.143 * CHOOSE(CONTROL!$C$15, $D$11, 100%, $F$11)</f>
        <v>6.1429999999999998</v>
      </c>
      <c r="I124" s="8">
        <f>5.2867 * CHOOSE(CONTROL!$C$15, $D$11, 100%, $F$11)</f>
        <v>5.2866999999999997</v>
      </c>
      <c r="J124" s="4">
        <f>5.1611 * CHOOSE(CONTROL!$C$15, $D$11, 100%, $F$11)</f>
        <v>5.1611000000000002</v>
      </c>
      <c r="K124" s="4"/>
      <c r="L124" s="9">
        <v>29.306000000000001</v>
      </c>
      <c r="M124" s="9">
        <v>12.063700000000001</v>
      </c>
      <c r="N124" s="9">
        <v>4.9444999999999997</v>
      </c>
      <c r="O124" s="9">
        <v>0.37409999999999999</v>
      </c>
      <c r="P124" s="9">
        <v>1.2927</v>
      </c>
      <c r="Q124" s="9">
        <v>32.624400000000001</v>
      </c>
      <c r="R124" s="9"/>
      <c r="S124" s="11"/>
    </row>
    <row r="125" spans="1:19" ht="15.75">
      <c r="A125" s="13">
        <v>45292</v>
      </c>
      <c r="B125" s="8">
        <f>6.0316 * CHOOSE(CONTROL!$C$15, $D$11, 100%, $F$11)</f>
        <v>6.0316000000000001</v>
      </c>
      <c r="C125" s="8">
        <f>6.0367 * CHOOSE(CONTROL!$C$15, $D$11, 100%, $F$11)</f>
        <v>6.0366999999999997</v>
      </c>
      <c r="D125" s="8">
        <f>6.0108 * CHOOSE( CONTROL!$C$15, $D$11, 100%, $F$11)</f>
        <v>6.0107999999999997</v>
      </c>
      <c r="E125" s="12">
        <f>6.0197 * CHOOSE( CONTROL!$C$15, $D$11, 100%, $F$11)</f>
        <v>6.0197000000000003</v>
      </c>
      <c r="F125" s="4">
        <f>6.6756 * CHOOSE(CONTROL!$C$15, $D$11, 100%, $F$11)</f>
        <v>6.6756000000000002</v>
      </c>
      <c r="G125" s="8">
        <f>5.9074 * CHOOSE( CONTROL!$C$15, $D$11, 100%, $F$11)</f>
        <v>5.9074</v>
      </c>
      <c r="H125" s="4">
        <f>6.7937 * CHOOSE(CONTROL!$C$15, $D$11, 100%, $F$11)</f>
        <v>6.7937000000000003</v>
      </c>
      <c r="I125" s="8">
        <f>5.8981 * CHOOSE(CONTROL!$C$15, $D$11, 100%, $F$11)</f>
        <v>5.8981000000000003</v>
      </c>
      <c r="J125" s="4">
        <f>5.8015 * CHOOSE(CONTROL!$C$15, $D$11, 100%, $F$11)</f>
        <v>5.8014999999999999</v>
      </c>
      <c r="K125" s="4"/>
      <c r="L125" s="9">
        <v>29.306000000000001</v>
      </c>
      <c r="M125" s="9">
        <v>12.063700000000001</v>
      </c>
      <c r="N125" s="9">
        <v>4.9444999999999997</v>
      </c>
      <c r="O125" s="9">
        <v>0.37409999999999999</v>
      </c>
      <c r="P125" s="9">
        <v>1.2927</v>
      </c>
      <c r="Q125" s="9">
        <v>32.440300000000001</v>
      </c>
      <c r="R125" s="9"/>
      <c r="S125" s="11"/>
    </row>
    <row r="126" spans="1:19" ht="15.75">
      <c r="A126" s="13">
        <v>45323</v>
      </c>
      <c r="B126" s="8">
        <f>5.6436 * CHOOSE(CONTROL!$C$15, $D$11, 100%, $F$11)</f>
        <v>5.6436000000000002</v>
      </c>
      <c r="C126" s="8">
        <f>5.6487 * CHOOSE(CONTROL!$C$15, $D$11, 100%, $F$11)</f>
        <v>5.6486999999999998</v>
      </c>
      <c r="D126" s="8">
        <f>5.6231 * CHOOSE( CONTROL!$C$15, $D$11, 100%, $F$11)</f>
        <v>5.6231</v>
      </c>
      <c r="E126" s="12">
        <f>5.6319 * CHOOSE( CONTROL!$C$15, $D$11, 100%, $F$11)</f>
        <v>5.6318999999999999</v>
      </c>
      <c r="F126" s="4">
        <f>6.2876 * CHOOSE(CONTROL!$C$15, $D$11, 100%, $F$11)</f>
        <v>6.2876000000000003</v>
      </c>
      <c r="G126" s="8">
        <f>5.5261 * CHOOSE( CONTROL!$C$15, $D$11, 100%, $F$11)</f>
        <v>5.5260999999999996</v>
      </c>
      <c r="H126" s="4">
        <f>6.4121 * CHOOSE(CONTROL!$C$15, $D$11, 100%, $F$11)</f>
        <v>6.4120999999999997</v>
      </c>
      <c r="I126" s="8">
        <f>5.5236 * CHOOSE(CONTROL!$C$15, $D$11, 100%, $F$11)</f>
        <v>5.5236000000000001</v>
      </c>
      <c r="J126" s="4">
        <f>5.4265 * CHOOSE(CONTROL!$C$15, $D$11, 100%, $F$11)</f>
        <v>5.4264999999999999</v>
      </c>
      <c r="K126" s="4"/>
      <c r="L126" s="9">
        <v>27.415299999999998</v>
      </c>
      <c r="M126" s="9">
        <v>11.285299999999999</v>
      </c>
      <c r="N126" s="9">
        <v>4.6254999999999997</v>
      </c>
      <c r="O126" s="9">
        <v>0.34989999999999999</v>
      </c>
      <c r="P126" s="9">
        <v>1.2093</v>
      </c>
      <c r="Q126" s="9">
        <v>30.347300000000001</v>
      </c>
      <c r="R126" s="9"/>
      <c r="S126" s="11"/>
    </row>
    <row r="127" spans="1:19" ht="15.75">
      <c r="A127" s="13">
        <v>45352</v>
      </c>
      <c r="B127" s="8">
        <f>5.5241 * CHOOSE(CONTROL!$C$15, $D$11, 100%, $F$11)</f>
        <v>5.5240999999999998</v>
      </c>
      <c r="C127" s="8">
        <f>5.5292 * CHOOSE(CONTROL!$C$15, $D$11, 100%, $F$11)</f>
        <v>5.5292000000000003</v>
      </c>
      <c r="D127" s="8">
        <f>5.5035 * CHOOSE( CONTROL!$C$15, $D$11, 100%, $F$11)</f>
        <v>5.5034999999999998</v>
      </c>
      <c r="E127" s="12">
        <f>5.5124 * CHOOSE( CONTROL!$C$15, $D$11, 100%, $F$11)</f>
        <v>5.5124000000000004</v>
      </c>
      <c r="F127" s="4">
        <f>6.1681 * CHOOSE(CONTROL!$C$15, $D$11, 100%, $F$11)</f>
        <v>6.1680999999999999</v>
      </c>
      <c r="G127" s="8">
        <f>5.4085 * CHOOSE( CONTROL!$C$15, $D$11, 100%, $F$11)</f>
        <v>5.4085000000000001</v>
      </c>
      <c r="H127" s="4">
        <f>6.2946 * CHOOSE(CONTROL!$C$15, $D$11, 100%, $F$11)</f>
        <v>6.2946</v>
      </c>
      <c r="I127" s="8">
        <f>5.4078 * CHOOSE(CONTROL!$C$15, $D$11, 100%, $F$11)</f>
        <v>5.4077999999999999</v>
      </c>
      <c r="J127" s="4">
        <f>5.311 * CHOOSE(CONTROL!$C$15, $D$11, 100%, $F$11)</f>
        <v>5.3109999999999999</v>
      </c>
      <c r="K127" s="4"/>
      <c r="L127" s="9">
        <v>29.306000000000001</v>
      </c>
      <c r="M127" s="9">
        <v>12.063700000000001</v>
      </c>
      <c r="N127" s="9">
        <v>4.9444999999999997</v>
      </c>
      <c r="O127" s="9">
        <v>0.37409999999999999</v>
      </c>
      <c r="P127" s="9">
        <v>1.2927</v>
      </c>
      <c r="Q127" s="9">
        <v>32.440300000000001</v>
      </c>
      <c r="R127" s="9"/>
      <c r="S127" s="11"/>
    </row>
    <row r="128" spans="1:19" ht="15.75">
      <c r="A128" s="13">
        <v>45383</v>
      </c>
      <c r="B128" s="8">
        <f>5.6084 * CHOOSE(CONTROL!$C$15, $D$11, 100%, $F$11)</f>
        <v>5.6083999999999996</v>
      </c>
      <c r="C128" s="8">
        <f>5.6129 * CHOOSE(CONTROL!$C$15, $D$11, 100%, $F$11)</f>
        <v>5.6128999999999998</v>
      </c>
      <c r="D128" s="8">
        <f>5.6239 * CHOOSE( CONTROL!$C$15, $D$11, 100%, $F$11)</f>
        <v>5.6238999999999999</v>
      </c>
      <c r="E128" s="12">
        <f>5.6198 * CHOOSE( CONTROL!$C$15, $D$11, 100%, $F$11)</f>
        <v>5.6197999999999997</v>
      </c>
      <c r="F128" s="4">
        <f>6.298 * CHOOSE(CONTROL!$C$15, $D$11, 100%, $F$11)</f>
        <v>6.298</v>
      </c>
      <c r="G128" s="8">
        <f>5.4835 * CHOOSE( CONTROL!$C$15, $D$11, 100%, $F$11)</f>
        <v>5.4835000000000003</v>
      </c>
      <c r="H128" s="4">
        <f>6.4223 * CHOOSE(CONTROL!$C$15, $D$11, 100%, $F$11)</f>
        <v>6.4222999999999999</v>
      </c>
      <c r="I128" s="8">
        <f>5.4836 * CHOOSE(CONTROL!$C$15, $D$11, 100%, $F$11)</f>
        <v>5.4836</v>
      </c>
      <c r="J128" s="4">
        <f>5.3917 * CHOOSE(CONTROL!$C$15, $D$11, 100%, $F$11)</f>
        <v>5.3917000000000002</v>
      </c>
      <c r="K128" s="4"/>
      <c r="L128" s="9">
        <v>30.092199999999998</v>
      </c>
      <c r="M128" s="9">
        <v>11.6745</v>
      </c>
      <c r="N128" s="9">
        <v>4.7850000000000001</v>
      </c>
      <c r="O128" s="9">
        <v>0.36199999999999999</v>
      </c>
      <c r="P128" s="9">
        <v>1.1791</v>
      </c>
      <c r="Q128" s="9">
        <v>31.393799999999999</v>
      </c>
      <c r="R128" s="9"/>
      <c r="S128" s="11"/>
    </row>
    <row r="129" spans="1:19" ht="15.75">
      <c r="A129" s="13">
        <v>45413</v>
      </c>
      <c r="B129" s="8">
        <f>CHOOSE( CONTROL!$C$32, 5.7619, 5.7583) * CHOOSE(CONTROL!$C$15, $D$11, 100%, $F$11)</f>
        <v>5.7618999999999998</v>
      </c>
      <c r="C129" s="8">
        <f>CHOOSE( CONTROL!$C$32, 5.7699, 5.7664) * CHOOSE(CONTROL!$C$15, $D$11, 100%, $F$11)</f>
        <v>5.7698999999999998</v>
      </c>
      <c r="D129" s="8">
        <f>CHOOSE( CONTROL!$C$32, 5.7759, 5.7724) * CHOOSE( CONTROL!$C$15, $D$11, 100%, $F$11)</f>
        <v>5.7759</v>
      </c>
      <c r="E129" s="12">
        <f>CHOOSE( CONTROL!$C$32, 5.7725, 5.769) * CHOOSE( CONTROL!$C$15, $D$11, 100%, $F$11)</f>
        <v>5.7725</v>
      </c>
      <c r="F129" s="4">
        <f>CHOOSE( CONTROL!$C$32, 6.4502, 6.4466) * CHOOSE(CONTROL!$C$15, $D$11, 100%, $F$11)</f>
        <v>6.4501999999999997</v>
      </c>
      <c r="G129" s="8">
        <f>CHOOSE( CONTROL!$C$32, 5.6341, 5.6306) * CHOOSE( CONTROL!$C$15, $D$11, 100%, $F$11)</f>
        <v>5.6341000000000001</v>
      </c>
      <c r="H129" s="4">
        <f>CHOOSE( CONTROL!$C$32, 6.572, 6.5685) * CHOOSE(CONTROL!$C$15, $D$11, 100%, $F$11)</f>
        <v>6.5720000000000001</v>
      </c>
      <c r="I129" s="8">
        <f>CHOOSE( CONTROL!$C$32, 5.6316, 5.6282) * CHOOSE(CONTROL!$C$15, $D$11, 100%, $F$11)</f>
        <v>5.6315999999999997</v>
      </c>
      <c r="J129" s="4">
        <f>CHOOSE( CONTROL!$C$32, 5.5388, 5.5354) * CHOOSE(CONTROL!$C$15, $D$11, 100%, $F$11)</f>
        <v>5.5388000000000002</v>
      </c>
      <c r="K129" s="4"/>
      <c r="L129" s="9">
        <v>30.7165</v>
      </c>
      <c r="M129" s="9">
        <v>12.063700000000001</v>
      </c>
      <c r="N129" s="9">
        <v>4.9444999999999997</v>
      </c>
      <c r="O129" s="9">
        <v>0.37409999999999999</v>
      </c>
      <c r="P129" s="9">
        <v>1.2183999999999999</v>
      </c>
      <c r="Q129" s="9">
        <v>32.440300000000001</v>
      </c>
      <c r="R129" s="9"/>
      <c r="S129" s="11"/>
    </row>
    <row r="130" spans="1:19" ht="15.75">
      <c r="A130" s="13">
        <v>45444</v>
      </c>
      <c r="B130" s="8">
        <f>CHOOSE( CONTROL!$C$32, 5.6698, 5.6663) * CHOOSE(CONTROL!$C$15, $D$11, 100%, $F$11)</f>
        <v>5.6698000000000004</v>
      </c>
      <c r="C130" s="8">
        <f>CHOOSE( CONTROL!$C$32, 5.6779, 5.6743) * CHOOSE(CONTROL!$C$15, $D$11, 100%, $F$11)</f>
        <v>5.6779000000000002</v>
      </c>
      <c r="D130" s="8">
        <f>CHOOSE( CONTROL!$C$32, 5.6841, 5.6806) * CHOOSE( CONTROL!$C$15, $D$11, 100%, $F$11)</f>
        <v>5.6840999999999999</v>
      </c>
      <c r="E130" s="12">
        <f>CHOOSE( CONTROL!$C$32, 5.6806, 5.6771) * CHOOSE( CONTROL!$C$15, $D$11, 100%, $F$11)</f>
        <v>5.6806000000000001</v>
      </c>
      <c r="F130" s="4">
        <f>CHOOSE( CONTROL!$C$32, 6.3581, 6.3546) * CHOOSE(CONTROL!$C$15, $D$11, 100%, $F$11)</f>
        <v>6.3581000000000003</v>
      </c>
      <c r="G130" s="8">
        <f>CHOOSE( CONTROL!$C$32, 5.544, 5.5405) * CHOOSE( CONTROL!$C$15, $D$11, 100%, $F$11)</f>
        <v>5.5439999999999996</v>
      </c>
      <c r="H130" s="4">
        <f>CHOOSE( CONTROL!$C$32, 6.4815, 6.4779) * CHOOSE(CONTROL!$C$15, $D$11, 100%, $F$11)</f>
        <v>6.4814999999999996</v>
      </c>
      <c r="I130" s="8">
        <f>CHOOSE( CONTROL!$C$32, 5.5439, 5.5405) * CHOOSE(CONTROL!$C$15, $D$11, 100%, $F$11)</f>
        <v>5.5438999999999998</v>
      </c>
      <c r="J130" s="4">
        <f>CHOOSE( CONTROL!$C$32, 5.4498, 5.4464) * CHOOSE(CONTROL!$C$15, $D$11, 100%, $F$11)</f>
        <v>5.4497999999999998</v>
      </c>
      <c r="K130" s="4"/>
      <c r="L130" s="9">
        <v>29.7257</v>
      </c>
      <c r="M130" s="9">
        <v>11.6745</v>
      </c>
      <c r="N130" s="9">
        <v>4.7850000000000001</v>
      </c>
      <c r="O130" s="9">
        <v>0.36199999999999999</v>
      </c>
      <c r="P130" s="9">
        <v>1.1791</v>
      </c>
      <c r="Q130" s="9">
        <v>31.393799999999999</v>
      </c>
      <c r="R130" s="9"/>
      <c r="S130" s="11"/>
    </row>
    <row r="131" spans="1:19" ht="15.75">
      <c r="A131" s="13">
        <v>45474</v>
      </c>
      <c r="B131" s="8">
        <f>CHOOSE( CONTROL!$C$32, 5.9123, 5.9087) * CHOOSE(CONTROL!$C$15, $D$11, 100%, $F$11)</f>
        <v>5.9123000000000001</v>
      </c>
      <c r="C131" s="8">
        <f>CHOOSE( CONTROL!$C$32, 5.9203, 5.9167) * CHOOSE(CONTROL!$C$15, $D$11, 100%, $F$11)</f>
        <v>5.9203000000000001</v>
      </c>
      <c r="D131" s="8">
        <f>CHOOSE( CONTROL!$C$32, 5.9269, 5.9233) * CHOOSE( CONTROL!$C$15, $D$11, 100%, $F$11)</f>
        <v>5.9268999999999998</v>
      </c>
      <c r="E131" s="12">
        <f>CHOOSE( CONTROL!$C$32, 5.9233, 5.9197) * CHOOSE( CONTROL!$C$15, $D$11, 100%, $F$11)</f>
        <v>5.9233000000000002</v>
      </c>
      <c r="F131" s="4">
        <f>CHOOSE( CONTROL!$C$32, 6.6005, 6.597) * CHOOSE(CONTROL!$C$15, $D$11, 100%, $F$11)</f>
        <v>6.6005000000000003</v>
      </c>
      <c r="G131" s="8">
        <f>CHOOSE( CONTROL!$C$32, 5.7829, 5.7794) * CHOOSE( CONTROL!$C$15, $D$11, 100%, $F$11)</f>
        <v>5.7828999999999997</v>
      </c>
      <c r="H131" s="4">
        <f>CHOOSE( CONTROL!$C$32, 6.7199, 6.7164) * CHOOSE(CONTROL!$C$15, $D$11, 100%, $F$11)</f>
        <v>6.7199</v>
      </c>
      <c r="I131" s="8">
        <f>CHOOSE( CONTROL!$C$32, 5.7799, 5.7764) * CHOOSE(CONTROL!$C$15, $D$11, 100%, $F$11)</f>
        <v>5.7798999999999996</v>
      </c>
      <c r="J131" s="4">
        <f>CHOOSE( CONTROL!$C$32, 5.6842, 5.6807) * CHOOSE(CONTROL!$C$15, $D$11, 100%, $F$11)</f>
        <v>5.6841999999999997</v>
      </c>
      <c r="K131" s="4"/>
      <c r="L131" s="9">
        <v>30.7165</v>
      </c>
      <c r="M131" s="9">
        <v>12.063700000000001</v>
      </c>
      <c r="N131" s="9">
        <v>4.9444999999999997</v>
      </c>
      <c r="O131" s="9">
        <v>0.37409999999999999</v>
      </c>
      <c r="P131" s="9">
        <v>1.2183999999999999</v>
      </c>
      <c r="Q131" s="9">
        <v>32.440300000000001</v>
      </c>
      <c r="R131" s="9"/>
      <c r="S131" s="11"/>
    </row>
    <row r="132" spans="1:19" ht="15.75">
      <c r="A132" s="13">
        <v>45505</v>
      </c>
      <c r="B132" s="8">
        <f>CHOOSE( CONTROL!$C$32, 5.4587, 5.4551) * CHOOSE(CONTROL!$C$15, $D$11, 100%, $F$11)</f>
        <v>5.4587000000000003</v>
      </c>
      <c r="C132" s="8">
        <f>CHOOSE( CONTROL!$C$32, 5.4667, 5.4631) * CHOOSE(CONTROL!$C$15, $D$11, 100%, $F$11)</f>
        <v>5.4667000000000003</v>
      </c>
      <c r="D132" s="8">
        <f>CHOOSE( CONTROL!$C$32, 5.4734, 5.4698) * CHOOSE( CONTROL!$C$15, $D$11, 100%, $F$11)</f>
        <v>5.4733999999999998</v>
      </c>
      <c r="E132" s="12">
        <f>CHOOSE( CONTROL!$C$32, 5.4698, 5.4662) * CHOOSE( CONTROL!$C$15, $D$11, 100%, $F$11)</f>
        <v>5.4698000000000002</v>
      </c>
      <c r="F132" s="4">
        <f>CHOOSE( CONTROL!$C$32, 6.1469, 6.1434) * CHOOSE(CONTROL!$C$15, $D$11, 100%, $F$11)</f>
        <v>6.1468999999999996</v>
      </c>
      <c r="G132" s="8">
        <f>CHOOSE( CONTROL!$C$32, 5.3369, 5.3334) * CHOOSE( CONTROL!$C$15, $D$11, 100%, $F$11)</f>
        <v>5.3369</v>
      </c>
      <c r="H132" s="4">
        <f>CHOOSE( CONTROL!$C$32, 6.2738, 6.2703) * CHOOSE(CONTROL!$C$15, $D$11, 100%, $F$11)</f>
        <v>6.2737999999999996</v>
      </c>
      <c r="I132" s="8">
        <f>CHOOSE( CONTROL!$C$32, 5.3416, 5.3381) * CHOOSE(CONTROL!$C$15, $D$11, 100%, $F$11)</f>
        <v>5.3415999999999997</v>
      </c>
      <c r="J132" s="4">
        <f>CHOOSE( CONTROL!$C$32, 5.2457, 5.2422) * CHOOSE(CONTROL!$C$15, $D$11, 100%, $F$11)</f>
        <v>5.2457000000000003</v>
      </c>
      <c r="K132" s="4"/>
      <c r="L132" s="9">
        <v>30.7165</v>
      </c>
      <c r="M132" s="9">
        <v>12.063700000000001</v>
      </c>
      <c r="N132" s="9">
        <v>4.9444999999999997</v>
      </c>
      <c r="O132" s="9">
        <v>0.37409999999999999</v>
      </c>
      <c r="P132" s="9">
        <v>1.2183999999999999</v>
      </c>
      <c r="Q132" s="9">
        <v>32.440300000000001</v>
      </c>
      <c r="R132" s="9"/>
      <c r="S132" s="11"/>
    </row>
    <row r="133" spans="1:19" ht="15.75">
      <c r="A133" s="13">
        <v>45536</v>
      </c>
      <c r="B133" s="8">
        <f>CHOOSE( CONTROL!$C$32, 5.3451, 5.3415) * CHOOSE(CONTROL!$C$15, $D$11, 100%, $F$11)</f>
        <v>5.3451000000000004</v>
      </c>
      <c r="C133" s="8">
        <f>CHOOSE( CONTROL!$C$32, 5.3531, 5.3495) * CHOOSE(CONTROL!$C$15, $D$11, 100%, $F$11)</f>
        <v>5.3531000000000004</v>
      </c>
      <c r="D133" s="8">
        <f>CHOOSE( CONTROL!$C$32, 5.3598, 5.3562) * CHOOSE( CONTROL!$C$15, $D$11, 100%, $F$11)</f>
        <v>5.3597999999999999</v>
      </c>
      <c r="E133" s="12">
        <f>CHOOSE( CONTROL!$C$32, 5.3562, 5.3526) * CHOOSE( CONTROL!$C$15, $D$11, 100%, $F$11)</f>
        <v>5.3562000000000003</v>
      </c>
      <c r="F133" s="4">
        <f>CHOOSE( CONTROL!$C$32, 6.0333, 6.0298) * CHOOSE(CONTROL!$C$15, $D$11, 100%, $F$11)</f>
        <v>6.0332999999999997</v>
      </c>
      <c r="G133" s="8">
        <f>CHOOSE( CONTROL!$C$32, 5.2252, 5.2217) * CHOOSE( CONTROL!$C$15, $D$11, 100%, $F$11)</f>
        <v>5.2252000000000001</v>
      </c>
      <c r="H133" s="4">
        <f>CHOOSE( CONTROL!$C$32, 6.1621, 6.1586) * CHOOSE(CONTROL!$C$15, $D$11, 100%, $F$11)</f>
        <v>6.1620999999999997</v>
      </c>
      <c r="I133" s="8">
        <f>CHOOSE( CONTROL!$C$32, 5.2317, 5.2283) * CHOOSE(CONTROL!$C$15, $D$11, 100%, $F$11)</f>
        <v>5.2317</v>
      </c>
      <c r="J133" s="4">
        <f>CHOOSE( CONTROL!$C$32, 5.1358, 5.1324) * CHOOSE(CONTROL!$C$15, $D$11, 100%, $F$11)</f>
        <v>5.1357999999999997</v>
      </c>
      <c r="K133" s="4"/>
      <c r="L133" s="9">
        <v>29.7257</v>
      </c>
      <c r="M133" s="9">
        <v>11.6745</v>
      </c>
      <c r="N133" s="9">
        <v>4.7850000000000001</v>
      </c>
      <c r="O133" s="9">
        <v>0.36199999999999999</v>
      </c>
      <c r="P133" s="9">
        <v>1.1791</v>
      </c>
      <c r="Q133" s="9">
        <v>31.393799999999999</v>
      </c>
      <c r="R133" s="9"/>
      <c r="S133" s="11"/>
    </row>
    <row r="134" spans="1:19" ht="15.75">
      <c r="A134" s="13">
        <v>45566</v>
      </c>
      <c r="B134" s="8">
        <f>5.5756 * CHOOSE(CONTROL!$C$15, $D$11, 100%, $F$11)</f>
        <v>5.5755999999999997</v>
      </c>
      <c r="C134" s="8">
        <f>5.581 * CHOOSE(CONTROL!$C$15, $D$11, 100%, $F$11)</f>
        <v>5.5810000000000004</v>
      </c>
      <c r="D134" s="8">
        <f>5.5925 * CHOOSE( CONTROL!$C$15, $D$11, 100%, $F$11)</f>
        <v>5.5925000000000002</v>
      </c>
      <c r="E134" s="12">
        <f>5.5881 * CHOOSE( CONTROL!$C$15, $D$11, 100%, $F$11)</f>
        <v>5.5880999999999998</v>
      </c>
      <c r="F134" s="4">
        <f>6.2656 * CHOOSE(CONTROL!$C$15, $D$11, 100%, $F$11)</f>
        <v>6.2656000000000001</v>
      </c>
      <c r="G134" s="8">
        <f>5.4532 * CHOOSE( CONTROL!$C$15, $D$11, 100%, $F$11)</f>
        <v>5.4531999999999998</v>
      </c>
      <c r="H134" s="4">
        <f>6.3905 * CHOOSE(CONTROL!$C$15, $D$11, 100%, $F$11)</f>
        <v>6.3905000000000003</v>
      </c>
      <c r="I134" s="8">
        <f>5.4571 * CHOOSE(CONTROL!$C$15, $D$11, 100%, $F$11)</f>
        <v>5.4570999999999996</v>
      </c>
      <c r="J134" s="4">
        <f>5.3604 * CHOOSE(CONTROL!$C$15, $D$11, 100%, $F$11)</f>
        <v>5.3604000000000003</v>
      </c>
      <c r="K134" s="4"/>
      <c r="L134" s="9">
        <v>31.095300000000002</v>
      </c>
      <c r="M134" s="9">
        <v>12.063700000000001</v>
      </c>
      <c r="N134" s="9">
        <v>4.9444999999999997</v>
      </c>
      <c r="O134" s="9">
        <v>0.37409999999999999</v>
      </c>
      <c r="P134" s="9">
        <v>1.2183999999999999</v>
      </c>
      <c r="Q134" s="9">
        <v>32.440300000000001</v>
      </c>
      <c r="R134" s="9"/>
      <c r="S134" s="11"/>
    </row>
    <row r="135" spans="1:19" ht="15.75">
      <c r="A135" s="13">
        <v>45597</v>
      </c>
      <c r="B135" s="8">
        <f>6.0106 * CHOOSE(CONTROL!$C$15, $D$11, 100%, $F$11)</f>
        <v>6.0106000000000002</v>
      </c>
      <c r="C135" s="8">
        <f>6.0157 * CHOOSE(CONTROL!$C$15, $D$11, 100%, $F$11)</f>
        <v>6.0156999999999998</v>
      </c>
      <c r="D135" s="8">
        <f>5.9926 * CHOOSE( CONTROL!$C$15, $D$11, 100%, $F$11)</f>
        <v>5.9926000000000004</v>
      </c>
      <c r="E135" s="12">
        <f>6.0005 * CHOOSE( CONTROL!$C$15, $D$11, 100%, $F$11)</f>
        <v>6.0004999999999997</v>
      </c>
      <c r="F135" s="4">
        <f>6.6555 * CHOOSE(CONTROL!$C$15, $D$11, 100%, $F$11)</f>
        <v>6.6555</v>
      </c>
      <c r="G135" s="8">
        <f>5.8921 * CHOOSE( CONTROL!$C$15, $D$11, 100%, $F$11)</f>
        <v>5.8921000000000001</v>
      </c>
      <c r="H135" s="4">
        <f>6.7739 * CHOOSE(CONTROL!$C$15, $D$11, 100%, $F$11)</f>
        <v>6.7739000000000003</v>
      </c>
      <c r="I135" s="8">
        <f>5.9028 * CHOOSE(CONTROL!$C$15, $D$11, 100%, $F$11)</f>
        <v>5.9028</v>
      </c>
      <c r="J135" s="4">
        <f>5.7812 * CHOOSE(CONTROL!$C$15, $D$11, 100%, $F$11)</f>
        <v>5.7812000000000001</v>
      </c>
      <c r="K135" s="4"/>
      <c r="L135" s="9">
        <v>28.360600000000002</v>
      </c>
      <c r="M135" s="9">
        <v>11.6745</v>
      </c>
      <c r="N135" s="9">
        <v>4.7850000000000001</v>
      </c>
      <c r="O135" s="9">
        <v>0.36199999999999999</v>
      </c>
      <c r="P135" s="9">
        <v>1.2509999999999999</v>
      </c>
      <c r="Q135" s="9">
        <v>31.393799999999999</v>
      </c>
      <c r="R135" s="9"/>
      <c r="S135" s="11"/>
    </row>
    <row r="136" spans="1:19" ht="15.75">
      <c r="A136" s="13">
        <v>45627</v>
      </c>
      <c r="B136" s="8">
        <f>5.9997 * CHOOSE(CONTROL!$C$15, $D$11, 100%, $F$11)</f>
        <v>5.9996999999999998</v>
      </c>
      <c r="C136" s="8">
        <f>6.0048 * CHOOSE(CONTROL!$C$15, $D$11, 100%, $F$11)</f>
        <v>6.0048000000000004</v>
      </c>
      <c r="D136" s="8">
        <f>5.9831 * CHOOSE( CONTROL!$C$15, $D$11, 100%, $F$11)</f>
        <v>5.9831000000000003</v>
      </c>
      <c r="E136" s="12">
        <f>5.9905 * CHOOSE( CONTROL!$C$15, $D$11, 100%, $F$11)</f>
        <v>5.9904999999999999</v>
      </c>
      <c r="F136" s="4">
        <f>6.6446 * CHOOSE(CONTROL!$C$15, $D$11, 100%, $F$11)</f>
        <v>6.6445999999999996</v>
      </c>
      <c r="G136" s="8">
        <f>5.8824 * CHOOSE( CONTROL!$C$15, $D$11, 100%, $F$11)</f>
        <v>5.8823999999999996</v>
      </c>
      <c r="H136" s="4">
        <f>6.7632 * CHOOSE(CONTROL!$C$15, $D$11, 100%, $F$11)</f>
        <v>6.7632000000000003</v>
      </c>
      <c r="I136" s="8">
        <f>5.8967 * CHOOSE(CONTROL!$C$15, $D$11, 100%, $F$11)</f>
        <v>5.8967000000000001</v>
      </c>
      <c r="J136" s="4">
        <f>5.7707 * CHOOSE(CONTROL!$C$15, $D$11, 100%, $F$11)</f>
        <v>5.7706999999999997</v>
      </c>
      <c r="K136" s="4"/>
      <c r="L136" s="9">
        <v>29.306000000000001</v>
      </c>
      <c r="M136" s="9">
        <v>12.063700000000001</v>
      </c>
      <c r="N136" s="9">
        <v>4.9444999999999997</v>
      </c>
      <c r="O136" s="9">
        <v>0.37409999999999999</v>
      </c>
      <c r="P136" s="9">
        <v>1.2927</v>
      </c>
      <c r="Q136" s="9">
        <v>32.440300000000001</v>
      </c>
      <c r="R136" s="9"/>
      <c r="S136" s="11"/>
    </row>
    <row r="137" spans="1:19" ht="15.75">
      <c r="A137" s="13">
        <v>45658</v>
      </c>
      <c r="B137" s="8">
        <f>6.0206 * CHOOSE(CONTROL!$C$15, $D$11, 100%, $F$11)</f>
        <v>6.0206</v>
      </c>
      <c r="C137" s="8">
        <f>6.0258 * CHOOSE(CONTROL!$C$15, $D$11, 100%, $F$11)</f>
        <v>6.0258000000000003</v>
      </c>
      <c r="D137" s="8">
        <f>5.9999 * CHOOSE( CONTROL!$C$15, $D$11, 100%, $F$11)</f>
        <v>5.9999000000000002</v>
      </c>
      <c r="E137" s="12">
        <f>6.0088 * CHOOSE( CONTROL!$C$15, $D$11, 100%, $F$11)</f>
        <v>6.0087999999999999</v>
      </c>
      <c r="F137" s="4">
        <f>6.6647 * CHOOSE(CONTROL!$C$15, $D$11, 100%, $F$11)</f>
        <v>6.6646999999999998</v>
      </c>
      <c r="G137" s="8">
        <f>5.8967 * CHOOSE( CONTROL!$C$15, $D$11, 100%, $F$11)</f>
        <v>5.8967000000000001</v>
      </c>
      <c r="H137" s="4">
        <f>6.7829 * CHOOSE(CONTROL!$C$15, $D$11, 100%, $F$11)</f>
        <v>6.7828999999999997</v>
      </c>
      <c r="I137" s="8">
        <f>5.8875 * CHOOSE(CONTROL!$C$15, $D$11, 100%, $F$11)</f>
        <v>5.8875000000000002</v>
      </c>
      <c r="J137" s="4">
        <f>5.791 * CHOOSE(CONTROL!$C$15, $D$11, 100%, $F$11)</f>
        <v>5.7910000000000004</v>
      </c>
      <c r="K137" s="4"/>
      <c r="L137" s="9">
        <v>29.306000000000001</v>
      </c>
      <c r="M137" s="9">
        <v>12.063700000000001</v>
      </c>
      <c r="N137" s="9">
        <v>4.9444999999999997</v>
      </c>
      <c r="O137" s="9">
        <v>0.37409999999999999</v>
      </c>
      <c r="P137" s="9">
        <v>1.2927</v>
      </c>
      <c r="Q137" s="9">
        <v>32.254300000000001</v>
      </c>
      <c r="R137" s="9"/>
      <c r="S137" s="11"/>
    </row>
    <row r="138" spans="1:19" ht="15.75">
      <c r="A138" s="13">
        <v>45689</v>
      </c>
      <c r="B138" s="8">
        <f>5.6334 * CHOOSE(CONTROL!$C$15, $D$11, 100%, $F$11)</f>
        <v>5.6334</v>
      </c>
      <c r="C138" s="8">
        <f>5.6385 * CHOOSE(CONTROL!$C$15, $D$11, 100%, $F$11)</f>
        <v>5.6384999999999996</v>
      </c>
      <c r="D138" s="8">
        <f>5.6129 * CHOOSE( CONTROL!$C$15, $D$11, 100%, $F$11)</f>
        <v>5.6128999999999998</v>
      </c>
      <c r="E138" s="12">
        <f>5.6217 * CHOOSE( CONTROL!$C$15, $D$11, 100%, $F$11)</f>
        <v>5.6216999999999997</v>
      </c>
      <c r="F138" s="4">
        <f>6.2774 * CHOOSE(CONTROL!$C$15, $D$11, 100%, $F$11)</f>
        <v>6.2774000000000001</v>
      </c>
      <c r="G138" s="8">
        <f>5.516 * CHOOSE( CONTROL!$C$15, $D$11, 100%, $F$11)</f>
        <v>5.516</v>
      </c>
      <c r="H138" s="4">
        <f>6.4021 * CHOOSE(CONTROL!$C$15, $D$11, 100%, $F$11)</f>
        <v>6.4020999999999999</v>
      </c>
      <c r="I138" s="8">
        <f>5.5137 * CHOOSE(CONTROL!$C$15, $D$11, 100%, $F$11)</f>
        <v>5.5137</v>
      </c>
      <c r="J138" s="4">
        <f>5.4166 * CHOOSE(CONTROL!$C$15, $D$11, 100%, $F$11)</f>
        <v>5.4165999999999999</v>
      </c>
      <c r="K138" s="4"/>
      <c r="L138" s="9">
        <v>26.469899999999999</v>
      </c>
      <c r="M138" s="9">
        <v>10.8962</v>
      </c>
      <c r="N138" s="9">
        <v>4.4660000000000002</v>
      </c>
      <c r="O138" s="9">
        <v>0.33789999999999998</v>
      </c>
      <c r="P138" s="9">
        <v>1.1676</v>
      </c>
      <c r="Q138" s="9">
        <v>29.132899999999999</v>
      </c>
      <c r="R138" s="9"/>
      <c r="S138" s="11"/>
    </row>
    <row r="139" spans="1:19" ht="15.75">
      <c r="A139" s="13">
        <v>45717</v>
      </c>
      <c r="B139" s="8">
        <f>5.5141 * CHOOSE(CONTROL!$C$15, $D$11, 100%, $F$11)</f>
        <v>5.5141</v>
      </c>
      <c r="C139" s="8">
        <f>5.5192 * CHOOSE(CONTROL!$C$15, $D$11, 100%, $F$11)</f>
        <v>5.5191999999999997</v>
      </c>
      <c r="D139" s="8">
        <f>5.4935 * CHOOSE( CONTROL!$C$15, $D$11, 100%, $F$11)</f>
        <v>5.4935</v>
      </c>
      <c r="E139" s="12">
        <f>5.5024 * CHOOSE( CONTROL!$C$15, $D$11, 100%, $F$11)</f>
        <v>5.5023999999999997</v>
      </c>
      <c r="F139" s="4">
        <f>6.1581 * CHOOSE(CONTROL!$C$15, $D$11, 100%, $F$11)</f>
        <v>6.1581000000000001</v>
      </c>
      <c r="G139" s="8">
        <f>5.3987 * CHOOSE( CONTROL!$C$15, $D$11, 100%, $F$11)</f>
        <v>5.3986999999999998</v>
      </c>
      <c r="H139" s="4">
        <f>6.2848 * CHOOSE(CONTROL!$C$15, $D$11, 100%, $F$11)</f>
        <v>6.2847999999999997</v>
      </c>
      <c r="I139" s="8">
        <f>5.3981 * CHOOSE(CONTROL!$C$15, $D$11, 100%, $F$11)</f>
        <v>5.3981000000000003</v>
      </c>
      <c r="J139" s="4">
        <f>5.3013 * CHOOSE(CONTROL!$C$15, $D$11, 100%, $F$11)</f>
        <v>5.3013000000000003</v>
      </c>
      <c r="K139" s="4"/>
      <c r="L139" s="9">
        <v>29.306000000000001</v>
      </c>
      <c r="M139" s="9">
        <v>12.063700000000001</v>
      </c>
      <c r="N139" s="9">
        <v>4.9444999999999997</v>
      </c>
      <c r="O139" s="9">
        <v>0.37409999999999999</v>
      </c>
      <c r="P139" s="9">
        <v>1.2927</v>
      </c>
      <c r="Q139" s="9">
        <v>32.254300000000001</v>
      </c>
      <c r="R139" s="9"/>
      <c r="S139" s="11"/>
    </row>
    <row r="140" spans="1:19" ht="15.75">
      <c r="A140" s="13">
        <v>45748</v>
      </c>
      <c r="B140" s="8">
        <f>5.5982 * CHOOSE(CONTROL!$C$15, $D$11, 100%, $F$11)</f>
        <v>5.5982000000000003</v>
      </c>
      <c r="C140" s="8">
        <f>5.6028 * CHOOSE(CONTROL!$C$15, $D$11, 100%, $F$11)</f>
        <v>5.6028000000000002</v>
      </c>
      <c r="D140" s="8">
        <f>5.6138 * CHOOSE( CONTROL!$C$15, $D$11, 100%, $F$11)</f>
        <v>5.6138000000000003</v>
      </c>
      <c r="E140" s="12">
        <f>5.6096 * CHOOSE( CONTROL!$C$15, $D$11, 100%, $F$11)</f>
        <v>5.6096000000000004</v>
      </c>
      <c r="F140" s="4">
        <f>6.2878 * CHOOSE(CONTROL!$C$15, $D$11, 100%, $F$11)</f>
        <v>6.2877999999999998</v>
      </c>
      <c r="G140" s="8">
        <f>5.4735 * CHOOSE( CONTROL!$C$15, $D$11, 100%, $F$11)</f>
        <v>5.4734999999999996</v>
      </c>
      <c r="H140" s="4">
        <f>6.4123 * CHOOSE(CONTROL!$C$15, $D$11, 100%, $F$11)</f>
        <v>6.4123000000000001</v>
      </c>
      <c r="I140" s="8">
        <f>5.4737 * CHOOSE(CONTROL!$C$15, $D$11, 100%, $F$11)</f>
        <v>5.4737</v>
      </c>
      <c r="J140" s="4">
        <f>5.3819 * CHOOSE(CONTROL!$C$15, $D$11, 100%, $F$11)</f>
        <v>5.3818999999999999</v>
      </c>
      <c r="K140" s="4"/>
      <c r="L140" s="9">
        <v>30.092199999999998</v>
      </c>
      <c r="M140" s="9">
        <v>11.6745</v>
      </c>
      <c r="N140" s="9">
        <v>4.7850000000000001</v>
      </c>
      <c r="O140" s="9">
        <v>0.36199999999999999</v>
      </c>
      <c r="P140" s="9">
        <v>1.1791</v>
      </c>
      <c r="Q140" s="9">
        <v>31.213799999999999</v>
      </c>
      <c r="R140" s="9"/>
      <c r="S140" s="11"/>
    </row>
    <row r="141" spans="1:19" ht="15.75">
      <c r="A141" s="13">
        <v>45778</v>
      </c>
      <c r="B141" s="8">
        <f>CHOOSE( CONTROL!$C$32, 5.7515, 5.7479) * CHOOSE(CONTROL!$C$15, $D$11, 100%, $F$11)</f>
        <v>5.7515000000000001</v>
      </c>
      <c r="C141" s="8">
        <f>CHOOSE( CONTROL!$C$32, 5.7595, 5.7559) * CHOOSE(CONTROL!$C$15, $D$11, 100%, $F$11)</f>
        <v>5.7595000000000001</v>
      </c>
      <c r="D141" s="8">
        <f>CHOOSE( CONTROL!$C$32, 5.7655, 5.7619) * CHOOSE( CONTROL!$C$15, $D$11, 100%, $F$11)</f>
        <v>5.7655000000000003</v>
      </c>
      <c r="E141" s="12">
        <f>CHOOSE( CONTROL!$C$32, 5.7621, 5.7585) * CHOOSE( CONTROL!$C$15, $D$11, 100%, $F$11)</f>
        <v>5.7621000000000002</v>
      </c>
      <c r="F141" s="4">
        <f>CHOOSE( CONTROL!$C$32, 6.4397, 6.4362) * CHOOSE(CONTROL!$C$15, $D$11, 100%, $F$11)</f>
        <v>6.4397000000000002</v>
      </c>
      <c r="G141" s="8">
        <f>CHOOSE( CONTROL!$C$32, 5.6239, 5.6204) * CHOOSE( CONTROL!$C$15, $D$11, 100%, $F$11)</f>
        <v>5.6238999999999999</v>
      </c>
      <c r="H141" s="4">
        <f>CHOOSE( CONTROL!$C$32, 6.5617, 6.5582) * CHOOSE(CONTROL!$C$15, $D$11, 100%, $F$11)</f>
        <v>6.5617000000000001</v>
      </c>
      <c r="I141" s="8">
        <f>CHOOSE( CONTROL!$C$32, 5.6215, 5.6181) * CHOOSE(CONTROL!$C$15, $D$11, 100%, $F$11)</f>
        <v>5.6215000000000002</v>
      </c>
      <c r="J141" s="4">
        <f>CHOOSE( CONTROL!$C$32, 5.5287, 5.5253) * CHOOSE(CONTROL!$C$15, $D$11, 100%, $F$11)</f>
        <v>5.5286999999999997</v>
      </c>
      <c r="K141" s="4"/>
      <c r="L141" s="9">
        <v>30.7165</v>
      </c>
      <c r="M141" s="9">
        <v>12.063700000000001</v>
      </c>
      <c r="N141" s="9">
        <v>4.9444999999999997</v>
      </c>
      <c r="O141" s="9">
        <v>0.37409999999999999</v>
      </c>
      <c r="P141" s="9">
        <v>1.2183999999999999</v>
      </c>
      <c r="Q141" s="9">
        <v>32.254300000000001</v>
      </c>
      <c r="R141" s="9"/>
      <c r="S141" s="11"/>
    </row>
    <row r="142" spans="1:19" ht="15.75">
      <c r="A142" s="13">
        <v>45809</v>
      </c>
      <c r="B142" s="8">
        <f>CHOOSE( CONTROL!$C$32, 5.6596, 5.656) * CHOOSE(CONTROL!$C$15, $D$11, 100%, $F$11)</f>
        <v>5.6596000000000002</v>
      </c>
      <c r="C142" s="8">
        <f>CHOOSE( CONTROL!$C$32, 5.6676, 5.664) * CHOOSE(CONTROL!$C$15, $D$11, 100%, $F$11)</f>
        <v>5.6676000000000002</v>
      </c>
      <c r="D142" s="8">
        <f>CHOOSE( CONTROL!$C$32, 5.6739, 5.6703) * CHOOSE( CONTROL!$C$15, $D$11, 100%, $F$11)</f>
        <v>5.6738999999999997</v>
      </c>
      <c r="E142" s="12">
        <f>CHOOSE( CONTROL!$C$32, 5.6704, 5.6668) * CHOOSE( CONTROL!$C$15, $D$11, 100%, $F$11)</f>
        <v>5.6703999999999999</v>
      </c>
      <c r="F142" s="4">
        <f>CHOOSE( CONTROL!$C$32, 6.3479, 6.3443) * CHOOSE(CONTROL!$C$15, $D$11, 100%, $F$11)</f>
        <v>6.3479000000000001</v>
      </c>
      <c r="G142" s="8">
        <f>CHOOSE( CONTROL!$C$32, 5.5339, 5.5304) * CHOOSE( CONTROL!$C$15, $D$11, 100%, $F$11)</f>
        <v>5.5339</v>
      </c>
      <c r="H142" s="4">
        <f>CHOOSE( CONTROL!$C$32, 6.4714, 6.4679) * CHOOSE(CONTROL!$C$15, $D$11, 100%, $F$11)</f>
        <v>6.4714</v>
      </c>
      <c r="I142" s="8">
        <f>CHOOSE( CONTROL!$C$32, 5.534, 5.5305) * CHOOSE(CONTROL!$C$15, $D$11, 100%, $F$11)</f>
        <v>5.5339999999999998</v>
      </c>
      <c r="J142" s="4">
        <f>CHOOSE( CONTROL!$C$32, 5.4399, 5.4364) * CHOOSE(CONTROL!$C$15, $D$11, 100%, $F$11)</f>
        <v>5.4398999999999997</v>
      </c>
      <c r="K142" s="4"/>
      <c r="L142" s="9">
        <v>29.7257</v>
      </c>
      <c r="M142" s="9">
        <v>11.6745</v>
      </c>
      <c r="N142" s="9">
        <v>4.7850000000000001</v>
      </c>
      <c r="O142" s="9">
        <v>0.36199999999999999</v>
      </c>
      <c r="P142" s="9">
        <v>1.1791</v>
      </c>
      <c r="Q142" s="9">
        <v>31.213799999999999</v>
      </c>
      <c r="R142" s="9"/>
      <c r="S142" s="11"/>
    </row>
    <row r="143" spans="1:19" ht="15.75">
      <c r="A143" s="13">
        <v>45839</v>
      </c>
      <c r="B143" s="8">
        <f>CHOOSE( CONTROL!$C$32, 5.9016, 5.898) * CHOOSE(CONTROL!$C$15, $D$11, 100%, $F$11)</f>
        <v>5.9016000000000002</v>
      </c>
      <c r="C143" s="8">
        <f>CHOOSE( CONTROL!$C$32, 5.9096, 5.906) * CHOOSE(CONTROL!$C$15, $D$11, 100%, $F$11)</f>
        <v>5.9096000000000002</v>
      </c>
      <c r="D143" s="8">
        <f>CHOOSE( CONTROL!$C$32, 5.9162, 5.9126) * CHOOSE( CONTROL!$C$15, $D$11, 100%, $F$11)</f>
        <v>5.9161999999999999</v>
      </c>
      <c r="E143" s="12">
        <f>CHOOSE( CONTROL!$C$32, 5.9126, 5.909) * CHOOSE( CONTROL!$C$15, $D$11, 100%, $F$11)</f>
        <v>5.9126000000000003</v>
      </c>
      <c r="F143" s="4">
        <f>CHOOSE( CONTROL!$C$32, 6.5898, 6.5863) * CHOOSE(CONTROL!$C$15, $D$11, 100%, $F$11)</f>
        <v>6.5898000000000003</v>
      </c>
      <c r="G143" s="8">
        <f>CHOOSE( CONTROL!$C$32, 5.7724, 5.7688) * CHOOSE( CONTROL!$C$15, $D$11, 100%, $F$11)</f>
        <v>5.7724000000000002</v>
      </c>
      <c r="H143" s="4">
        <f>CHOOSE( CONTROL!$C$32, 6.7093, 6.7058) * CHOOSE(CONTROL!$C$15, $D$11, 100%, $F$11)</f>
        <v>6.7092999999999998</v>
      </c>
      <c r="I143" s="8">
        <f>CHOOSE( CONTROL!$C$32, 5.7695, 5.7661) * CHOOSE(CONTROL!$C$15, $D$11, 100%, $F$11)</f>
        <v>5.7694999999999999</v>
      </c>
      <c r="J143" s="4">
        <f>CHOOSE( CONTROL!$C$32, 5.6738, 5.6704) * CHOOSE(CONTROL!$C$15, $D$11, 100%, $F$11)</f>
        <v>5.6738</v>
      </c>
      <c r="K143" s="4"/>
      <c r="L143" s="9">
        <v>30.7165</v>
      </c>
      <c r="M143" s="9">
        <v>12.063700000000001</v>
      </c>
      <c r="N143" s="9">
        <v>4.9444999999999997</v>
      </c>
      <c r="O143" s="9">
        <v>0.37409999999999999</v>
      </c>
      <c r="P143" s="9">
        <v>1.2183999999999999</v>
      </c>
      <c r="Q143" s="9">
        <v>32.254300000000001</v>
      </c>
      <c r="R143" s="9"/>
      <c r="S143" s="11"/>
    </row>
    <row r="144" spans="1:19" ht="15.75">
      <c r="A144" s="13">
        <v>45870</v>
      </c>
      <c r="B144" s="8">
        <f>CHOOSE( CONTROL!$C$32, 5.4488, 5.4452) * CHOOSE(CONTROL!$C$15, $D$11, 100%, $F$11)</f>
        <v>5.4488000000000003</v>
      </c>
      <c r="C144" s="8">
        <f>CHOOSE( CONTROL!$C$32, 5.4568, 5.4532) * CHOOSE(CONTROL!$C$15, $D$11, 100%, $F$11)</f>
        <v>5.4568000000000003</v>
      </c>
      <c r="D144" s="8">
        <f>CHOOSE( CONTROL!$C$32, 5.4635, 5.4599) * CHOOSE( CONTROL!$C$15, $D$11, 100%, $F$11)</f>
        <v>5.4634999999999998</v>
      </c>
      <c r="E144" s="12">
        <f>CHOOSE( CONTROL!$C$32, 5.4599, 5.4563) * CHOOSE( CONTROL!$C$15, $D$11, 100%, $F$11)</f>
        <v>5.4599000000000002</v>
      </c>
      <c r="F144" s="4">
        <f>CHOOSE( CONTROL!$C$32, 6.1371, 6.1335) * CHOOSE(CONTROL!$C$15, $D$11, 100%, $F$11)</f>
        <v>6.1371000000000002</v>
      </c>
      <c r="G144" s="8">
        <f>CHOOSE( CONTROL!$C$32, 5.3272, 5.3237) * CHOOSE( CONTROL!$C$15, $D$11, 100%, $F$11)</f>
        <v>5.3272000000000004</v>
      </c>
      <c r="H144" s="4">
        <f>CHOOSE( CONTROL!$C$32, 6.2641, 6.2605) * CHOOSE(CONTROL!$C$15, $D$11, 100%, $F$11)</f>
        <v>6.2641</v>
      </c>
      <c r="I144" s="8">
        <f>CHOOSE( CONTROL!$C$32, 5.332, 5.3286) * CHOOSE(CONTROL!$C$15, $D$11, 100%, $F$11)</f>
        <v>5.3319999999999999</v>
      </c>
      <c r="J144" s="4">
        <f>CHOOSE( CONTROL!$C$32, 5.2361, 5.2327) * CHOOSE(CONTROL!$C$15, $D$11, 100%, $F$11)</f>
        <v>5.2361000000000004</v>
      </c>
      <c r="K144" s="4"/>
      <c r="L144" s="9">
        <v>30.7165</v>
      </c>
      <c r="M144" s="9">
        <v>12.063700000000001</v>
      </c>
      <c r="N144" s="9">
        <v>4.9444999999999997</v>
      </c>
      <c r="O144" s="9">
        <v>0.37409999999999999</v>
      </c>
      <c r="P144" s="9">
        <v>1.2183999999999999</v>
      </c>
      <c r="Q144" s="9">
        <v>32.254300000000001</v>
      </c>
      <c r="R144" s="9"/>
      <c r="S144" s="11"/>
    </row>
    <row r="145" spans="1:19" ht="15.75">
      <c r="A145" s="13">
        <v>45901</v>
      </c>
      <c r="B145" s="8">
        <f>CHOOSE( CONTROL!$C$32, 5.3354, 5.3318) * CHOOSE(CONTROL!$C$15, $D$11, 100%, $F$11)</f>
        <v>5.3353999999999999</v>
      </c>
      <c r="C145" s="8">
        <f>CHOOSE( CONTROL!$C$32, 5.3434, 5.3399) * CHOOSE(CONTROL!$C$15, $D$11, 100%, $F$11)</f>
        <v>5.3433999999999999</v>
      </c>
      <c r="D145" s="8">
        <f>CHOOSE( CONTROL!$C$32, 5.3501, 5.3465) * CHOOSE( CONTROL!$C$15, $D$11, 100%, $F$11)</f>
        <v>5.3501000000000003</v>
      </c>
      <c r="E145" s="12">
        <f>CHOOSE( CONTROL!$C$32, 5.3465, 5.3429) * CHOOSE( CONTROL!$C$15, $D$11, 100%, $F$11)</f>
        <v>5.3464999999999998</v>
      </c>
      <c r="F145" s="4">
        <f>CHOOSE( CONTROL!$C$32, 6.0237, 6.0201) * CHOOSE(CONTROL!$C$15, $D$11, 100%, $F$11)</f>
        <v>6.0236999999999998</v>
      </c>
      <c r="G145" s="8">
        <f>CHOOSE( CONTROL!$C$32, 5.2157, 5.2122) * CHOOSE( CONTROL!$C$15, $D$11, 100%, $F$11)</f>
        <v>5.2157</v>
      </c>
      <c r="H145" s="4">
        <f>CHOOSE( CONTROL!$C$32, 6.1526, 6.149) * CHOOSE(CONTROL!$C$15, $D$11, 100%, $F$11)</f>
        <v>6.1525999999999996</v>
      </c>
      <c r="I145" s="8">
        <f>CHOOSE( CONTROL!$C$32, 5.2224, 5.2189) * CHOOSE(CONTROL!$C$15, $D$11, 100%, $F$11)</f>
        <v>5.2224000000000004</v>
      </c>
      <c r="J145" s="4">
        <f>CHOOSE( CONTROL!$C$32, 5.1265, 5.1231) * CHOOSE(CONTROL!$C$15, $D$11, 100%, $F$11)</f>
        <v>5.1265000000000001</v>
      </c>
      <c r="K145" s="4"/>
      <c r="L145" s="9">
        <v>29.7257</v>
      </c>
      <c r="M145" s="9">
        <v>11.6745</v>
      </c>
      <c r="N145" s="9">
        <v>4.7850000000000001</v>
      </c>
      <c r="O145" s="9">
        <v>0.36199999999999999</v>
      </c>
      <c r="P145" s="9">
        <v>1.1791</v>
      </c>
      <c r="Q145" s="9">
        <v>31.213799999999999</v>
      </c>
      <c r="R145" s="9"/>
      <c r="S145" s="11"/>
    </row>
    <row r="146" spans="1:19" ht="15.75">
      <c r="A146" s="13">
        <v>45931</v>
      </c>
      <c r="B146" s="8">
        <f>5.5655 * CHOOSE(CONTROL!$C$15, $D$11, 100%, $F$11)</f>
        <v>5.5655000000000001</v>
      </c>
      <c r="C146" s="8">
        <f>5.5709 * CHOOSE(CONTROL!$C$15, $D$11, 100%, $F$11)</f>
        <v>5.5709</v>
      </c>
      <c r="D146" s="8">
        <f>5.5824 * CHOOSE( CONTROL!$C$15, $D$11, 100%, $F$11)</f>
        <v>5.5823999999999998</v>
      </c>
      <c r="E146" s="12">
        <f>5.578 * CHOOSE( CONTROL!$C$15, $D$11, 100%, $F$11)</f>
        <v>5.5780000000000003</v>
      </c>
      <c r="F146" s="4">
        <f>6.2555 * CHOOSE(CONTROL!$C$15, $D$11, 100%, $F$11)</f>
        <v>6.2554999999999996</v>
      </c>
      <c r="G146" s="8">
        <f>5.4432 * CHOOSE( CONTROL!$C$15, $D$11, 100%, $F$11)</f>
        <v>5.4432</v>
      </c>
      <c r="H146" s="4">
        <f>6.3806 * CHOOSE(CONTROL!$C$15, $D$11, 100%, $F$11)</f>
        <v>6.3806000000000003</v>
      </c>
      <c r="I146" s="8">
        <f>5.4473 * CHOOSE(CONTROL!$C$15, $D$11, 100%, $F$11)</f>
        <v>5.4473000000000003</v>
      </c>
      <c r="J146" s="4">
        <f>5.3506 * CHOOSE(CONTROL!$C$15, $D$11, 100%, $F$11)</f>
        <v>5.3506</v>
      </c>
      <c r="K146" s="4"/>
      <c r="L146" s="9">
        <v>31.095300000000002</v>
      </c>
      <c r="M146" s="9">
        <v>12.063700000000001</v>
      </c>
      <c r="N146" s="9">
        <v>4.9444999999999997</v>
      </c>
      <c r="O146" s="9">
        <v>0.37409999999999999</v>
      </c>
      <c r="P146" s="9">
        <v>1.2183999999999999</v>
      </c>
      <c r="Q146" s="9">
        <v>32.254300000000001</v>
      </c>
      <c r="R146" s="9"/>
      <c r="S146" s="11"/>
    </row>
    <row r="147" spans="1:19" ht="15.75">
      <c r="A147" s="13">
        <v>45962</v>
      </c>
      <c r="B147" s="8">
        <f>5.9997 * CHOOSE(CONTROL!$C$15, $D$11, 100%, $F$11)</f>
        <v>5.9996999999999998</v>
      </c>
      <c r="C147" s="8">
        <f>6.0048 * CHOOSE(CONTROL!$C$15, $D$11, 100%, $F$11)</f>
        <v>6.0048000000000004</v>
      </c>
      <c r="D147" s="8">
        <f>5.9817 * CHOOSE( CONTROL!$C$15, $D$11, 100%, $F$11)</f>
        <v>5.9817</v>
      </c>
      <c r="E147" s="12">
        <f>5.9896 * CHOOSE( CONTROL!$C$15, $D$11, 100%, $F$11)</f>
        <v>5.9896000000000003</v>
      </c>
      <c r="F147" s="4">
        <f>6.6446 * CHOOSE(CONTROL!$C$15, $D$11, 100%, $F$11)</f>
        <v>6.6445999999999996</v>
      </c>
      <c r="G147" s="8">
        <f>5.8813 * CHOOSE( CONTROL!$C$15, $D$11, 100%, $F$11)</f>
        <v>5.8813000000000004</v>
      </c>
      <c r="H147" s="4">
        <f>6.7631 * CHOOSE(CONTROL!$C$15, $D$11, 100%, $F$11)</f>
        <v>6.7630999999999997</v>
      </c>
      <c r="I147" s="8">
        <f>5.8923 * CHOOSE(CONTROL!$C$15, $D$11, 100%, $F$11)</f>
        <v>5.8922999999999996</v>
      </c>
      <c r="J147" s="4">
        <f>5.7707 * CHOOSE(CONTROL!$C$15, $D$11, 100%, $F$11)</f>
        <v>5.7706999999999997</v>
      </c>
      <c r="K147" s="4"/>
      <c r="L147" s="9">
        <v>28.360600000000002</v>
      </c>
      <c r="M147" s="9">
        <v>11.6745</v>
      </c>
      <c r="N147" s="9">
        <v>4.7850000000000001</v>
      </c>
      <c r="O147" s="9">
        <v>0.36199999999999999</v>
      </c>
      <c r="P147" s="9">
        <v>1.2509999999999999</v>
      </c>
      <c r="Q147" s="9">
        <v>31.213799999999999</v>
      </c>
      <c r="R147" s="9"/>
      <c r="S147" s="11"/>
    </row>
    <row r="148" spans="1:19" ht="15.75">
      <c r="A148" s="13">
        <v>45992</v>
      </c>
      <c r="B148" s="8">
        <f>5.9888 * CHOOSE(CONTROL!$C$15, $D$11, 100%, $F$11)</f>
        <v>5.9888000000000003</v>
      </c>
      <c r="C148" s="8">
        <f>5.9939 * CHOOSE(CONTROL!$C$15, $D$11, 100%, $F$11)</f>
        <v>5.9939</v>
      </c>
      <c r="D148" s="8">
        <f>5.9722 * CHOOSE( CONTROL!$C$15, $D$11, 100%, $F$11)</f>
        <v>5.9722</v>
      </c>
      <c r="E148" s="12">
        <f>5.9796 * CHOOSE( CONTROL!$C$15, $D$11, 100%, $F$11)</f>
        <v>5.9795999999999996</v>
      </c>
      <c r="F148" s="4">
        <f>6.6337 * CHOOSE(CONTROL!$C$15, $D$11, 100%, $F$11)</f>
        <v>6.6337000000000002</v>
      </c>
      <c r="G148" s="8">
        <f>5.8717 * CHOOSE( CONTROL!$C$15, $D$11, 100%, $F$11)</f>
        <v>5.8716999999999997</v>
      </c>
      <c r="H148" s="4">
        <f>6.7525 * CHOOSE(CONTROL!$C$15, $D$11, 100%, $F$11)</f>
        <v>6.7525000000000004</v>
      </c>
      <c r="I148" s="8">
        <f>5.8861 * CHOOSE(CONTROL!$C$15, $D$11, 100%, $F$11)</f>
        <v>5.8860999999999999</v>
      </c>
      <c r="J148" s="4">
        <f>5.7602 * CHOOSE(CONTROL!$C$15, $D$11, 100%, $F$11)</f>
        <v>5.7602000000000002</v>
      </c>
      <c r="K148" s="4"/>
      <c r="L148" s="9">
        <v>29.306000000000001</v>
      </c>
      <c r="M148" s="9">
        <v>12.063700000000001</v>
      </c>
      <c r="N148" s="9">
        <v>4.9444999999999997</v>
      </c>
      <c r="O148" s="9">
        <v>0.37409999999999999</v>
      </c>
      <c r="P148" s="9">
        <v>1.2927</v>
      </c>
      <c r="Q148" s="9">
        <v>32.254300000000001</v>
      </c>
      <c r="R148" s="9"/>
      <c r="S148" s="11"/>
    </row>
    <row r="149" spans="1:19" ht="15.75">
      <c r="A149" s="13">
        <v>46023</v>
      </c>
      <c r="B149" s="8">
        <f>5.9988 * CHOOSE(CONTROL!$C$15, $D$11, 100%, $F$11)</f>
        <v>5.9988000000000001</v>
      </c>
      <c r="C149" s="8">
        <f>6.0039 * CHOOSE(CONTROL!$C$15, $D$11, 100%, $F$11)</f>
        <v>6.0038999999999998</v>
      </c>
      <c r="D149" s="8">
        <f>5.9781 * CHOOSE( CONTROL!$C$15, $D$11, 100%, $F$11)</f>
        <v>5.9781000000000004</v>
      </c>
      <c r="E149" s="12">
        <f>5.987 * CHOOSE( CONTROL!$C$15, $D$11, 100%, $F$11)</f>
        <v>5.9870000000000001</v>
      </c>
      <c r="F149" s="4">
        <f>6.6428 * CHOOSE(CONTROL!$C$15, $D$11, 100%, $F$11)</f>
        <v>6.6428000000000003</v>
      </c>
      <c r="G149" s="8">
        <f>5.8752 * CHOOSE( CONTROL!$C$15, $D$11, 100%, $F$11)</f>
        <v>5.8752000000000004</v>
      </c>
      <c r="H149" s="4">
        <f>6.7614 * CHOOSE(CONTROL!$C$15, $D$11, 100%, $F$11)</f>
        <v>6.7614000000000001</v>
      </c>
      <c r="I149" s="8">
        <f>5.8664 * CHOOSE(CONTROL!$C$15, $D$11, 100%, $F$11)</f>
        <v>5.8663999999999996</v>
      </c>
      <c r="J149" s="4">
        <f>5.7698 * CHOOSE(CONTROL!$C$15, $D$11, 100%, $F$11)</f>
        <v>5.7698</v>
      </c>
      <c r="K149" s="4"/>
      <c r="L149" s="9">
        <v>29.306000000000001</v>
      </c>
      <c r="M149" s="9">
        <v>12.063700000000001</v>
      </c>
      <c r="N149" s="9">
        <v>4.9444999999999997</v>
      </c>
      <c r="O149" s="9">
        <v>0.37409999999999999</v>
      </c>
      <c r="P149" s="9">
        <v>1.2927</v>
      </c>
      <c r="Q149" s="9">
        <v>32.070099999999996</v>
      </c>
      <c r="R149" s="9"/>
      <c r="S149" s="11"/>
    </row>
    <row r="150" spans="1:19" ht="15.75">
      <c r="A150" s="13">
        <v>46054</v>
      </c>
      <c r="B150" s="8">
        <f>5.6129 * CHOOSE(CONTROL!$C$15, $D$11, 100%, $F$11)</f>
        <v>5.6128999999999998</v>
      </c>
      <c r="C150" s="8">
        <f>5.618 * CHOOSE(CONTROL!$C$15, $D$11, 100%, $F$11)</f>
        <v>5.6180000000000003</v>
      </c>
      <c r="D150" s="8">
        <f>5.5924 * CHOOSE( CONTROL!$C$15, $D$11, 100%, $F$11)</f>
        <v>5.5923999999999996</v>
      </c>
      <c r="E150" s="12">
        <f>5.6012 * CHOOSE( CONTROL!$C$15, $D$11, 100%, $F$11)</f>
        <v>5.6012000000000004</v>
      </c>
      <c r="F150" s="4">
        <f>6.2569 * CHOOSE(CONTROL!$C$15, $D$11, 100%, $F$11)</f>
        <v>6.2568999999999999</v>
      </c>
      <c r="G150" s="8">
        <f>5.4959 * CHOOSE( CONTROL!$C$15, $D$11, 100%, $F$11)</f>
        <v>5.4958999999999998</v>
      </c>
      <c r="H150" s="4">
        <f>6.382 * CHOOSE(CONTROL!$C$15, $D$11, 100%, $F$11)</f>
        <v>6.3819999999999997</v>
      </c>
      <c r="I150" s="8">
        <f>5.4939 * CHOOSE(CONTROL!$C$15, $D$11, 100%, $F$11)</f>
        <v>5.4939</v>
      </c>
      <c r="J150" s="4">
        <f>5.3968 * CHOOSE(CONTROL!$C$15, $D$11, 100%, $F$11)</f>
        <v>5.3967999999999998</v>
      </c>
      <c r="K150" s="4"/>
      <c r="L150" s="9">
        <v>26.469899999999999</v>
      </c>
      <c r="M150" s="9">
        <v>10.8962</v>
      </c>
      <c r="N150" s="9">
        <v>4.4660000000000002</v>
      </c>
      <c r="O150" s="9">
        <v>0.33789999999999998</v>
      </c>
      <c r="P150" s="9">
        <v>1.1676</v>
      </c>
      <c r="Q150" s="9">
        <v>28.9666</v>
      </c>
      <c r="R150" s="9"/>
      <c r="S150" s="11"/>
    </row>
    <row r="151" spans="1:19" ht="15.75">
      <c r="A151" s="13">
        <v>46082</v>
      </c>
      <c r="B151" s="8">
        <f>5.4941 * CHOOSE(CONTROL!$C$15, $D$11, 100%, $F$11)</f>
        <v>5.4941000000000004</v>
      </c>
      <c r="C151" s="8">
        <f>5.4992 * CHOOSE(CONTROL!$C$15, $D$11, 100%, $F$11)</f>
        <v>5.4992000000000001</v>
      </c>
      <c r="D151" s="8">
        <f>5.4735 * CHOOSE( CONTROL!$C$15, $D$11, 100%, $F$11)</f>
        <v>5.4734999999999996</v>
      </c>
      <c r="E151" s="12">
        <f>5.4824 * CHOOSE( CONTROL!$C$15, $D$11, 100%, $F$11)</f>
        <v>5.4824000000000002</v>
      </c>
      <c r="F151" s="4">
        <f>6.1381 * CHOOSE(CONTROL!$C$15, $D$11, 100%, $F$11)</f>
        <v>6.1380999999999997</v>
      </c>
      <c r="G151" s="8">
        <f>5.379 * CHOOSE( CONTROL!$C$15, $D$11, 100%, $F$11)</f>
        <v>5.3789999999999996</v>
      </c>
      <c r="H151" s="4">
        <f>6.2651 * CHOOSE(CONTROL!$C$15, $D$11, 100%, $F$11)</f>
        <v>6.2651000000000003</v>
      </c>
      <c r="I151" s="8">
        <f>5.3787 * CHOOSE(CONTROL!$C$15, $D$11, 100%, $F$11)</f>
        <v>5.3787000000000003</v>
      </c>
      <c r="J151" s="4">
        <f>5.2819 * CHOOSE(CONTROL!$C$15, $D$11, 100%, $F$11)</f>
        <v>5.2819000000000003</v>
      </c>
      <c r="K151" s="4"/>
      <c r="L151" s="9">
        <v>29.306000000000001</v>
      </c>
      <c r="M151" s="9">
        <v>12.063700000000001</v>
      </c>
      <c r="N151" s="9">
        <v>4.9444999999999997</v>
      </c>
      <c r="O151" s="9">
        <v>0.37409999999999999</v>
      </c>
      <c r="P151" s="9">
        <v>1.2927</v>
      </c>
      <c r="Q151" s="9">
        <v>32.070099999999996</v>
      </c>
      <c r="R151" s="9"/>
      <c r="S151" s="11"/>
    </row>
    <row r="152" spans="1:19" ht="15.75">
      <c r="A152" s="13">
        <v>46113</v>
      </c>
      <c r="B152" s="8">
        <f>5.5779 * CHOOSE(CONTROL!$C$15, $D$11, 100%, $F$11)</f>
        <v>5.5778999999999996</v>
      </c>
      <c r="C152" s="8">
        <f>5.5824 * CHOOSE(CONTROL!$C$15, $D$11, 100%, $F$11)</f>
        <v>5.5823999999999998</v>
      </c>
      <c r="D152" s="8">
        <f>5.5935 * CHOOSE( CONTROL!$C$15, $D$11, 100%, $F$11)</f>
        <v>5.5934999999999997</v>
      </c>
      <c r="E152" s="12">
        <f>5.5893 * CHOOSE( CONTROL!$C$15, $D$11, 100%, $F$11)</f>
        <v>5.5892999999999997</v>
      </c>
      <c r="F152" s="4">
        <f>6.2675 * CHOOSE(CONTROL!$C$15, $D$11, 100%, $F$11)</f>
        <v>6.2675000000000001</v>
      </c>
      <c r="G152" s="8">
        <f>5.4535 * CHOOSE( CONTROL!$C$15, $D$11, 100%, $F$11)</f>
        <v>5.4535</v>
      </c>
      <c r="H152" s="4">
        <f>6.3924 * CHOOSE(CONTROL!$C$15, $D$11, 100%, $F$11)</f>
        <v>6.3924000000000003</v>
      </c>
      <c r="I152" s="8">
        <f>5.4541 * CHOOSE(CONTROL!$C$15, $D$11, 100%, $F$11)</f>
        <v>5.4541000000000004</v>
      </c>
      <c r="J152" s="4">
        <f>5.3622 * CHOOSE(CONTROL!$C$15, $D$11, 100%, $F$11)</f>
        <v>5.3621999999999996</v>
      </c>
      <c r="K152" s="4"/>
      <c r="L152" s="9">
        <v>30.092199999999998</v>
      </c>
      <c r="M152" s="9">
        <v>11.6745</v>
      </c>
      <c r="N152" s="9">
        <v>4.7850000000000001</v>
      </c>
      <c r="O152" s="9">
        <v>0.36199999999999999</v>
      </c>
      <c r="P152" s="9">
        <v>1.1791</v>
      </c>
      <c r="Q152" s="9">
        <v>31.035599999999999</v>
      </c>
      <c r="R152" s="9"/>
      <c r="S152" s="11"/>
    </row>
    <row r="153" spans="1:19" ht="15.75">
      <c r="A153" s="13">
        <v>46143</v>
      </c>
      <c r="B153" s="8">
        <f>CHOOSE( CONTROL!$C$32, 5.7306, 5.7271) * CHOOSE(CONTROL!$C$15, $D$11, 100%, $F$11)</f>
        <v>5.7305999999999999</v>
      </c>
      <c r="C153" s="8">
        <f>CHOOSE( CONTROL!$C$32, 5.7386, 5.7351) * CHOOSE(CONTROL!$C$15, $D$11, 100%, $F$11)</f>
        <v>5.7385999999999999</v>
      </c>
      <c r="D153" s="8">
        <f>CHOOSE( CONTROL!$C$32, 5.7446, 5.7411) * CHOOSE( CONTROL!$C$15, $D$11, 100%, $F$11)</f>
        <v>5.7446000000000002</v>
      </c>
      <c r="E153" s="12">
        <f>CHOOSE( CONTROL!$C$32, 5.7412, 5.7377) * CHOOSE( CONTROL!$C$15, $D$11, 100%, $F$11)</f>
        <v>5.7412000000000001</v>
      </c>
      <c r="F153" s="4">
        <f>CHOOSE( CONTROL!$C$32, 6.4189, 6.4153) * CHOOSE(CONTROL!$C$15, $D$11, 100%, $F$11)</f>
        <v>6.4188999999999998</v>
      </c>
      <c r="G153" s="8">
        <f>CHOOSE( CONTROL!$C$32, 5.6034, 5.5999) * CHOOSE( CONTROL!$C$15, $D$11, 100%, $F$11)</f>
        <v>5.6033999999999997</v>
      </c>
      <c r="H153" s="4">
        <f>CHOOSE( CONTROL!$C$32, 6.5412, 6.5377) * CHOOSE(CONTROL!$C$15, $D$11, 100%, $F$11)</f>
        <v>6.5411999999999999</v>
      </c>
      <c r="I153" s="8">
        <f>CHOOSE( CONTROL!$C$32, 5.6014, 5.5979) * CHOOSE(CONTROL!$C$15, $D$11, 100%, $F$11)</f>
        <v>5.6013999999999999</v>
      </c>
      <c r="J153" s="4">
        <f>CHOOSE( CONTROL!$C$32, 5.5086, 5.5051) * CHOOSE(CONTROL!$C$15, $D$11, 100%, $F$11)</f>
        <v>5.5086000000000004</v>
      </c>
      <c r="K153" s="4"/>
      <c r="L153" s="9">
        <v>30.7165</v>
      </c>
      <c r="M153" s="9">
        <v>12.063700000000001</v>
      </c>
      <c r="N153" s="9">
        <v>4.9444999999999997</v>
      </c>
      <c r="O153" s="9">
        <v>0.37409999999999999</v>
      </c>
      <c r="P153" s="9">
        <v>1.2183999999999999</v>
      </c>
      <c r="Q153" s="9">
        <v>32.070099999999996</v>
      </c>
      <c r="R153" s="9"/>
      <c r="S153" s="11"/>
    </row>
    <row r="154" spans="1:19" ht="15.75">
      <c r="A154" s="13">
        <v>46174</v>
      </c>
      <c r="B154" s="8">
        <f>CHOOSE( CONTROL!$C$32, 5.6391, 5.6355) * CHOOSE(CONTROL!$C$15, $D$11, 100%, $F$11)</f>
        <v>5.6391</v>
      </c>
      <c r="C154" s="8">
        <f>CHOOSE( CONTROL!$C$32, 5.6471, 5.6435) * CHOOSE(CONTROL!$C$15, $D$11, 100%, $F$11)</f>
        <v>5.6471</v>
      </c>
      <c r="D154" s="8">
        <f>CHOOSE( CONTROL!$C$32, 5.6534, 5.6498) * CHOOSE( CONTROL!$C$15, $D$11, 100%, $F$11)</f>
        <v>5.6534000000000004</v>
      </c>
      <c r="E154" s="12">
        <f>CHOOSE( CONTROL!$C$32, 5.6499, 5.6463) * CHOOSE( CONTROL!$C$15, $D$11, 100%, $F$11)</f>
        <v>5.6498999999999997</v>
      </c>
      <c r="F154" s="4">
        <f>CHOOSE( CONTROL!$C$32, 6.3273, 6.3238) * CHOOSE(CONTROL!$C$15, $D$11, 100%, $F$11)</f>
        <v>6.3273000000000001</v>
      </c>
      <c r="G154" s="8">
        <f>CHOOSE( CONTROL!$C$32, 5.5137, 5.5102) * CHOOSE( CONTROL!$C$15, $D$11, 100%, $F$11)</f>
        <v>5.5137</v>
      </c>
      <c r="H154" s="4">
        <f>CHOOSE( CONTROL!$C$32, 6.4512, 6.4477) * CHOOSE(CONTROL!$C$15, $D$11, 100%, $F$11)</f>
        <v>6.4512</v>
      </c>
      <c r="I154" s="8">
        <f>CHOOSE( CONTROL!$C$32, 5.5141, 5.5107) * CHOOSE(CONTROL!$C$15, $D$11, 100%, $F$11)</f>
        <v>5.5141</v>
      </c>
      <c r="J154" s="4">
        <f>CHOOSE( CONTROL!$C$32, 5.42, 5.4166) * CHOOSE(CONTROL!$C$15, $D$11, 100%, $F$11)</f>
        <v>5.42</v>
      </c>
      <c r="K154" s="4"/>
      <c r="L154" s="9">
        <v>29.7257</v>
      </c>
      <c r="M154" s="9">
        <v>11.6745</v>
      </c>
      <c r="N154" s="9">
        <v>4.7850000000000001</v>
      </c>
      <c r="O154" s="9">
        <v>0.36199999999999999</v>
      </c>
      <c r="P154" s="9">
        <v>1.1791</v>
      </c>
      <c r="Q154" s="9">
        <v>31.035599999999999</v>
      </c>
      <c r="R154" s="9"/>
      <c r="S154" s="11"/>
    </row>
    <row r="155" spans="1:19" ht="15.75">
      <c r="A155" s="13">
        <v>46204</v>
      </c>
      <c r="B155" s="8">
        <f>CHOOSE( CONTROL!$C$32, 5.8802, 5.8766) * CHOOSE(CONTROL!$C$15, $D$11, 100%, $F$11)</f>
        <v>5.8802000000000003</v>
      </c>
      <c r="C155" s="8">
        <f>CHOOSE( CONTROL!$C$32, 5.8882, 5.8846) * CHOOSE(CONTROL!$C$15, $D$11, 100%, $F$11)</f>
        <v>5.8882000000000003</v>
      </c>
      <c r="D155" s="8">
        <f>CHOOSE( CONTROL!$C$32, 5.8948, 5.8912) * CHOOSE( CONTROL!$C$15, $D$11, 100%, $F$11)</f>
        <v>5.8948</v>
      </c>
      <c r="E155" s="12">
        <f>CHOOSE( CONTROL!$C$32, 5.8912, 5.8876) * CHOOSE( CONTROL!$C$15, $D$11, 100%, $F$11)</f>
        <v>5.8912000000000004</v>
      </c>
      <c r="F155" s="4">
        <f>CHOOSE( CONTROL!$C$32, 6.5684, 6.5649) * CHOOSE(CONTROL!$C$15, $D$11, 100%, $F$11)</f>
        <v>6.5683999999999996</v>
      </c>
      <c r="G155" s="8">
        <f>CHOOSE( CONTROL!$C$32, 5.7513, 5.7478) * CHOOSE( CONTROL!$C$15, $D$11, 100%, $F$11)</f>
        <v>5.7512999999999996</v>
      </c>
      <c r="H155" s="4">
        <f>CHOOSE( CONTROL!$C$32, 6.6883, 6.6848) * CHOOSE(CONTROL!$C$15, $D$11, 100%, $F$11)</f>
        <v>6.6882999999999999</v>
      </c>
      <c r="I155" s="8">
        <f>CHOOSE( CONTROL!$C$32, 5.7488, 5.7453) * CHOOSE(CONTROL!$C$15, $D$11, 100%, $F$11)</f>
        <v>5.7488000000000001</v>
      </c>
      <c r="J155" s="4">
        <f>CHOOSE( CONTROL!$C$32, 5.6531, 5.6497) * CHOOSE(CONTROL!$C$15, $D$11, 100%, $F$11)</f>
        <v>5.6531000000000002</v>
      </c>
      <c r="K155" s="4"/>
      <c r="L155" s="9">
        <v>30.7165</v>
      </c>
      <c r="M155" s="9">
        <v>12.063700000000001</v>
      </c>
      <c r="N155" s="9">
        <v>4.9444999999999997</v>
      </c>
      <c r="O155" s="9">
        <v>0.37409999999999999</v>
      </c>
      <c r="P155" s="9">
        <v>1.2183999999999999</v>
      </c>
      <c r="Q155" s="9">
        <v>32.070099999999996</v>
      </c>
      <c r="R155" s="9"/>
      <c r="S155" s="11"/>
    </row>
    <row r="156" spans="1:19" ht="15.75">
      <c r="A156" s="13">
        <v>46235</v>
      </c>
      <c r="B156" s="8">
        <f>CHOOSE( CONTROL!$C$32, 5.429, 5.4255) * CHOOSE(CONTROL!$C$15, $D$11, 100%, $F$11)</f>
        <v>5.4290000000000003</v>
      </c>
      <c r="C156" s="8">
        <f>CHOOSE( CONTROL!$C$32, 5.437, 5.4335) * CHOOSE(CONTROL!$C$15, $D$11, 100%, $F$11)</f>
        <v>5.4370000000000003</v>
      </c>
      <c r="D156" s="8">
        <f>CHOOSE( CONTROL!$C$32, 5.4437, 5.4402) * CHOOSE( CONTROL!$C$15, $D$11, 100%, $F$11)</f>
        <v>5.4436999999999998</v>
      </c>
      <c r="E156" s="12">
        <f>CHOOSE( CONTROL!$C$32, 5.4401, 5.4366) * CHOOSE( CONTROL!$C$15, $D$11, 100%, $F$11)</f>
        <v>5.4401000000000002</v>
      </c>
      <c r="F156" s="4">
        <f>CHOOSE( CONTROL!$C$32, 6.1173, 6.1137) * CHOOSE(CONTROL!$C$15, $D$11, 100%, $F$11)</f>
        <v>6.1173000000000002</v>
      </c>
      <c r="G156" s="8">
        <f>CHOOSE( CONTROL!$C$32, 5.3078, 5.3043) * CHOOSE( CONTROL!$C$15, $D$11, 100%, $F$11)</f>
        <v>5.3078000000000003</v>
      </c>
      <c r="H156" s="4">
        <f>CHOOSE( CONTROL!$C$32, 6.2446, 6.2411) * CHOOSE(CONTROL!$C$15, $D$11, 100%, $F$11)</f>
        <v>6.2446000000000002</v>
      </c>
      <c r="I156" s="8">
        <f>CHOOSE( CONTROL!$C$32, 5.3129, 5.3095) * CHOOSE(CONTROL!$C$15, $D$11, 100%, $F$11)</f>
        <v>5.3129</v>
      </c>
      <c r="J156" s="4">
        <f>CHOOSE( CONTROL!$C$32, 5.217, 5.2136) * CHOOSE(CONTROL!$C$15, $D$11, 100%, $F$11)</f>
        <v>5.2169999999999996</v>
      </c>
      <c r="K156" s="4"/>
      <c r="L156" s="9">
        <v>30.7165</v>
      </c>
      <c r="M156" s="9">
        <v>12.063700000000001</v>
      </c>
      <c r="N156" s="9">
        <v>4.9444999999999997</v>
      </c>
      <c r="O156" s="9">
        <v>0.37409999999999999</v>
      </c>
      <c r="P156" s="9">
        <v>1.2183999999999999</v>
      </c>
      <c r="Q156" s="9">
        <v>32.070099999999996</v>
      </c>
      <c r="R156" s="9"/>
      <c r="S156" s="11"/>
    </row>
    <row r="157" spans="1:19" ht="15.75">
      <c r="A157" s="13">
        <v>46266</v>
      </c>
      <c r="B157" s="8">
        <f>CHOOSE( CONTROL!$C$32, 5.3161, 5.3125) * CHOOSE(CONTROL!$C$15, $D$11, 100%, $F$11)</f>
        <v>5.3160999999999996</v>
      </c>
      <c r="C157" s="8">
        <f>CHOOSE( CONTROL!$C$32, 5.3241, 5.3205) * CHOOSE(CONTROL!$C$15, $D$11, 100%, $F$11)</f>
        <v>5.3240999999999996</v>
      </c>
      <c r="D157" s="8">
        <f>CHOOSE( CONTROL!$C$32, 5.3308, 5.3272) * CHOOSE( CONTROL!$C$15, $D$11, 100%, $F$11)</f>
        <v>5.3308</v>
      </c>
      <c r="E157" s="12">
        <f>CHOOSE( CONTROL!$C$32, 5.3272, 5.3236) * CHOOSE( CONTROL!$C$15, $D$11, 100%, $F$11)</f>
        <v>5.3272000000000004</v>
      </c>
      <c r="F157" s="4">
        <f>CHOOSE( CONTROL!$C$32, 6.0043, 6.0008) * CHOOSE(CONTROL!$C$15, $D$11, 100%, $F$11)</f>
        <v>6.0042999999999997</v>
      </c>
      <c r="G157" s="8">
        <f>CHOOSE( CONTROL!$C$32, 5.1967, 5.1932) * CHOOSE( CONTROL!$C$15, $D$11, 100%, $F$11)</f>
        <v>5.1966999999999999</v>
      </c>
      <c r="H157" s="4">
        <f>CHOOSE( CONTROL!$C$32, 6.1335, 6.13) * CHOOSE(CONTROL!$C$15, $D$11, 100%, $F$11)</f>
        <v>6.1334999999999997</v>
      </c>
      <c r="I157" s="8">
        <f>CHOOSE( CONTROL!$C$32, 5.2037, 5.2002) * CHOOSE(CONTROL!$C$15, $D$11, 100%, $F$11)</f>
        <v>5.2037000000000004</v>
      </c>
      <c r="J157" s="4">
        <f>CHOOSE( CONTROL!$C$32, 5.1078, 5.1044) * CHOOSE(CONTROL!$C$15, $D$11, 100%, $F$11)</f>
        <v>5.1078000000000001</v>
      </c>
      <c r="K157" s="4"/>
      <c r="L157" s="9">
        <v>29.7257</v>
      </c>
      <c r="M157" s="9">
        <v>11.6745</v>
      </c>
      <c r="N157" s="9">
        <v>4.7850000000000001</v>
      </c>
      <c r="O157" s="9">
        <v>0.36199999999999999</v>
      </c>
      <c r="P157" s="9">
        <v>1.1791</v>
      </c>
      <c r="Q157" s="9">
        <v>31.035599999999999</v>
      </c>
      <c r="R157" s="9"/>
      <c r="S157" s="11"/>
    </row>
    <row r="158" spans="1:19" ht="15.75">
      <c r="A158" s="13">
        <v>46296</v>
      </c>
      <c r="B158" s="8">
        <f>5.5453 * CHOOSE(CONTROL!$C$15, $D$11, 100%, $F$11)</f>
        <v>5.5453000000000001</v>
      </c>
      <c r="C158" s="8">
        <f>5.5507 * CHOOSE(CONTROL!$C$15, $D$11, 100%, $F$11)</f>
        <v>5.5507</v>
      </c>
      <c r="D158" s="8">
        <f>5.5622 * CHOOSE( CONTROL!$C$15, $D$11, 100%, $F$11)</f>
        <v>5.5621999999999998</v>
      </c>
      <c r="E158" s="12">
        <f>5.5578 * CHOOSE( CONTROL!$C$15, $D$11, 100%, $F$11)</f>
        <v>5.5578000000000003</v>
      </c>
      <c r="F158" s="4">
        <f>6.2353 * CHOOSE(CONTROL!$C$15, $D$11, 100%, $F$11)</f>
        <v>6.2352999999999996</v>
      </c>
      <c r="G158" s="8">
        <f>5.4234 * CHOOSE( CONTROL!$C$15, $D$11, 100%, $F$11)</f>
        <v>5.4234</v>
      </c>
      <c r="H158" s="4">
        <f>6.3607 * CHOOSE(CONTROL!$C$15, $D$11, 100%, $F$11)</f>
        <v>6.3606999999999996</v>
      </c>
      <c r="I158" s="8">
        <f>5.4278 * CHOOSE(CONTROL!$C$15, $D$11, 100%, $F$11)</f>
        <v>5.4278000000000004</v>
      </c>
      <c r="J158" s="4">
        <f>5.3311 * CHOOSE(CONTROL!$C$15, $D$11, 100%, $F$11)</f>
        <v>5.3311000000000002</v>
      </c>
      <c r="K158" s="4"/>
      <c r="L158" s="9">
        <v>31.095300000000002</v>
      </c>
      <c r="M158" s="9">
        <v>12.063700000000001</v>
      </c>
      <c r="N158" s="9">
        <v>4.9444999999999997</v>
      </c>
      <c r="O158" s="9">
        <v>0.37409999999999999</v>
      </c>
      <c r="P158" s="9">
        <v>1.2183999999999999</v>
      </c>
      <c r="Q158" s="9">
        <v>32.070099999999996</v>
      </c>
      <c r="R158" s="9"/>
      <c r="S158" s="11"/>
    </row>
    <row r="159" spans="1:19" ht="15.75">
      <c r="A159" s="13">
        <v>46327</v>
      </c>
      <c r="B159" s="8">
        <f>5.9779 * CHOOSE(CONTROL!$C$15, $D$11, 100%, $F$11)</f>
        <v>5.9779</v>
      </c>
      <c r="C159" s="8">
        <f>5.983 * CHOOSE(CONTROL!$C$15, $D$11, 100%, $F$11)</f>
        <v>5.9829999999999997</v>
      </c>
      <c r="D159" s="8">
        <f>5.96 * CHOOSE( CONTROL!$C$15, $D$11, 100%, $F$11)</f>
        <v>5.96</v>
      </c>
      <c r="E159" s="12">
        <f>5.9679 * CHOOSE( CONTROL!$C$15, $D$11, 100%, $F$11)</f>
        <v>5.9679000000000002</v>
      </c>
      <c r="F159" s="4">
        <f>6.6228 * CHOOSE(CONTROL!$C$15, $D$11, 100%, $F$11)</f>
        <v>6.6227999999999998</v>
      </c>
      <c r="G159" s="8">
        <f>5.8599 * CHOOSE( CONTROL!$C$15, $D$11, 100%, $F$11)</f>
        <v>5.8598999999999997</v>
      </c>
      <c r="H159" s="4">
        <f>6.7417 * CHOOSE(CONTROL!$C$15, $D$11, 100%, $F$11)</f>
        <v>6.7416999999999998</v>
      </c>
      <c r="I159" s="8">
        <f>5.8712 * CHOOSE(CONTROL!$C$15, $D$11, 100%, $F$11)</f>
        <v>5.8712</v>
      </c>
      <c r="J159" s="4">
        <f>5.7496 * CHOOSE(CONTROL!$C$15, $D$11, 100%, $F$11)</f>
        <v>5.7496</v>
      </c>
      <c r="K159" s="4"/>
      <c r="L159" s="9">
        <v>28.360600000000002</v>
      </c>
      <c r="M159" s="9">
        <v>11.6745</v>
      </c>
      <c r="N159" s="9">
        <v>4.7850000000000001</v>
      </c>
      <c r="O159" s="9">
        <v>0.36199999999999999</v>
      </c>
      <c r="P159" s="9">
        <v>1.2509999999999999</v>
      </c>
      <c r="Q159" s="9">
        <v>31.035599999999999</v>
      </c>
      <c r="R159" s="9"/>
      <c r="S159" s="11"/>
    </row>
    <row r="160" spans="1:19" ht="15.75">
      <c r="A160" s="13">
        <v>46357</v>
      </c>
      <c r="B160" s="8">
        <f>5.9671 * CHOOSE(CONTROL!$C$15, $D$11, 100%, $F$11)</f>
        <v>5.9671000000000003</v>
      </c>
      <c r="C160" s="8">
        <f>5.9722 * CHOOSE(CONTROL!$C$15, $D$11, 100%, $F$11)</f>
        <v>5.9722</v>
      </c>
      <c r="D160" s="8">
        <f>5.9505 * CHOOSE( CONTROL!$C$15, $D$11, 100%, $F$11)</f>
        <v>5.9504999999999999</v>
      </c>
      <c r="E160" s="12">
        <f>5.9579 * CHOOSE( CONTROL!$C$15, $D$11, 100%, $F$11)</f>
        <v>5.9579000000000004</v>
      </c>
      <c r="F160" s="4">
        <f>6.612 * CHOOSE(CONTROL!$C$15, $D$11, 100%, $F$11)</f>
        <v>6.6120000000000001</v>
      </c>
      <c r="G160" s="8">
        <f>5.8503 * CHOOSE( CONTROL!$C$15, $D$11, 100%, $F$11)</f>
        <v>5.8502999999999998</v>
      </c>
      <c r="H160" s="4">
        <f>6.7311 * CHOOSE(CONTROL!$C$15, $D$11, 100%, $F$11)</f>
        <v>6.7310999999999996</v>
      </c>
      <c r="I160" s="8">
        <f>5.8651 * CHOOSE(CONTROL!$C$15, $D$11, 100%, $F$11)</f>
        <v>5.8651</v>
      </c>
      <c r="J160" s="4">
        <f>5.7392 * CHOOSE(CONTROL!$C$15, $D$11, 100%, $F$11)</f>
        <v>5.7392000000000003</v>
      </c>
      <c r="K160" s="4"/>
      <c r="L160" s="9">
        <v>29.306000000000001</v>
      </c>
      <c r="M160" s="9">
        <v>12.063700000000001</v>
      </c>
      <c r="N160" s="9">
        <v>4.9444999999999997</v>
      </c>
      <c r="O160" s="9">
        <v>0.37409999999999999</v>
      </c>
      <c r="P160" s="9">
        <v>1.2927</v>
      </c>
      <c r="Q160" s="9">
        <v>32.070099999999996</v>
      </c>
      <c r="R160" s="9"/>
      <c r="S160" s="11"/>
    </row>
    <row r="161" spans="1:19" ht="15.75">
      <c r="A161" s="13">
        <v>46388</v>
      </c>
      <c r="B161" s="8">
        <f>6.1846 * CHOOSE(CONTROL!$C$15, $D$11, 100%, $F$11)</f>
        <v>6.1845999999999997</v>
      </c>
      <c r="C161" s="8">
        <f>6.1897 * CHOOSE(CONTROL!$C$15, $D$11, 100%, $F$11)</f>
        <v>6.1897000000000002</v>
      </c>
      <c r="D161" s="8">
        <f>6.1639 * CHOOSE( CONTROL!$C$15, $D$11, 100%, $F$11)</f>
        <v>6.1638999999999999</v>
      </c>
      <c r="E161" s="12">
        <f>6.1728 * CHOOSE( CONTROL!$C$15, $D$11, 100%, $F$11)</f>
        <v>6.1727999999999996</v>
      </c>
      <c r="F161" s="4">
        <f>6.8286 * CHOOSE(CONTROL!$C$15, $D$11, 100%, $F$11)</f>
        <v>6.8285999999999998</v>
      </c>
      <c r="G161" s="8">
        <f>6.0579 * CHOOSE( CONTROL!$C$15, $D$11, 100%, $F$11)</f>
        <v>6.0579000000000001</v>
      </c>
      <c r="H161" s="4">
        <f>6.9442 * CHOOSE(CONTROL!$C$15, $D$11, 100%, $F$11)</f>
        <v>6.9442000000000004</v>
      </c>
      <c r="I161" s="8">
        <f>6.0461 * CHOOSE(CONTROL!$C$15, $D$11, 100%, $F$11)</f>
        <v>6.0461</v>
      </c>
      <c r="J161" s="4">
        <f>5.9495 * CHOOSE(CONTROL!$C$15, $D$11, 100%, $F$11)</f>
        <v>5.9494999999999996</v>
      </c>
      <c r="K161" s="4"/>
      <c r="L161" s="9">
        <v>29.306000000000001</v>
      </c>
      <c r="M161" s="9">
        <v>12.063700000000001</v>
      </c>
      <c r="N161" s="9">
        <v>4.9444999999999997</v>
      </c>
      <c r="O161" s="9">
        <v>0.37409999999999999</v>
      </c>
      <c r="P161" s="9">
        <v>1.2927</v>
      </c>
      <c r="Q161" s="9">
        <v>31.885999999999999</v>
      </c>
      <c r="R161" s="9"/>
      <c r="S161" s="11"/>
    </row>
    <row r="162" spans="1:19" ht="15.75">
      <c r="A162" s="13">
        <v>46419</v>
      </c>
      <c r="B162" s="8">
        <f>5.7867 * CHOOSE(CONTROL!$C$15, $D$11, 100%, $F$11)</f>
        <v>5.7866999999999997</v>
      </c>
      <c r="C162" s="8">
        <f>5.7919 * CHOOSE(CONTROL!$C$15, $D$11, 100%, $F$11)</f>
        <v>5.7919</v>
      </c>
      <c r="D162" s="8">
        <f>5.7662 * CHOOSE( CONTROL!$C$15, $D$11, 100%, $F$11)</f>
        <v>5.7662000000000004</v>
      </c>
      <c r="E162" s="12">
        <f>5.775 * CHOOSE( CONTROL!$C$15, $D$11, 100%, $F$11)</f>
        <v>5.7750000000000004</v>
      </c>
      <c r="F162" s="4">
        <f>6.4308 * CHOOSE(CONTROL!$C$15, $D$11, 100%, $F$11)</f>
        <v>6.4307999999999996</v>
      </c>
      <c r="G162" s="8">
        <f>5.6668 * CHOOSE( CONTROL!$C$15, $D$11, 100%, $F$11)</f>
        <v>5.6668000000000003</v>
      </c>
      <c r="H162" s="4">
        <f>6.5529 * CHOOSE(CONTROL!$C$15, $D$11, 100%, $F$11)</f>
        <v>6.5529000000000002</v>
      </c>
      <c r="I162" s="8">
        <f>5.662 * CHOOSE(CONTROL!$C$15, $D$11, 100%, $F$11)</f>
        <v>5.6619999999999999</v>
      </c>
      <c r="J162" s="4">
        <f>5.5649 * CHOOSE(CONTROL!$C$15, $D$11, 100%, $F$11)</f>
        <v>5.5648999999999997</v>
      </c>
      <c r="K162" s="4"/>
      <c r="L162" s="9">
        <v>26.469899999999999</v>
      </c>
      <c r="M162" s="9">
        <v>10.8962</v>
      </c>
      <c r="N162" s="9">
        <v>4.4660000000000002</v>
      </c>
      <c r="O162" s="9">
        <v>0.33789999999999998</v>
      </c>
      <c r="P162" s="9">
        <v>1.1676</v>
      </c>
      <c r="Q162" s="9">
        <v>28.8002</v>
      </c>
      <c r="R162" s="9"/>
      <c r="S162" s="11"/>
    </row>
    <row r="163" spans="1:19" ht="15.75">
      <c r="A163" s="13">
        <v>46447</v>
      </c>
      <c r="B163" s="8">
        <f>5.6642 * CHOOSE(CONTROL!$C$15, $D$11, 100%, $F$11)</f>
        <v>5.6642000000000001</v>
      </c>
      <c r="C163" s="8">
        <f>5.6693 * CHOOSE(CONTROL!$C$15, $D$11, 100%, $F$11)</f>
        <v>5.6692999999999998</v>
      </c>
      <c r="D163" s="8">
        <f>5.6436 * CHOOSE( CONTROL!$C$15, $D$11, 100%, $F$11)</f>
        <v>5.6436000000000002</v>
      </c>
      <c r="E163" s="12">
        <f>5.6525 * CHOOSE( CONTROL!$C$15, $D$11, 100%, $F$11)</f>
        <v>5.6524999999999999</v>
      </c>
      <c r="F163" s="4">
        <f>6.3082 * CHOOSE(CONTROL!$C$15, $D$11, 100%, $F$11)</f>
        <v>6.3082000000000003</v>
      </c>
      <c r="G163" s="8">
        <f>5.5463 * CHOOSE( CONTROL!$C$15, $D$11, 100%, $F$11)</f>
        <v>5.5462999999999996</v>
      </c>
      <c r="H163" s="4">
        <f>6.4324 * CHOOSE(CONTROL!$C$15, $D$11, 100%, $F$11)</f>
        <v>6.4324000000000003</v>
      </c>
      <c r="I163" s="8">
        <f>5.5433 * CHOOSE(CONTROL!$C$15, $D$11, 100%, $F$11)</f>
        <v>5.5433000000000003</v>
      </c>
      <c r="J163" s="4">
        <f>5.4464 * CHOOSE(CONTROL!$C$15, $D$11, 100%, $F$11)</f>
        <v>5.4463999999999997</v>
      </c>
      <c r="K163" s="4"/>
      <c r="L163" s="9">
        <v>29.306000000000001</v>
      </c>
      <c r="M163" s="9">
        <v>12.063700000000001</v>
      </c>
      <c r="N163" s="9">
        <v>4.9444999999999997</v>
      </c>
      <c r="O163" s="9">
        <v>0.37409999999999999</v>
      </c>
      <c r="P163" s="9">
        <v>1.2927</v>
      </c>
      <c r="Q163" s="9">
        <v>31.885999999999999</v>
      </c>
      <c r="R163" s="9"/>
      <c r="S163" s="11"/>
    </row>
    <row r="164" spans="1:19" ht="15.75">
      <c r="A164" s="13">
        <v>46478</v>
      </c>
      <c r="B164" s="8">
        <f>5.7506 * CHOOSE(CONTROL!$C$15, $D$11, 100%, $F$11)</f>
        <v>5.7506000000000004</v>
      </c>
      <c r="C164" s="8">
        <f>5.7551 * CHOOSE(CONTROL!$C$15, $D$11, 100%, $F$11)</f>
        <v>5.7550999999999997</v>
      </c>
      <c r="D164" s="8">
        <f>5.7662 * CHOOSE( CONTROL!$C$15, $D$11, 100%, $F$11)</f>
        <v>5.7662000000000004</v>
      </c>
      <c r="E164" s="12">
        <f>5.762 * CHOOSE( CONTROL!$C$15, $D$11, 100%, $F$11)</f>
        <v>5.7619999999999996</v>
      </c>
      <c r="F164" s="4">
        <f>6.4402 * CHOOSE(CONTROL!$C$15, $D$11, 100%, $F$11)</f>
        <v>6.4401999999999999</v>
      </c>
      <c r="G164" s="8">
        <f>5.6233 * CHOOSE( CONTROL!$C$15, $D$11, 100%, $F$11)</f>
        <v>5.6233000000000004</v>
      </c>
      <c r="H164" s="4">
        <f>6.5622 * CHOOSE(CONTROL!$C$15, $D$11, 100%, $F$11)</f>
        <v>6.5621999999999998</v>
      </c>
      <c r="I164" s="8">
        <f>5.6211 * CHOOSE(CONTROL!$C$15, $D$11, 100%, $F$11)</f>
        <v>5.6211000000000002</v>
      </c>
      <c r="J164" s="4">
        <f>5.5292 * CHOOSE(CONTROL!$C$15, $D$11, 100%, $F$11)</f>
        <v>5.5292000000000003</v>
      </c>
      <c r="K164" s="4"/>
      <c r="L164" s="9">
        <v>30.092199999999998</v>
      </c>
      <c r="M164" s="9">
        <v>11.6745</v>
      </c>
      <c r="N164" s="9">
        <v>4.7850000000000001</v>
      </c>
      <c r="O164" s="9">
        <v>0.36199999999999999</v>
      </c>
      <c r="P164" s="9">
        <v>1.1791</v>
      </c>
      <c r="Q164" s="9">
        <v>30.857399999999998</v>
      </c>
      <c r="R164" s="9"/>
      <c r="S164" s="11"/>
    </row>
    <row r="165" spans="1:19" ht="15.75">
      <c r="A165" s="13">
        <v>46508</v>
      </c>
      <c r="B165" s="8">
        <f>CHOOSE( CONTROL!$C$32, 5.9079, 5.9044) * CHOOSE(CONTROL!$C$15, $D$11, 100%, $F$11)</f>
        <v>5.9078999999999997</v>
      </c>
      <c r="C165" s="8">
        <f>CHOOSE( CONTROL!$C$32, 5.9159, 5.9124) * CHOOSE(CONTROL!$C$15, $D$11, 100%, $F$11)</f>
        <v>5.9158999999999997</v>
      </c>
      <c r="D165" s="8">
        <f>CHOOSE( CONTROL!$C$32, 5.922, 5.9184) * CHOOSE( CONTROL!$C$15, $D$11, 100%, $F$11)</f>
        <v>5.9219999999999997</v>
      </c>
      <c r="E165" s="12">
        <f>CHOOSE( CONTROL!$C$32, 5.9186, 5.915) * CHOOSE( CONTROL!$C$15, $D$11, 100%, $F$11)</f>
        <v>5.9185999999999996</v>
      </c>
      <c r="F165" s="4">
        <f>CHOOSE( CONTROL!$C$32, 6.5962, 6.5926) * CHOOSE(CONTROL!$C$15, $D$11, 100%, $F$11)</f>
        <v>6.5961999999999996</v>
      </c>
      <c r="G165" s="8">
        <f>CHOOSE( CONTROL!$C$32, 5.7777, 5.7742) * CHOOSE( CONTROL!$C$15, $D$11, 100%, $F$11)</f>
        <v>5.7777000000000003</v>
      </c>
      <c r="H165" s="4">
        <f>CHOOSE( CONTROL!$C$32, 6.7156, 6.7121) * CHOOSE(CONTROL!$C$15, $D$11, 100%, $F$11)</f>
        <v>6.7156000000000002</v>
      </c>
      <c r="I165" s="8">
        <f>CHOOSE( CONTROL!$C$32, 5.7728, 5.7694) * CHOOSE(CONTROL!$C$15, $D$11, 100%, $F$11)</f>
        <v>5.7728000000000002</v>
      </c>
      <c r="J165" s="4">
        <f>CHOOSE( CONTROL!$C$32, 5.68, 5.6765) * CHOOSE(CONTROL!$C$15, $D$11, 100%, $F$11)</f>
        <v>5.68</v>
      </c>
      <c r="K165" s="4"/>
      <c r="L165" s="9">
        <v>30.7165</v>
      </c>
      <c r="M165" s="9">
        <v>12.063700000000001</v>
      </c>
      <c r="N165" s="9">
        <v>4.9444999999999997</v>
      </c>
      <c r="O165" s="9">
        <v>0.37409999999999999</v>
      </c>
      <c r="P165" s="9">
        <v>1.2183999999999999</v>
      </c>
      <c r="Q165" s="9">
        <v>31.885999999999999</v>
      </c>
      <c r="R165" s="9"/>
      <c r="S165" s="11"/>
    </row>
    <row r="166" spans="1:19" ht="15.75">
      <c r="A166" s="13">
        <v>46539</v>
      </c>
      <c r="B166" s="8">
        <f>CHOOSE( CONTROL!$C$32, 5.8135, 5.81) * CHOOSE(CONTROL!$C$15, $D$11, 100%, $F$11)</f>
        <v>5.8135000000000003</v>
      </c>
      <c r="C166" s="8">
        <f>CHOOSE( CONTROL!$C$32, 5.8215, 5.818) * CHOOSE(CONTROL!$C$15, $D$11, 100%, $F$11)</f>
        <v>5.8215000000000003</v>
      </c>
      <c r="D166" s="8">
        <f>CHOOSE( CONTROL!$C$32, 5.8278, 5.8243) * CHOOSE( CONTROL!$C$15, $D$11, 100%, $F$11)</f>
        <v>5.8277999999999999</v>
      </c>
      <c r="E166" s="12">
        <f>CHOOSE( CONTROL!$C$32, 5.8243, 5.8208) * CHOOSE( CONTROL!$C$15, $D$11, 100%, $F$11)</f>
        <v>5.8243</v>
      </c>
      <c r="F166" s="4">
        <f>CHOOSE( CONTROL!$C$32, 6.5018, 6.4982) * CHOOSE(CONTROL!$C$15, $D$11, 100%, $F$11)</f>
        <v>6.5018000000000002</v>
      </c>
      <c r="G166" s="8">
        <f>CHOOSE( CONTROL!$C$32, 5.6853, 5.6818) * CHOOSE( CONTROL!$C$15, $D$11, 100%, $F$11)</f>
        <v>5.6852999999999998</v>
      </c>
      <c r="H166" s="4">
        <f>CHOOSE( CONTROL!$C$32, 6.6227, 6.6192) * CHOOSE(CONTROL!$C$15, $D$11, 100%, $F$11)</f>
        <v>6.6227</v>
      </c>
      <c r="I166" s="8">
        <f>CHOOSE( CONTROL!$C$32, 5.6829, 5.6794) * CHOOSE(CONTROL!$C$15, $D$11, 100%, $F$11)</f>
        <v>5.6829000000000001</v>
      </c>
      <c r="J166" s="4">
        <f>CHOOSE( CONTROL!$C$32, 5.5887, 5.5852) * CHOOSE(CONTROL!$C$15, $D$11, 100%, $F$11)</f>
        <v>5.5887000000000002</v>
      </c>
      <c r="K166" s="4"/>
      <c r="L166" s="9">
        <v>29.7257</v>
      </c>
      <c r="M166" s="9">
        <v>11.6745</v>
      </c>
      <c r="N166" s="9">
        <v>4.7850000000000001</v>
      </c>
      <c r="O166" s="9">
        <v>0.36199999999999999</v>
      </c>
      <c r="P166" s="9">
        <v>1.1791</v>
      </c>
      <c r="Q166" s="9">
        <v>30.857399999999998</v>
      </c>
      <c r="R166" s="9"/>
      <c r="S166" s="11"/>
    </row>
    <row r="167" spans="1:19" ht="15.75">
      <c r="A167" s="13">
        <v>46569</v>
      </c>
      <c r="B167" s="8">
        <f>CHOOSE( CONTROL!$C$32, 6.0621, 6.0586) * CHOOSE(CONTROL!$C$15, $D$11, 100%, $F$11)</f>
        <v>6.0621</v>
      </c>
      <c r="C167" s="8">
        <f>CHOOSE( CONTROL!$C$32, 6.0701, 6.0666) * CHOOSE(CONTROL!$C$15, $D$11, 100%, $F$11)</f>
        <v>6.0701000000000001</v>
      </c>
      <c r="D167" s="8">
        <f>CHOOSE( CONTROL!$C$32, 6.0767, 6.0732) * CHOOSE( CONTROL!$C$15, $D$11, 100%, $F$11)</f>
        <v>6.0766999999999998</v>
      </c>
      <c r="E167" s="12">
        <f>CHOOSE( CONTROL!$C$32, 6.0731, 6.0696) * CHOOSE( CONTROL!$C$15, $D$11, 100%, $F$11)</f>
        <v>6.0731000000000002</v>
      </c>
      <c r="F167" s="4">
        <f>CHOOSE( CONTROL!$C$32, 6.7504, 6.7468) * CHOOSE(CONTROL!$C$15, $D$11, 100%, $F$11)</f>
        <v>6.7504</v>
      </c>
      <c r="G167" s="8">
        <f>CHOOSE( CONTROL!$C$32, 5.9302, 5.9267) * CHOOSE( CONTROL!$C$15, $D$11, 100%, $F$11)</f>
        <v>5.9302000000000001</v>
      </c>
      <c r="H167" s="4">
        <f>CHOOSE( CONTROL!$C$32, 6.8672, 6.8637) * CHOOSE(CONTROL!$C$15, $D$11, 100%, $F$11)</f>
        <v>6.8672000000000004</v>
      </c>
      <c r="I167" s="8">
        <f>CHOOSE( CONTROL!$C$32, 5.9248, 5.9213) * CHOOSE(CONTROL!$C$15, $D$11, 100%, $F$11)</f>
        <v>5.9248000000000003</v>
      </c>
      <c r="J167" s="4">
        <f>CHOOSE( CONTROL!$C$32, 5.829, 5.8256) * CHOOSE(CONTROL!$C$15, $D$11, 100%, $F$11)</f>
        <v>5.8289999999999997</v>
      </c>
      <c r="K167" s="4"/>
      <c r="L167" s="9">
        <v>30.7165</v>
      </c>
      <c r="M167" s="9">
        <v>12.063700000000001</v>
      </c>
      <c r="N167" s="9">
        <v>4.9444999999999997</v>
      </c>
      <c r="O167" s="9">
        <v>0.37409999999999999</v>
      </c>
      <c r="P167" s="9">
        <v>1.2183999999999999</v>
      </c>
      <c r="Q167" s="9">
        <v>31.885999999999999</v>
      </c>
      <c r="R167" s="9"/>
      <c r="S167" s="11"/>
    </row>
    <row r="168" spans="1:19" ht="15.75">
      <c r="A168" s="13">
        <v>46600</v>
      </c>
      <c r="B168" s="8">
        <f>CHOOSE( CONTROL!$C$32, 5.5969, 5.5934) * CHOOSE(CONTROL!$C$15, $D$11, 100%, $F$11)</f>
        <v>5.5968999999999998</v>
      </c>
      <c r="C168" s="8">
        <f>CHOOSE( CONTROL!$C$32, 5.605, 5.6014) * CHOOSE(CONTROL!$C$15, $D$11, 100%, $F$11)</f>
        <v>5.6050000000000004</v>
      </c>
      <c r="D168" s="8">
        <f>CHOOSE( CONTROL!$C$32, 5.6117, 5.6081) * CHOOSE( CONTROL!$C$15, $D$11, 100%, $F$11)</f>
        <v>5.6116999999999999</v>
      </c>
      <c r="E168" s="12">
        <f>CHOOSE( CONTROL!$C$32, 5.608, 5.6045) * CHOOSE( CONTROL!$C$15, $D$11, 100%, $F$11)</f>
        <v>5.6079999999999997</v>
      </c>
      <c r="F168" s="4">
        <f>CHOOSE( CONTROL!$C$32, 6.2852, 6.2817) * CHOOSE(CONTROL!$C$15, $D$11, 100%, $F$11)</f>
        <v>6.2851999999999997</v>
      </c>
      <c r="G168" s="8">
        <f>CHOOSE( CONTROL!$C$32, 5.4729, 5.4694) * CHOOSE( CONTROL!$C$15, $D$11, 100%, $F$11)</f>
        <v>5.4729000000000001</v>
      </c>
      <c r="H168" s="4">
        <f>CHOOSE( CONTROL!$C$32, 6.4098, 6.4063) * CHOOSE(CONTROL!$C$15, $D$11, 100%, $F$11)</f>
        <v>6.4097999999999997</v>
      </c>
      <c r="I168" s="8">
        <f>CHOOSE( CONTROL!$C$32, 5.4753, 5.4719) * CHOOSE(CONTROL!$C$15, $D$11, 100%, $F$11)</f>
        <v>5.4752999999999998</v>
      </c>
      <c r="J168" s="4">
        <f>CHOOSE( CONTROL!$C$32, 5.3793, 5.3759) * CHOOSE(CONTROL!$C$15, $D$11, 100%, $F$11)</f>
        <v>5.3792999999999997</v>
      </c>
      <c r="K168" s="4"/>
      <c r="L168" s="9">
        <v>30.7165</v>
      </c>
      <c r="M168" s="9">
        <v>12.063700000000001</v>
      </c>
      <c r="N168" s="9">
        <v>4.9444999999999997</v>
      </c>
      <c r="O168" s="9">
        <v>0.37409999999999999</v>
      </c>
      <c r="P168" s="9">
        <v>1.2183999999999999</v>
      </c>
      <c r="Q168" s="9">
        <v>31.885999999999999</v>
      </c>
      <c r="R168" s="9"/>
      <c r="S168" s="11"/>
    </row>
    <row r="169" spans="1:19" ht="15.75">
      <c r="A169" s="13">
        <v>46631</v>
      </c>
      <c r="B169" s="8">
        <f>CHOOSE( CONTROL!$C$32, 5.4805, 5.4769) * CHOOSE(CONTROL!$C$15, $D$11, 100%, $F$11)</f>
        <v>5.4805000000000001</v>
      </c>
      <c r="C169" s="8">
        <f>CHOOSE( CONTROL!$C$32, 5.4885, 5.4849) * CHOOSE(CONTROL!$C$15, $D$11, 100%, $F$11)</f>
        <v>5.4885000000000002</v>
      </c>
      <c r="D169" s="8">
        <f>CHOOSE( CONTROL!$C$32, 5.4952, 5.4916) * CHOOSE( CONTROL!$C$15, $D$11, 100%, $F$11)</f>
        <v>5.4951999999999996</v>
      </c>
      <c r="E169" s="12">
        <f>CHOOSE( CONTROL!$C$32, 5.4916, 5.488) * CHOOSE( CONTROL!$C$15, $D$11, 100%, $F$11)</f>
        <v>5.4916</v>
      </c>
      <c r="F169" s="4">
        <f>CHOOSE( CONTROL!$C$32, 6.1687, 6.1652) * CHOOSE(CONTROL!$C$15, $D$11, 100%, $F$11)</f>
        <v>6.1687000000000003</v>
      </c>
      <c r="G169" s="8">
        <f>CHOOSE( CONTROL!$C$32, 5.3584, 5.3549) * CHOOSE( CONTROL!$C$15, $D$11, 100%, $F$11)</f>
        <v>5.3583999999999996</v>
      </c>
      <c r="H169" s="4">
        <f>CHOOSE( CONTROL!$C$32, 6.2952, 6.2917) * CHOOSE(CONTROL!$C$15, $D$11, 100%, $F$11)</f>
        <v>6.2952000000000004</v>
      </c>
      <c r="I169" s="8">
        <f>CHOOSE( CONTROL!$C$32, 5.3627, 5.3592) * CHOOSE(CONTROL!$C$15, $D$11, 100%, $F$11)</f>
        <v>5.3627000000000002</v>
      </c>
      <c r="J169" s="4">
        <f>CHOOSE( CONTROL!$C$32, 5.2667, 5.2633) * CHOOSE(CONTROL!$C$15, $D$11, 100%, $F$11)</f>
        <v>5.2667000000000002</v>
      </c>
      <c r="K169" s="4"/>
      <c r="L169" s="9">
        <v>29.7257</v>
      </c>
      <c r="M169" s="9">
        <v>11.6745</v>
      </c>
      <c r="N169" s="9">
        <v>4.7850000000000001</v>
      </c>
      <c r="O169" s="9">
        <v>0.36199999999999999</v>
      </c>
      <c r="P169" s="9">
        <v>1.1791</v>
      </c>
      <c r="Q169" s="9">
        <v>30.857399999999998</v>
      </c>
      <c r="R169" s="9"/>
      <c r="S169" s="11"/>
    </row>
    <row r="170" spans="1:19" ht="15.75">
      <c r="A170" s="13">
        <v>46661</v>
      </c>
      <c r="B170" s="8">
        <f>5.717 * CHOOSE(CONTROL!$C$15, $D$11, 100%, $F$11)</f>
        <v>5.7169999999999996</v>
      </c>
      <c r="C170" s="8">
        <f>5.7224 * CHOOSE(CONTROL!$C$15, $D$11, 100%, $F$11)</f>
        <v>5.7224000000000004</v>
      </c>
      <c r="D170" s="8">
        <f>5.7339 * CHOOSE( CONTROL!$C$15, $D$11, 100%, $F$11)</f>
        <v>5.7339000000000002</v>
      </c>
      <c r="E170" s="12">
        <f>5.7295 * CHOOSE( CONTROL!$C$15, $D$11, 100%, $F$11)</f>
        <v>5.7294999999999998</v>
      </c>
      <c r="F170" s="4">
        <f>6.407 * CHOOSE(CONTROL!$C$15, $D$11, 100%, $F$11)</f>
        <v>6.407</v>
      </c>
      <c r="G170" s="8">
        <f>5.5922 * CHOOSE( CONTROL!$C$15, $D$11, 100%, $F$11)</f>
        <v>5.5922000000000001</v>
      </c>
      <c r="H170" s="4">
        <f>6.5296 * CHOOSE(CONTROL!$C$15, $D$11, 100%, $F$11)</f>
        <v>6.5296000000000003</v>
      </c>
      <c r="I170" s="8">
        <f>5.5939 * CHOOSE(CONTROL!$C$15, $D$11, 100%, $F$11)</f>
        <v>5.5938999999999997</v>
      </c>
      <c r="J170" s="4">
        <f>5.4971 * CHOOSE(CONTROL!$C$15, $D$11, 100%, $F$11)</f>
        <v>5.4970999999999997</v>
      </c>
      <c r="K170" s="4"/>
      <c r="L170" s="9">
        <v>31.095300000000002</v>
      </c>
      <c r="M170" s="9">
        <v>12.063700000000001</v>
      </c>
      <c r="N170" s="9">
        <v>4.9444999999999997</v>
      </c>
      <c r="O170" s="9">
        <v>0.37409999999999999</v>
      </c>
      <c r="P170" s="9">
        <v>1.2183999999999999</v>
      </c>
      <c r="Q170" s="9">
        <v>31.885999999999999</v>
      </c>
      <c r="R170" s="9"/>
      <c r="S170" s="11"/>
    </row>
    <row r="171" spans="1:19" ht="15.75">
      <c r="A171" s="13">
        <v>46692</v>
      </c>
      <c r="B171" s="8">
        <f>6.1631 * CHOOSE(CONTROL!$C$15, $D$11, 100%, $F$11)</f>
        <v>6.1631</v>
      </c>
      <c r="C171" s="8">
        <f>6.1682 * CHOOSE(CONTROL!$C$15, $D$11, 100%, $F$11)</f>
        <v>6.1681999999999997</v>
      </c>
      <c r="D171" s="8">
        <f>6.1451 * CHOOSE( CONTROL!$C$15, $D$11, 100%, $F$11)</f>
        <v>6.1451000000000002</v>
      </c>
      <c r="E171" s="12">
        <f>6.153 * CHOOSE( CONTROL!$C$15, $D$11, 100%, $F$11)</f>
        <v>6.1529999999999996</v>
      </c>
      <c r="F171" s="4">
        <f>6.808 * CHOOSE(CONTROL!$C$15, $D$11, 100%, $F$11)</f>
        <v>6.8079999999999998</v>
      </c>
      <c r="G171" s="8">
        <f>6.042 * CHOOSE( CONTROL!$C$15, $D$11, 100%, $F$11)</f>
        <v>6.0419999999999998</v>
      </c>
      <c r="H171" s="4">
        <f>6.9238 * CHOOSE(CONTROL!$C$15, $D$11, 100%, $F$11)</f>
        <v>6.9238</v>
      </c>
      <c r="I171" s="8">
        <f>6.0503 * CHOOSE(CONTROL!$C$15, $D$11, 100%, $F$11)</f>
        <v>6.0503</v>
      </c>
      <c r="J171" s="4">
        <f>5.9287 * CHOOSE(CONTROL!$C$15, $D$11, 100%, $F$11)</f>
        <v>5.9287000000000001</v>
      </c>
      <c r="K171" s="4"/>
      <c r="L171" s="9">
        <v>28.360600000000002</v>
      </c>
      <c r="M171" s="9">
        <v>11.6745</v>
      </c>
      <c r="N171" s="9">
        <v>4.7850000000000001</v>
      </c>
      <c r="O171" s="9">
        <v>0.36199999999999999</v>
      </c>
      <c r="P171" s="9">
        <v>1.2509999999999999</v>
      </c>
      <c r="Q171" s="9">
        <v>30.857399999999998</v>
      </c>
      <c r="R171" s="9"/>
      <c r="S171" s="11"/>
    </row>
    <row r="172" spans="1:19" ht="15.75">
      <c r="A172" s="13">
        <v>46722</v>
      </c>
      <c r="B172" s="8">
        <f>6.1519 * CHOOSE(CONTROL!$C$15, $D$11, 100%, $F$11)</f>
        <v>6.1519000000000004</v>
      </c>
      <c r="C172" s="8">
        <f>6.157 * CHOOSE(CONTROL!$C$15, $D$11, 100%, $F$11)</f>
        <v>6.157</v>
      </c>
      <c r="D172" s="8">
        <f>6.1353 * CHOOSE( CONTROL!$C$15, $D$11, 100%, $F$11)</f>
        <v>6.1353</v>
      </c>
      <c r="E172" s="12">
        <f>6.1427 * CHOOSE( CONTROL!$C$15, $D$11, 100%, $F$11)</f>
        <v>6.1426999999999996</v>
      </c>
      <c r="F172" s="4">
        <f>6.7968 * CHOOSE(CONTROL!$C$15, $D$11, 100%, $F$11)</f>
        <v>6.7968000000000002</v>
      </c>
      <c r="G172" s="8">
        <f>6.0321 * CHOOSE( CONTROL!$C$15, $D$11, 100%, $F$11)</f>
        <v>6.0320999999999998</v>
      </c>
      <c r="H172" s="4">
        <f>6.9129 * CHOOSE(CONTROL!$C$15, $D$11, 100%, $F$11)</f>
        <v>6.9128999999999996</v>
      </c>
      <c r="I172" s="8">
        <f>6.0439 * CHOOSE(CONTROL!$C$15, $D$11, 100%, $F$11)</f>
        <v>6.0438999999999998</v>
      </c>
      <c r="J172" s="4">
        <f>5.9179 * CHOOSE(CONTROL!$C$15, $D$11, 100%, $F$11)</f>
        <v>5.9179000000000004</v>
      </c>
      <c r="K172" s="4"/>
      <c r="L172" s="9">
        <v>29.306000000000001</v>
      </c>
      <c r="M172" s="9">
        <v>12.063700000000001</v>
      </c>
      <c r="N172" s="9">
        <v>4.9444999999999997</v>
      </c>
      <c r="O172" s="9">
        <v>0.37409999999999999</v>
      </c>
      <c r="P172" s="9">
        <v>1.2927</v>
      </c>
      <c r="Q172" s="9">
        <v>31.885999999999999</v>
      </c>
      <c r="R172" s="9"/>
      <c r="S172" s="11"/>
    </row>
    <row r="173" spans="1:19" ht="15.75">
      <c r="A173" s="13">
        <v>46753</v>
      </c>
      <c r="B173" s="8">
        <f>6.3814 * CHOOSE(CONTROL!$C$15, $D$11, 100%, $F$11)</f>
        <v>6.3814000000000002</v>
      </c>
      <c r="C173" s="8">
        <f>6.3865 * CHOOSE(CONTROL!$C$15, $D$11, 100%, $F$11)</f>
        <v>6.3864999999999998</v>
      </c>
      <c r="D173" s="8">
        <f>6.3607 * CHOOSE( CONTROL!$C$15, $D$11, 100%, $F$11)</f>
        <v>6.3606999999999996</v>
      </c>
      <c r="E173" s="12">
        <f>6.3696 * CHOOSE( CONTROL!$C$15, $D$11, 100%, $F$11)</f>
        <v>6.3696000000000002</v>
      </c>
      <c r="F173" s="4">
        <f>7.0254 * CHOOSE(CONTROL!$C$15, $D$11, 100%, $F$11)</f>
        <v>7.0254000000000003</v>
      </c>
      <c r="G173" s="8">
        <f>6.2514 * CHOOSE( CONTROL!$C$15, $D$11, 100%, $F$11)</f>
        <v>6.2514000000000003</v>
      </c>
      <c r="H173" s="4">
        <f>7.1377 * CHOOSE(CONTROL!$C$15, $D$11, 100%, $F$11)</f>
        <v>7.1376999999999997</v>
      </c>
      <c r="I173" s="8">
        <f>6.2364 * CHOOSE(CONTROL!$C$15, $D$11, 100%, $F$11)</f>
        <v>6.2363999999999997</v>
      </c>
      <c r="J173" s="4">
        <f>6.1397 * CHOOSE(CONTROL!$C$15, $D$11, 100%, $F$11)</f>
        <v>6.1397000000000004</v>
      </c>
      <c r="K173" s="4"/>
      <c r="L173" s="9">
        <v>29.306000000000001</v>
      </c>
      <c r="M173" s="9">
        <v>12.063700000000001</v>
      </c>
      <c r="N173" s="9">
        <v>4.9444999999999997</v>
      </c>
      <c r="O173" s="9">
        <v>0.37409999999999999</v>
      </c>
      <c r="P173" s="9">
        <v>1.2927</v>
      </c>
      <c r="Q173" s="9">
        <v>31.701799999999999</v>
      </c>
      <c r="R173" s="9"/>
      <c r="S173" s="11"/>
    </row>
    <row r="174" spans="1:19" ht="15.75">
      <c r="A174" s="13">
        <v>46784</v>
      </c>
      <c r="B174" s="8">
        <f>5.9708 * CHOOSE(CONTROL!$C$15, $D$11, 100%, $F$11)</f>
        <v>5.9707999999999997</v>
      </c>
      <c r="C174" s="8">
        <f>5.9759 * CHOOSE(CONTROL!$C$15, $D$11, 100%, $F$11)</f>
        <v>5.9759000000000002</v>
      </c>
      <c r="D174" s="8">
        <f>5.9503 * CHOOSE( CONTROL!$C$15, $D$11, 100%, $F$11)</f>
        <v>5.9503000000000004</v>
      </c>
      <c r="E174" s="12">
        <f>5.9591 * CHOOSE( CONTROL!$C$15, $D$11, 100%, $F$11)</f>
        <v>5.9591000000000003</v>
      </c>
      <c r="F174" s="4">
        <f>6.6148 * CHOOSE(CONTROL!$C$15, $D$11, 100%, $F$11)</f>
        <v>6.6147999999999998</v>
      </c>
      <c r="G174" s="8">
        <f>5.8478 * CHOOSE( CONTROL!$C$15, $D$11, 100%, $F$11)</f>
        <v>5.8478000000000003</v>
      </c>
      <c r="H174" s="4">
        <f>6.7339 * CHOOSE(CONTROL!$C$15, $D$11, 100%, $F$11)</f>
        <v>6.7339000000000002</v>
      </c>
      <c r="I174" s="8">
        <f>5.84 * CHOOSE(CONTROL!$C$15, $D$11, 100%, $F$11)</f>
        <v>5.84</v>
      </c>
      <c r="J174" s="4">
        <f>5.7428 * CHOOSE(CONTROL!$C$15, $D$11, 100%, $F$11)</f>
        <v>5.7427999999999999</v>
      </c>
      <c r="K174" s="4"/>
      <c r="L174" s="9">
        <v>27.415299999999998</v>
      </c>
      <c r="M174" s="9">
        <v>11.285299999999999</v>
      </c>
      <c r="N174" s="9">
        <v>4.6254999999999997</v>
      </c>
      <c r="O174" s="9">
        <v>0.34989999999999999</v>
      </c>
      <c r="P174" s="9">
        <v>1.2093</v>
      </c>
      <c r="Q174" s="9">
        <v>29.656600000000001</v>
      </c>
      <c r="R174" s="9"/>
      <c r="S174" s="11"/>
    </row>
    <row r="175" spans="1:19" ht="15.75">
      <c r="A175" s="13">
        <v>46813</v>
      </c>
      <c r="B175" s="8">
        <f>5.8443 * CHOOSE(CONTROL!$C$15, $D$11, 100%, $F$11)</f>
        <v>5.8442999999999996</v>
      </c>
      <c r="C175" s="8">
        <f>5.8494 * CHOOSE(CONTROL!$C$15, $D$11, 100%, $F$11)</f>
        <v>5.8494000000000002</v>
      </c>
      <c r="D175" s="8">
        <f>5.8238 * CHOOSE( CONTROL!$C$15, $D$11, 100%, $F$11)</f>
        <v>5.8238000000000003</v>
      </c>
      <c r="E175" s="12">
        <f>5.8326 * CHOOSE( CONTROL!$C$15, $D$11, 100%, $F$11)</f>
        <v>5.8326000000000002</v>
      </c>
      <c r="F175" s="4">
        <f>6.4883 * CHOOSE(CONTROL!$C$15, $D$11, 100%, $F$11)</f>
        <v>6.4882999999999997</v>
      </c>
      <c r="G175" s="8">
        <f>5.7234 * CHOOSE( CONTROL!$C$15, $D$11, 100%, $F$11)</f>
        <v>5.7233999999999998</v>
      </c>
      <c r="H175" s="4">
        <f>6.6095 * CHOOSE(CONTROL!$C$15, $D$11, 100%, $F$11)</f>
        <v>6.6094999999999997</v>
      </c>
      <c r="I175" s="8">
        <f>5.7175 * CHOOSE(CONTROL!$C$15, $D$11, 100%, $F$11)</f>
        <v>5.7175000000000002</v>
      </c>
      <c r="J175" s="4">
        <f>5.6205 * CHOOSE(CONTROL!$C$15, $D$11, 100%, $F$11)</f>
        <v>5.6204999999999998</v>
      </c>
      <c r="K175" s="4"/>
      <c r="L175" s="9">
        <v>29.306000000000001</v>
      </c>
      <c r="M175" s="9">
        <v>12.063700000000001</v>
      </c>
      <c r="N175" s="9">
        <v>4.9444999999999997</v>
      </c>
      <c r="O175" s="9">
        <v>0.37409999999999999</v>
      </c>
      <c r="P175" s="9">
        <v>1.2927</v>
      </c>
      <c r="Q175" s="9">
        <v>31.701799999999999</v>
      </c>
      <c r="R175" s="9"/>
      <c r="S175" s="11"/>
    </row>
    <row r="176" spans="1:19" ht="15.75">
      <c r="A176" s="13">
        <v>46844</v>
      </c>
      <c r="B176" s="8">
        <f>5.9335 * CHOOSE(CONTROL!$C$15, $D$11, 100%, $F$11)</f>
        <v>5.9335000000000004</v>
      </c>
      <c r="C176" s="8">
        <f>5.938 * CHOOSE(CONTROL!$C$15, $D$11, 100%, $F$11)</f>
        <v>5.9379999999999997</v>
      </c>
      <c r="D176" s="8">
        <f>5.949 * CHOOSE( CONTROL!$C$15, $D$11, 100%, $F$11)</f>
        <v>5.9489999999999998</v>
      </c>
      <c r="E176" s="12">
        <f>5.9449 * CHOOSE( CONTROL!$C$15, $D$11, 100%, $F$11)</f>
        <v>5.9448999999999996</v>
      </c>
      <c r="F176" s="4">
        <f>6.6231 * CHOOSE(CONTROL!$C$15, $D$11, 100%, $F$11)</f>
        <v>6.6231</v>
      </c>
      <c r="G176" s="8">
        <f>5.8032 * CHOOSE( CONTROL!$C$15, $D$11, 100%, $F$11)</f>
        <v>5.8032000000000004</v>
      </c>
      <c r="H176" s="4">
        <f>6.742 * CHOOSE(CONTROL!$C$15, $D$11, 100%, $F$11)</f>
        <v>6.742</v>
      </c>
      <c r="I176" s="8">
        <f>5.798 * CHOOSE(CONTROL!$C$15, $D$11, 100%, $F$11)</f>
        <v>5.798</v>
      </c>
      <c r="J176" s="4">
        <f>5.706 * CHOOSE(CONTROL!$C$15, $D$11, 100%, $F$11)</f>
        <v>5.7060000000000004</v>
      </c>
      <c r="K176" s="4"/>
      <c r="L176" s="9">
        <v>30.092199999999998</v>
      </c>
      <c r="M176" s="9">
        <v>11.6745</v>
      </c>
      <c r="N176" s="9">
        <v>4.7850000000000001</v>
      </c>
      <c r="O176" s="9">
        <v>0.36199999999999999</v>
      </c>
      <c r="P176" s="9">
        <v>1.1791</v>
      </c>
      <c r="Q176" s="9">
        <v>30.679200000000002</v>
      </c>
      <c r="R176" s="9"/>
      <c r="S176" s="11"/>
    </row>
    <row r="177" spans="1:19" ht="15.75">
      <c r="A177" s="13">
        <v>46874</v>
      </c>
      <c r="B177" s="8">
        <f>CHOOSE( CONTROL!$C$32, 6.0957, 6.0921) * CHOOSE(CONTROL!$C$15, $D$11, 100%, $F$11)</f>
        <v>6.0956999999999999</v>
      </c>
      <c r="C177" s="8">
        <f>CHOOSE( CONTROL!$C$32, 6.1037, 6.1001) * CHOOSE(CONTROL!$C$15, $D$11, 100%, $F$11)</f>
        <v>6.1036999999999999</v>
      </c>
      <c r="D177" s="8">
        <f>CHOOSE( CONTROL!$C$32, 6.1097, 6.1061) * CHOOSE( CONTROL!$C$15, $D$11, 100%, $F$11)</f>
        <v>6.1097000000000001</v>
      </c>
      <c r="E177" s="12">
        <f>CHOOSE( CONTROL!$C$32, 6.1063, 6.1027) * CHOOSE( CONTROL!$C$15, $D$11, 100%, $F$11)</f>
        <v>6.1063000000000001</v>
      </c>
      <c r="F177" s="4">
        <f>CHOOSE( CONTROL!$C$32, 6.7839, 6.7804) * CHOOSE(CONTROL!$C$15, $D$11, 100%, $F$11)</f>
        <v>6.7839</v>
      </c>
      <c r="G177" s="8">
        <f>CHOOSE( CONTROL!$C$32, 5.9624, 5.9588) * CHOOSE( CONTROL!$C$15, $D$11, 100%, $F$11)</f>
        <v>5.9623999999999997</v>
      </c>
      <c r="H177" s="4">
        <f>CHOOSE( CONTROL!$C$32, 6.9002, 6.8967) * CHOOSE(CONTROL!$C$15, $D$11, 100%, $F$11)</f>
        <v>6.9001999999999999</v>
      </c>
      <c r="I177" s="8">
        <f>CHOOSE( CONTROL!$C$32, 5.9544, 5.951) * CHOOSE(CONTROL!$C$15, $D$11, 100%, $F$11)</f>
        <v>5.9543999999999997</v>
      </c>
      <c r="J177" s="4">
        <f>CHOOSE( CONTROL!$C$32, 5.8614, 5.858) * CHOOSE(CONTROL!$C$15, $D$11, 100%, $F$11)</f>
        <v>5.8613999999999997</v>
      </c>
      <c r="K177" s="4"/>
      <c r="L177" s="9">
        <v>30.7165</v>
      </c>
      <c r="M177" s="9">
        <v>12.063700000000001</v>
      </c>
      <c r="N177" s="9">
        <v>4.9444999999999997</v>
      </c>
      <c r="O177" s="9">
        <v>0.37409999999999999</v>
      </c>
      <c r="P177" s="9">
        <v>1.2183999999999999</v>
      </c>
      <c r="Q177" s="9">
        <v>31.701799999999999</v>
      </c>
      <c r="R177" s="9"/>
      <c r="S177" s="11"/>
    </row>
    <row r="178" spans="1:19" ht="15.75">
      <c r="A178" s="13">
        <v>46905</v>
      </c>
      <c r="B178" s="8">
        <f>CHOOSE( CONTROL!$C$32, 5.9982, 5.9947) * CHOOSE(CONTROL!$C$15, $D$11, 100%, $F$11)</f>
        <v>5.9981999999999998</v>
      </c>
      <c r="C178" s="8">
        <f>CHOOSE( CONTROL!$C$32, 6.0063, 6.0027) * CHOOSE(CONTROL!$C$15, $D$11, 100%, $F$11)</f>
        <v>6.0063000000000004</v>
      </c>
      <c r="D178" s="8">
        <f>CHOOSE( CONTROL!$C$32, 6.0125, 6.009) * CHOOSE( CONTROL!$C$15, $D$11, 100%, $F$11)</f>
        <v>6.0125000000000002</v>
      </c>
      <c r="E178" s="12">
        <f>CHOOSE( CONTROL!$C$32, 6.009, 6.0055) * CHOOSE( CONTROL!$C$15, $D$11, 100%, $F$11)</f>
        <v>6.0090000000000003</v>
      </c>
      <c r="F178" s="4">
        <f>CHOOSE( CONTROL!$C$32, 6.6865, 6.6829) * CHOOSE(CONTROL!$C$15, $D$11, 100%, $F$11)</f>
        <v>6.6864999999999997</v>
      </c>
      <c r="G178" s="8">
        <f>CHOOSE( CONTROL!$C$32, 5.867, 5.8634) * CHOOSE( CONTROL!$C$15, $D$11, 100%, $F$11)</f>
        <v>5.867</v>
      </c>
      <c r="H178" s="4">
        <f>CHOOSE( CONTROL!$C$32, 6.8044, 6.8009) * CHOOSE(CONTROL!$C$15, $D$11, 100%, $F$11)</f>
        <v>6.8044000000000002</v>
      </c>
      <c r="I178" s="8">
        <f>CHOOSE( CONTROL!$C$32, 5.8615, 5.8581) * CHOOSE(CONTROL!$C$15, $D$11, 100%, $F$11)</f>
        <v>5.8615000000000004</v>
      </c>
      <c r="J178" s="4">
        <f>CHOOSE( CONTROL!$C$32, 5.7673, 5.7638) * CHOOSE(CONTROL!$C$15, $D$11, 100%, $F$11)</f>
        <v>5.7672999999999996</v>
      </c>
      <c r="K178" s="4"/>
      <c r="L178" s="9">
        <v>29.7257</v>
      </c>
      <c r="M178" s="9">
        <v>11.6745</v>
      </c>
      <c r="N178" s="9">
        <v>4.7850000000000001</v>
      </c>
      <c r="O178" s="9">
        <v>0.36199999999999999</v>
      </c>
      <c r="P178" s="9">
        <v>1.1791</v>
      </c>
      <c r="Q178" s="9">
        <v>30.679200000000002</v>
      </c>
      <c r="R178" s="9"/>
      <c r="S178" s="11"/>
    </row>
    <row r="179" spans="1:19" ht="15.75">
      <c r="A179" s="13">
        <v>46935</v>
      </c>
      <c r="B179" s="8">
        <f>CHOOSE( CONTROL!$C$32, 6.2548, 6.2512) * CHOOSE(CONTROL!$C$15, $D$11, 100%, $F$11)</f>
        <v>6.2548000000000004</v>
      </c>
      <c r="C179" s="8">
        <f>CHOOSE( CONTROL!$C$32, 6.2628, 6.2592) * CHOOSE(CONTROL!$C$15, $D$11, 100%, $F$11)</f>
        <v>6.2628000000000004</v>
      </c>
      <c r="D179" s="8">
        <f>CHOOSE( CONTROL!$C$32, 6.2694, 6.2658) * CHOOSE( CONTROL!$C$15, $D$11, 100%, $F$11)</f>
        <v>6.2694000000000001</v>
      </c>
      <c r="E179" s="12">
        <f>CHOOSE( CONTROL!$C$32, 6.2658, 6.2622) * CHOOSE( CONTROL!$C$15, $D$11, 100%, $F$11)</f>
        <v>6.2657999999999996</v>
      </c>
      <c r="F179" s="4">
        <f>CHOOSE( CONTROL!$C$32, 6.9431, 6.9395) * CHOOSE(CONTROL!$C$15, $D$11, 100%, $F$11)</f>
        <v>6.9431000000000003</v>
      </c>
      <c r="G179" s="8">
        <f>CHOOSE( CONTROL!$C$32, 6.1197, 6.1162) * CHOOSE( CONTROL!$C$15, $D$11, 100%, $F$11)</f>
        <v>6.1196999999999999</v>
      </c>
      <c r="H179" s="4">
        <f>CHOOSE( CONTROL!$C$32, 7.0567, 7.0532) * CHOOSE(CONTROL!$C$15, $D$11, 100%, $F$11)</f>
        <v>7.0567000000000002</v>
      </c>
      <c r="I179" s="8">
        <f>CHOOSE( CONTROL!$C$32, 6.1111, 6.1077) * CHOOSE(CONTROL!$C$15, $D$11, 100%, $F$11)</f>
        <v>6.1111000000000004</v>
      </c>
      <c r="J179" s="4">
        <f>CHOOSE( CONTROL!$C$32, 6.0153, 6.0118) * CHOOSE(CONTROL!$C$15, $D$11, 100%, $F$11)</f>
        <v>6.0152999999999999</v>
      </c>
      <c r="K179" s="4"/>
      <c r="L179" s="9">
        <v>30.7165</v>
      </c>
      <c r="M179" s="9">
        <v>12.063700000000001</v>
      </c>
      <c r="N179" s="9">
        <v>4.9444999999999997</v>
      </c>
      <c r="O179" s="9">
        <v>0.37409999999999999</v>
      </c>
      <c r="P179" s="9">
        <v>1.2183999999999999</v>
      </c>
      <c r="Q179" s="9">
        <v>31.701799999999999</v>
      </c>
      <c r="R179" s="9"/>
      <c r="S179" s="11"/>
    </row>
    <row r="180" spans="1:19" ht="15.75">
      <c r="A180" s="13">
        <v>46966</v>
      </c>
      <c r="B180" s="8">
        <f>CHOOSE( CONTROL!$C$32, 5.7747, 5.7712) * CHOOSE(CONTROL!$C$15, $D$11, 100%, $F$11)</f>
        <v>5.7747000000000002</v>
      </c>
      <c r="C180" s="8">
        <f>CHOOSE( CONTROL!$C$32, 5.7828, 5.7792) * CHOOSE(CONTROL!$C$15, $D$11, 100%, $F$11)</f>
        <v>5.7827999999999999</v>
      </c>
      <c r="D180" s="8">
        <f>CHOOSE( CONTROL!$C$32, 5.7894, 5.7859) * CHOOSE( CONTROL!$C$15, $D$11, 100%, $F$11)</f>
        <v>5.7893999999999997</v>
      </c>
      <c r="E180" s="12">
        <f>CHOOSE( CONTROL!$C$32, 5.7858, 5.7823) * CHOOSE( CONTROL!$C$15, $D$11, 100%, $F$11)</f>
        <v>5.7858000000000001</v>
      </c>
      <c r="F180" s="4">
        <f>CHOOSE( CONTROL!$C$32, 6.463, 6.4594) * CHOOSE(CONTROL!$C$15, $D$11, 100%, $F$11)</f>
        <v>6.4630000000000001</v>
      </c>
      <c r="G180" s="8">
        <f>CHOOSE( CONTROL!$C$32, 5.6478, 5.6443) * CHOOSE( CONTROL!$C$15, $D$11, 100%, $F$11)</f>
        <v>5.6478000000000002</v>
      </c>
      <c r="H180" s="4">
        <f>CHOOSE( CONTROL!$C$32, 6.5846, 6.5811) * CHOOSE(CONTROL!$C$15, $D$11, 100%, $F$11)</f>
        <v>6.5846</v>
      </c>
      <c r="I180" s="8">
        <f>CHOOSE( CONTROL!$C$32, 5.6473, 5.6438) * CHOOSE(CONTROL!$C$15, $D$11, 100%, $F$11)</f>
        <v>5.6473000000000004</v>
      </c>
      <c r="J180" s="4">
        <f>CHOOSE( CONTROL!$C$32, 5.5512, 5.5478) * CHOOSE(CONTROL!$C$15, $D$11, 100%, $F$11)</f>
        <v>5.5511999999999997</v>
      </c>
      <c r="K180" s="4"/>
      <c r="L180" s="9">
        <v>30.7165</v>
      </c>
      <c r="M180" s="9">
        <v>12.063700000000001</v>
      </c>
      <c r="N180" s="9">
        <v>4.9444999999999997</v>
      </c>
      <c r="O180" s="9">
        <v>0.37409999999999999</v>
      </c>
      <c r="P180" s="9">
        <v>1.2183999999999999</v>
      </c>
      <c r="Q180" s="9">
        <v>31.701799999999999</v>
      </c>
      <c r="R180" s="9"/>
      <c r="S180" s="11"/>
    </row>
    <row r="181" spans="1:19" ht="15.75">
      <c r="A181" s="13">
        <v>46997</v>
      </c>
      <c r="B181" s="8">
        <f>CHOOSE( CONTROL!$C$32, 5.6545, 5.651) * CHOOSE(CONTROL!$C$15, $D$11, 100%, $F$11)</f>
        <v>5.6544999999999996</v>
      </c>
      <c r="C181" s="8">
        <f>CHOOSE( CONTROL!$C$32, 5.6625, 5.659) * CHOOSE(CONTROL!$C$15, $D$11, 100%, $F$11)</f>
        <v>5.6624999999999996</v>
      </c>
      <c r="D181" s="8">
        <f>CHOOSE( CONTROL!$C$32, 5.6692, 5.6657) * CHOOSE( CONTROL!$C$15, $D$11, 100%, $F$11)</f>
        <v>5.6692</v>
      </c>
      <c r="E181" s="12">
        <f>CHOOSE( CONTROL!$C$32, 5.6656, 5.6621) * CHOOSE( CONTROL!$C$15, $D$11, 100%, $F$11)</f>
        <v>5.6656000000000004</v>
      </c>
      <c r="F181" s="4">
        <f>CHOOSE( CONTROL!$C$32, 6.3428, 6.3392) * CHOOSE(CONTROL!$C$15, $D$11, 100%, $F$11)</f>
        <v>6.3428000000000004</v>
      </c>
      <c r="G181" s="8">
        <f>CHOOSE( CONTROL!$C$32, 5.5296, 5.526) * CHOOSE( CONTROL!$C$15, $D$11, 100%, $F$11)</f>
        <v>5.5296000000000003</v>
      </c>
      <c r="H181" s="4">
        <f>CHOOSE( CONTROL!$C$32, 6.4664, 6.4629) * CHOOSE(CONTROL!$C$15, $D$11, 100%, $F$11)</f>
        <v>6.4664000000000001</v>
      </c>
      <c r="I181" s="8">
        <f>CHOOSE( CONTROL!$C$32, 5.531, 5.5276) * CHOOSE(CONTROL!$C$15, $D$11, 100%, $F$11)</f>
        <v>5.5309999999999997</v>
      </c>
      <c r="J181" s="4">
        <f>CHOOSE( CONTROL!$C$32, 5.435, 5.4316) * CHOOSE(CONTROL!$C$15, $D$11, 100%, $F$11)</f>
        <v>5.4349999999999996</v>
      </c>
      <c r="K181" s="4"/>
      <c r="L181" s="9">
        <v>29.7257</v>
      </c>
      <c r="M181" s="9">
        <v>11.6745</v>
      </c>
      <c r="N181" s="9">
        <v>4.7850000000000001</v>
      </c>
      <c r="O181" s="9">
        <v>0.36199999999999999</v>
      </c>
      <c r="P181" s="9">
        <v>1.1791</v>
      </c>
      <c r="Q181" s="9">
        <v>30.679200000000002</v>
      </c>
      <c r="R181" s="9"/>
      <c r="S181" s="11"/>
    </row>
    <row r="182" spans="1:19" ht="15.75">
      <c r="A182" s="13">
        <v>47027</v>
      </c>
      <c r="B182" s="8">
        <f>5.8988 * CHOOSE(CONTROL!$C$15, $D$11, 100%, $F$11)</f>
        <v>5.8987999999999996</v>
      </c>
      <c r="C182" s="8">
        <f>5.9042 * CHOOSE(CONTROL!$C$15, $D$11, 100%, $F$11)</f>
        <v>5.9042000000000003</v>
      </c>
      <c r="D182" s="8">
        <f>5.9157 * CHOOSE( CONTROL!$C$15, $D$11, 100%, $F$11)</f>
        <v>5.9157000000000002</v>
      </c>
      <c r="E182" s="12">
        <f>5.9113 * CHOOSE( CONTROL!$C$15, $D$11, 100%, $F$11)</f>
        <v>5.9112999999999998</v>
      </c>
      <c r="F182" s="4">
        <f>6.5888 * CHOOSE(CONTROL!$C$15, $D$11, 100%, $F$11)</f>
        <v>6.5888</v>
      </c>
      <c r="G182" s="8">
        <f>5.771 * CHOOSE( CONTROL!$C$15, $D$11, 100%, $F$11)</f>
        <v>5.7709999999999999</v>
      </c>
      <c r="H182" s="4">
        <f>6.7083 * CHOOSE(CONTROL!$C$15, $D$11, 100%, $F$11)</f>
        <v>6.7083000000000004</v>
      </c>
      <c r="I182" s="8">
        <f>5.7697 * CHOOSE(CONTROL!$C$15, $D$11, 100%, $F$11)</f>
        <v>5.7697000000000003</v>
      </c>
      <c r="J182" s="4">
        <f>5.6728 * CHOOSE(CONTROL!$C$15, $D$11, 100%, $F$11)</f>
        <v>5.6727999999999996</v>
      </c>
      <c r="K182" s="4"/>
      <c r="L182" s="9">
        <v>31.095300000000002</v>
      </c>
      <c r="M182" s="9">
        <v>12.063700000000001</v>
      </c>
      <c r="N182" s="9">
        <v>4.9444999999999997</v>
      </c>
      <c r="O182" s="9">
        <v>0.37409999999999999</v>
      </c>
      <c r="P182" s="9">
        <v>1.2183999999999999</v>
      </c>
      <c r="Q182" s="9">
        <v>31.701799999999999</v>
      </c>
      <c r="R182" s="9"/>
      <c r="S182" s="11"/>
    </row>
    <row r="183" spans="1:19" ht="15.75">
      <c r="A183" s="13">
        <v>47058</v>
      </c>
      <c r="B183" s="8">
        <f>6.3591 * CHOOSE(CONTROL!$C$15, $D$11, 100%, $F$11)</f>
        <v>6.3590999999999998</v>
      </c>
      <c r="C183" s="8">
        <f>6.3643 * CHOOSE(CONTROL!$C$15, $D$11, 100%, $F$11)</f>
        <v>6.3643000000000001</v>
      </c>
      <c r="D183" s="8">
        <f>6.3412 * CHOOSE( CONTROL!$C$15, $D$11, 100%, $F$11)</f>
        <v>6.3411999999999997</v>
      </c>
      <c r="E183" s="12">
        <f>6.3491 * CHOOSE( CONTROL!$C$15, $D$11, 100%, $F$11)</f>
        <v>6.3491</v>
      </c>
      <c r="F183" s="4">
        <f>7.004 * CHOOSE(CONTROL!$C$15, $D$11, 100%, $F$11)</f>
        <v>7.0039999999999996</v>
      </c>
      <c r="G183" s="8">
        <f>6.2349 * CHOOSE( CONTROL!$C$15, $D$11, 100%, $F$11)</f>
        <v>6.2348999999999997</v>
      </c>
      <c r="H183" s="4">
        <f>7.1167 * CHOOSE(CONTROL!$C$15, $D$11, 100%, $F$11)</f>
        <v>7.1166999999999998</v>
      </c>
      <c r="I183" s="8">
        <f>6.24 * CHOOSE(CONTROL!$C$15, $D$11, 100%, $F$11)</f>
        <v>6.24</v>
      </c>
      <c r="J183" s="4">
        <f>6.1182 * CHOOSE(CONTROL!$C$15, $D$11, 100%, $F$11)</f>
        <v>6.1181999999999999</v>
      </c>
      <c r="K183" s="4"/>
      <c r="L183" s="9">
        <v>28.360600000000002</v>
      </c>
      <c r="M183" s="9">
        <v>11.6745</v>
      </c>
      <c r="N183" s="9">
        <v>4.7850000000000001</v>
      </c>
      <c r="O183" s="9">
        <v>0.36199999999999999</v>
      </c>
      <c r="P183" s="9">
        <v>1.2509999999999999</v>
      </c>
      <c r="Q183" s="9">
        <v>30.679200000000002</v>
      </c>
      <c r="R183" s="9"/>
      <c r="S183" s="11"/>
    </row>
    <row r="184" spans="1:19" ht="15.75">
      <c r="A184" s="13">
        <v>47088</v>
      </c>
      <c r="B184" s="8">
        <f>6.3476 * CHOOSE(CONTROL!$C$15, $D$11, 100%, $F$11)</f>
        <v>6.3475999999999999</v>
      </c>
      <c r="C184" s="8">
        <f>6.3528 * CHOOSE(CONTROL!$C$15, $D$11, 100%, $F$11)</f>
        <v>6.3528000000000002</v>
      </c>
      <c r="D184" s="8">
        <f>6.3311 * CHOOSE( CONTROL!$C$15, $D$11, 100%, $F$11)</f>
        <v>6.3311000000000002</v>
      </c>
      <c r="E184" s="12">
        <f>6.3385 * CHOOSE( CONTROL!$C$15, $D$11, 100%, $F$11)</f>
        <v>6.3384999999999998</v>
      </c>
      <c r="F184" s="4">
        <f>6.9925 * CHOOSE(CONTROL!$C$15, $D$11, 100%, $F$11)</f>
        <v>6.9924999999999997</v>
      </c>
      <c r="G184" s="8">
        <f>6.2245 * CHOOSE( CONTROL!$C$15, $D$11, 100%, $F$11)</f>
        <v>6.2244999999999999</v>
      </c>
      <c r="H184" s="4">
        <f>7.1053 * CHOOSE(CONTROL!$C$15, $D$11, 100%, $F$11)</f>
        <v>7.1052999999999997</v>
      </c>
      <c r="I184" s="8">
        <f>6.2332 * CHOOSE(CONTROL!$C$15, $D$11, 100%, $F$11)</f>
        <v>6.2332000000000001</v>
      </c>
      <c r="J184" s="4">
        <f>6.1071 * CHOOSE(CONTROL!$C$15, $D$11, 100%, $F$11)</f>
        <v>6.1071</v>
      </c>
      <c r="K184" s="4"/>
      <c r="L184" s="9">
        <v>29.306000000000001</v>
      </c>
      <c r="M184" s="9">
        <v>12.063700000000001</v>
      </c>
      <c r="N184" s="9">
        <v>4.9444999999999997</v>
      </c>
      <c r="O184" s="9">
        <v>0.37409999999999999</v>
      </c>
      <c r="P184" s="9">
        <v>1.2927</v>
      </c>
      <c r="Q184" s="9">
        <v>31.701799999999999</v>
      </c>
      <c r="R184" s="9"/>
      <c r="S184" s="11"/>
    </row>
    <row r="185" spans="1:19" ht="15.75">
      <c r="A185" s="13">
        <v>47119</v>
      </c>
      <c r="B185" s="8">
        <f>6.5781 * CHOOSE(CONTROL!$C$15, $D$11, 100%, $F$11)</f>
        <v>6.5781000000000001</v>
      </c>
      <c r="C185" s="8">
        <f>6.5833 * CHOOSE(CONTROL!$C$15, $D$11, 100%, $F$11)</f>
        <v>6.5833000000000004</v>
      </c>
      <c r="D185" s="8">
        <f>6.5574 * CHOOSE( CONTROL!$C$15, $D$11, 100%, $F$11)</f>
        <v>6.5574000000000003</v>
      </c>
      <c r="E185" s="12">
        <f>6.5663 * CHOOSE( CONTROL!$C$15, $D$11, 100%, $F$11)</f>
        <v>6.5663</v>
      </c>
      <c r="F185" s="4">
        <f>7.2222 * CHOOSE(CONTROL!$C$15, $D$11, 100%, $F$11)</f>
        <v>7.2222</v>
      </c>
      <c r="G185" s="8">
        <f>6.4449 * CHOOSE( CONTROL!$C$15, $D$11, 100%, $F$11)</f>
        <v>6.4448999999999996</v>
      </c>
      <c r="H185" s="4">
        <f>7.3312 * CHOOSE(CONTROL!$C$15, $D$11, 100%, $F$11)</f>
        <v>7.3311999999999999</v>
      </c>
      <c r="I185" s="8">
        <f>6.4267 * CHOOSE(CONTROL!$C$15, $D$11, 100%, $F$11)</f>
        <v>6.4267000000000003</v>
      </c>
      <c r="J185" s="4">
        <f>6.3299 * CHOOSE(CONTROL!$C$15, $D$11, 100%, $F$11)</f>
        <v>6.3299000000000003</v>
      </c>
      <c r="K185" s="4"/>
      <c r="L185" s="9">
        <v>29.306000000000001</v>
      </c>
      <c r="M185" s="9">
        <v>12.063700000000001</v>
      </c>
      <c r="N185" s="9">
        <v>4.9444999999999997</v>
      </c>
      <c r="O185" s="9">
        <v>0.37409999999999999</v>
      </c>
      <c r="P185" s="9">
        <v>1.2927</v>
      </c>
      <c r="Q185" s="9">
        <v>31.517700000000001</v>
      </c>
      <c r="R185" s="9"/>
      <c r="S185" s="11"/>
    </row>
    <row r="186" spans="1:19" ht="15.75">
      <c r="A186" s="13">
        <v>47150</v>
      </c>
      <c r="B186" s="8">
        <f>6.1548 * CHOOSE(CONTROL!$C$15, $D$11, 100%, $F$11)</f>
        <v>6.1547999999999998</v>
      </c>
      <c r="C186" s="8">
        <f>6.1599 * CHOOSE(CONTROL!$C$15, $D$11, 100%, $F$11)</f>
        <v>6.1599000000000004</v>
      </c>
      <c r="D186" s="8">
        <f>6.1343 * CHOOSE( CONTROL!$C$15, $D$11, 100%, $F$11)</f>
        <v>6.1342999999999996</v>
      </c>
      <c r="E186" s="12">
        <f>6.1431 * CHOOSE( CONTROL!$C$15, $D$11, 100%, $F$11)</f>
        <v>6.1430999999999996</v>
      </c>
      <c r="F186" s="4">
        <f>6.7989 * CHOOSE(CONTROL!$C$15, $D$11, 100%, $F$11)</f>
        <v>6.7988999999999997</v>
      </c>
      <c r="G186" s="8">
        <f>6.0288 * CHOOSE( CONTROL!$C$15, $D$11, 100%, $F$11)</f>
        <v>6.0288000000000004</v>
      </c>
      <c r="H186" s="4">
        <f>6.9149 * CHOOSE(CONTROL!$C$15, $D$11, 100%, $F$11)</f>
        <v>6.9149000000000003</v>
      </c>
      <c r="I186" s="8">
        <f>6.018 * CHOOSE(CONTROL!$C$15, $D$11, 100%, $F$11)</f>
        <v>6.0179999999999998</v>
      </c>
      <c r="J186" s="4">
        <f>5.9207 * CHOOSE(CONTROL!$C$15, $D$11, 100%, $F$11)</f>
        <v>5.9207000000000001</v>
      </c>
      <c r="K186" s="4"/>
      <c r="L186" s="9">
        <v>26.469899999999999</v>
      </c>
      <c r="M186" s="9">
        <v>10.8962</v>
      </c>
      <c r="N186" s="9">
        <v>4.4660000000000002</v>
      </c>
      <c r="O186" s="9">
        <v>0.33789999999999998</v>
      </c>
      <c r="P186" s="9">
        <v>1.1676</v>
      </c>
      <c r="Q186" s="9">
        <v>28.467600000000001</v>
      </c>
      <c r="R186" s="9"/>
      <c r="S186" s="11"/>
    </row>
    <row r="187" spans="1:19" ht="15.75">
      <c r="A187" s="13">
        <v>47178</v>
      </c>
      <c r="B187" s="8">
        <f>6.0245 * CHOOSE(CONTROL!$C$15, $D$11, 100%, $F$11)</f>
        <v>6.0244999999999997</v>
      </c>
      <c r="C187" s="8">
        <f>6.0296 * CHOOSE(CONTROL!$C$15, $D$11, 100%, $F$11)</f>
        <v>6.0296000000000003</v>
      </c>
      <c r="D187" s="8">
        <f>6.0039 * CHOOSE( CONTROL!$C$15, $D$11, 100%, $F$11)</f>
        <v>6.0038999999999998</v>
      </c>
      <c r="E187" s="12">
        <f>6.0128 * CHOOSE( CONTROL!$C$15, $D$11, 100%, $F$11)</f>
        <v>6.0128000000000004</v>
      </c>
      <c r="F187" s="4">
        <f>6.6685 * CHOOSE(CONTROL!$C$15, $D$11, 100%, $F$11)</f>
        <v>6.6684999999999999</v>
      </c>
      <c r="G187" s="8">
        <f>5.9006 * CHOOSE( CONTROL!$C$15, $D$11, 100%, $F$11)</f>
        <v>5.9005999999999998</v>
      </c>
      <c r="H187" s="4">
        <f>6.7867 * CHOOSE(CONTROL!$C$15, $D$11, 100%, $F$11)</f>
        <v>6.7866999999999997</v>
      </c>
      <c r="I187" s="8">
        <f>5.8917 * CHOOSE(CONTROL!$C$15, $D$11, 100%, $F$11)</f>
        <v>5.8917000000000002</v>
      </c>
      <c r="J187" s="4">
        <f>5.7947 * CHOOSE(CONTROL!$C$15, $D$11, 100%, $F$11)</f>
        <v>5.7946999999999997</v>
      </c>
      <c r="K187" s="4"/>
      <c r="L187" s="9">
        <v>29.306000000000001</v>
      </c>
      <c r="M187" s="9">
        <v>12.063700000000001</v>
      </c>
      <c r="N187" s="9">
        <v>4.9444999999999997</v>
      </c>
      <c r="O187" s="9">
        <v>0.37409999999999999</v>
      </c>
      <c r="P187" s="9">
        <v>1.2927</v>
      </c>
      <c r="Q187" s="9">
        <v>31.517700000000001</v>
      </c>
      <c r="R187" s="9"/>
      <c r="S187" s="11"/>
    </row>
    <row r="188" spans="1:19" ht="15.75">
      <c r="A188" s="13">
        <v>47209</v>
      </c>
      <c r="B188" s="8">
        <f>6.1163 * CHOOSE(CONTROL!$C$15, $D$11, 100%, $F$11)</f>
        <v>6.1162999999999998</v>
      </c>
      <c r="C188" s="8">
        <f>6.1209 * CHOOSE(CONTROL!$C$15, $D$11, 100%, $F$11)</f>
        <v>6.1208999999999998</v>
      </c>
      <c r="D188" s="8">
        <f>6.1319 * CHOOSE( CONTROL!$C$15, $D$11, 100%, $F$11)</f>
        <v>6.1318999999999999</v>
      </c>
      <c r="E188" s="12">
        <f>6.1277 * CHOOSE( CONTROL!$C$15, $D$11, 100%, $F$11)</f>
        <v>6.1276999999999999</v>
      </c>
      <c r="F188" s="4">
        <f>6.806 * CHOOSE(CONTROL!$C$15, $D$11, 100%, $F$11)</f>
        <v>6.806</v>
      </c>
      <c r="G188" s="8">
        <f>5.983 * CHOOSE( CONTROL!$C$15, $D$11, 100%, $F$11)</f>
        <v>5.9829999999999997</v>
      </c>
      <c r="H188" s="4">
        <f>6.9219 * CHOOSE(CONTROL!$C$15, $D$11, 100%, $F$11)</f>
        <v>6.9218999999999999</v>
      </c>
      <c r="I188" s="8">
        <f>5.9749 * CHOOSE(CONTROL!$C$15, $D$11, 100%, $F$11)</f>
        <v>5.9748999999999999</v>
      </c>
      <c r="J188" s="4">
        <f>5.8827 * CHOOSE(CONTROL!$C$15, $D$11, 100%, $F$11)</f>
        <v>5.8826999999999998</v>
      </c>
      <c r="K188" s="4"/>
      <c r="L188" s="9">
        <v>30.092199999999998</v>
      </c>
      <c r="M188" s="9">
        <v>11.6745</v>
      </c>
      <c r="N188" s="9">
        <v>4.7850000000000001</v>
      </c>
      <c r="O188" s="9">
        <v>0.36199999999999999</v>
      </c>
      <c r="P188" s="9">
        <v>1.1791</v>
      </c>
      <c r="Q188" s="9">
        <v>30.501000000000001</v>
      </c>
      <c r="R188" s="9"/>
      <c r="S188" s="11"/>
    </row>
    <row r="189" spans="1:19" ht="15.75">
      <c r="A189" s="13">
        <v>47239</v>
      </c>
      <c r="B189" s="8">
        <f>CHOOSE( CONTROL!$C$32, 6.2834, 6.2798) * CHOOSE(CONTROL!$C$15, $D$11, 100%, $F$11)</f>
        <v>6.2834000000000003</v>
      </c>
      <c r="C189" s="8">
        <f>CHOOSE( CONTROL!$C$32, 6.2914, 6.2879) * CHOOSE(CONTROL!$C$15, $D$11, 100%, $F$11)</f>
        <v>6.2914000000000003</v>
      </c>
      <c r="D189" s="8">
        <f>CHOOSE( CONTROL!$C$32, 6.2974, 6.2939) * CHOOSE( CONTROL!$C$15, $D$11, 100%, $F$11)</f>
        <v>6.2973999999999997</v>
      </c>
      <c r="E189" s="12">
        <f>CHOOSE( CONTROL!$C$32, 6.294, 6.2905) * CHOOSE( CONTROL!$C$15, $D$11, 100%, $F$11)</f>
        <v>6.2939999999999996</v>
      </c>
      <c r="F189" s="4">
        <f>CHOOSE( CONTROL!$C$32, 6.9717, 6.9681) * CHOOSE(CONTROL!$C$15, $D$11, 100%, $F$11)</f>
        <v>6.9717000000000002</v>
      </c>
      <c r="G189" s="8">
        <f>CHOOSE( CONTROL!$C$32, 6.147, 6.1435) * CHOOSE( CONTROL!$C$15, $D$11, 100%, $F$11)</f>
        <v>6.1470000000000002</v>
      </c>
      <c r="H189" s="4">
        <f>CHOOSE( CONTROL!$C$32, 7.0848, 7.0813) * CHOOSE(CONTROL!$C$15, $D$11, 100%, $F$11)</f>
        <v>7.0848000000000004</v>
      </c>
      <c r="I189" s="8">
        <f>CHOOSE( CONTROL!$C$32, 6.136, 6.1326) * CHOOSE(CONTROL!$C$15, $D$11, 100%, $F$11)</f>
        <v>6.1360000000000001</v>
      </c>
      <c r="J189" s="4">
        <f>CHOOSE( CONTROL!$C$32, 6.0429, 6.0395) * CHOOSE(CONTROL!$C$15, $D$11, 100%, $F$11)</f>
        <v>6.0429000000000004</v>
      </c>
      <c r="K189" s="4"/>
      <c r="L189" s="9">
        <v>30.7165</v>
      </c>
      <c r="M189" s="9">
        <v>12.063700000000001</v>
      </c>
      <c r="N189" s="9">
        <v>4.9444999999999997</v>
      </c>
      <c r="O189" s="9">
        <v>0.37409999999999999</v>
      </c>
      <c r="P189" s="9">
        <v>1.2183999999999999</v>
      </c>
      <c r="Q189" s="9">
        <v>31.517700000000001</v>
      </c>
      <c r="R189" s="9"/>
      <c r="S189" s="11"/>
    </row>
    <row r="190" spans="1:19" ht="15.75">
      <c r="A190" s="13">
        <v>47270</v>
      </c>
      <c r="B190" s="8">
        <f>CHOOSE( CONTROL!$C$32, 6.183, 6.1794) * CHOOSE(CONTROL!$C$15, $D$11, 100%, $F$11)</f>
        <v>6.1829999999999998</v>
      </c>
      <c r="C190" s="8">
        <f>CHOOSE( CONTROL!$C$32, 6.191, 6.1874) * CHOOSE(CONTROL!$C$15, $D$11, 100%, $F$11)</f>
        <v>6.1909999999999998</v>
      </c>
      <c r="D190" s="8">
        <f>CHOOSE( CONTROL!$C$32, 6.1973, 6.1937) * CHOOSE( CONTROL!$C$15, $D$11, 100%, $F$11)</f>
        <v>6.1973000000000003</v>
      </c>
      <c r="E190" s="12">
        <f>CHOOSE( CONTROL!$C$32, 6.1938, 6.1902) * CHOOSE( CONTROL!$C$15, $D$11, 100%, $F$11)</f>
        <v>6.1938000000000004</v>
      </c>
      <c r="F190" s="4">
        <f>CHOOSE( CONTROL!$C$32, 6.8712, 6.8677) * CHOOSE(CONTROL!$C$15, $D$11, 100%, $F$11)</f>
        <v>6.8712</v>
      </c>
      <c r="G190" s="8">
        <f>CHOOSE( CONTROL!$C$32, 6.0486, 6.0451) * CHOOSE( CONTROL!$C$15, $D$11, 100%, $F$11)</f>
        <v>6.0486000000000004</v>
      </c>
      <c r="H190" s="4">
        <f>CHOOSE( CONTROL!$C$32, 6.9861, 6.9825) * CHOOSE(CONTROL!$C$15, $D$11, 100%, $F$11)</f>
        <v>6.9861000000000004</v>
      </c>
      <c r="I190" s="8">
        <f>CHOOSE( CONTROL!$C$32, 6.0402, 6.0367) * CHOOSE(CONTROL!$C$15, $D$11, 100%, $F$11)</f>
        <v>6.0401999999999996</v>
      </c>
      <c r="J190" s="4">
        <f>CHOOSE( CONTROL!$C$32, 5.9458, 5.9424) * CHOOSE(CONTROL!$C$15, $D$11, 100%, $F$11)</f>
        <v>5.9458000000000002</v>
      </c>
      <c r="K190" s="4"/>
      <c r="L190" s="9">
        <v>29.7257</v>
      </c>
      <c r="M190" s="9">
        <v>11.6745</v>
      </c>
      <c r="N190" s="9">
        <v>4.7850000000000001</v>
      </c>
      <c r="O190" s="9">
        <v>0.36199999999999999</v>
      </c>
      <c r="P190" s="9">
        <v>1.1791</v>
      </c>
      <c r="Q190" s="9">
        <v>30.501000000000001</v>
      </c>
      <c r="R190" s="9"/>
      <c r="S190" s="11"/>
    </row>
    <row r="191" spans="1:19" ht="15.75">
      <c r="A191" s="13">
        <v>47300</v>
      </c>
      <c r="B191" s="8">
        <f>CHOOSE( CONTROL!$C$32, 6.4475, 6.4439) * CHOOSE(CONTROL!$C$15, $D$11, 100%, $F$11)</f>
        <v>6.4474999999999998</v>
      </c>
      <c r="C191" s="8">
        <f>CHOOSE( CONTROL!$C$32, 6.4555, 6.4519) * CHOOSE(CONTROL!$C$15, $D$11, 100%, $F$11)</f>
        <v>6.4554999999999998</v>
      </c>
      <c r="D191" s="8">
        <f>CHOOSE( CONTROL!$C$32, 6.4621, 6.4585) * CHOOSE( CONTROL!$C$15, $D$11, 100%, $F$11)</f>
        <v>6.4621000000000004</v>
      </c>
      <c r="E191" s="12">
        <f>CHOOSE( CONTROL!$C$32, 6.4585, 6.4549) * CHOOSE( CONTROL!$C$15, $D$11, 100%, $F$11)</f>
        <v>6.4584999999999999</v>
      </c>
      <c r="F191" s="4">
        <f>CHOOSE( CONTROL!$C$32, 7.1357, 7.1322) * CHOOSE(CONTROL!$C$15, $D$11, 100%, $F$11)</f>
        <v>7.1356999999999999</v>
      </c>
      <c r="G191" s="8">
        <f>CHOOSE( CONTROL!$C$32, 6.3092, 6.3057) * CHOOSE( CONTROL!$C$15, $D$11, 100%, $F$11)</f>
        <v>6.3091999999999997</v>
      </c>
      <c r="H191" s="4">
        <f>CHOOSE( CONTROL!$C$32, 7.2462, 7.2427) * CHOOSE(CONTROL!$C$15, $D$11, 100%, $F$11)</f>
        <v>7.2462</v>
      </c>
      <c r="I191" s="8">
        <f>CHOOSE( CONTROL!$C$32, 6.2975, 6.294) * CHOOSE(CONTROL!$C$15, $D$11, 100%, $F$11)</f>
        <v>6.2975000000000003</v>
      </c>
      <c r="J191" s="4">
        <f>CHOOSE( CONTROL!$C$32, 6.2015, 6.1981) * CHOOSE(CONTROL!$C$15, $D$11, 100%, $F$11)</f>
        <v>6.2015000000000002</v>
      </c>
      <c r="K191" s="4"/>
      <c r="L191" s="9">
        <v>30.7165</v>
      </c>
      <c r="M191" s="9">
        <v>12.063700000000001</v>
      </c>
      <c r="N191" s="9">
        <v>4.9444999999999997</v>
      </c>
      <c r="O191" s="9">
        <v>0.37409999999999999</v>
      </c>
      <c r="P191" s="9">
        <v>1.2183999999999999</v>
      </c>
      <c r="Q191" s="9">
        <v>31.517700000000001</v>
      </c>
      <c r="R191" s="9"/>
      <c r="S191" s="11"/>
    </row>
    <row r="192" spans="1:19" ht="15.75">
      <c r="A192" s="13">
        <v>47331</v>
      </c>
      <c r="B192" s="8">
        <f>CHOOSE( CONTROL!$C$32, 5.9525, 5.949) * CHOOSE(CONTROL!$C$15, $D$11, 100%, $F$11)</f>
        <v>5.9524999999999997</v>
      </c>
      <c r="C192" s="8">
        <f>CHOOSE( CONTROL!$C$32, 5.9606, 5.957) * CHOOSE(CONTROL!$C$15, $D$11, 100%, $F$11)</f>
        <v>5.9606000000000003</v>
      </c>
      <c r="D192" s="8">
        <f>CHOOSE( CONTROL!$C$32, 5.9672, 5.9637) * CHOOSE( CONTROL!$C$15, $D$11, 100%, $F$11)</f>
        <v>5.9672000000000001</v>
      </c>
      <c r="E192" s="12">
        <f>CHOOSE( CONTROL!$C$32, 5.9636, 5.9601) * CHOOSE( CONTROL!$C$15, $D$11, 100%, $F$11)</f>
        <v>5.9635999999999996</v>
      </c>
      <c r="F192" s="4">
        <f>CHOOSE( CONTROL!$C$32, 6.6408, 6.6372) * CHOOSE(CONTROL!$C$15, $D$11, 100%, $F$11)</f>
        <v>6.6407999999999996</v>
      </c>
      <c r="G192" s="8">
        <f>CHOOSE( CONTROL!$C$32, 5.8226, 5.8191) * CHOOSE( CONTROL!$C$15, $D$11, 100%, $F$11)</f>
        <v>5.8226000000000004</v>
      </c>
      <c r="H192" s="4">
        <f>CHOOSE( CONTROL!$C$32, 6.7595, 6.756) * CHOOSE(CONTROL!$C$15, $D$11, 100%, $F$11)</f>
        <v>6.7595000000000001</v>
      </c>
      <c r="I192" s="8">
        <f>CHOOSE( CONTROL!$C$32, 5.8193, 5.8158) * CHOOSE(CONTROL!$C$15, $D$11, 100%, $F$11)</f>
        <v>5.8193000000000001</v>
      </c>
      <c r="J192" s="4">
        <f>CHOOSE( CONTROL!$C$32, 5.7231, 5.7196) * CHOOSE(CONTROL!$C$15, $D$11, 100%, $F$11)</f>
        <v>5.7230999999999996</v>
      </c>
      <c r="K192" s="4"/>
      <c r="L192" s="9">
        <v>30.7165</v>
      </c>
      <c r="M192" s="9">
        <v>12.063700000000001</v>
      </c>
      <c r="N192" s="9">
        <v>4.9444999999999997</v>
      </c>
      <c r="O192" s="9">
        <v>0.37409999999999999</v>
      </c>
      <c r="P192" s="9">
        <v>1.2183999999999999</v>
      </c>
      <c r="Q192" s="9">
        <v>31.517700000000001</v>
      </c>
      <c r="R192" s="9"/>
      <c r="S192" s="11"/>
    </row>
    <row r="193" spans="1:19" ht="15.75">
      <c r="A193" s="13">
        <v>47362</v>
      </c>
      <c r="B193" s="8">
        <f>CHOOSE( CONTROL!$C$32, 5.8286, 5.825) * CHOOSE(CONTROL!$C$15, $D$11, 100%, $F$11)</f>
        <v>5.8285999999999998</v>
      </c>
      <c r="C193" s="8">
        <f>CHOOSE( CONTROL!$C$32, 5.8366, 5.8331) * CHOOSE(CONTROL!$C$15, $D$11, 100%, $F$11)</f>
        <v>5.8365999999999998</v>
      </c>
      <c r="D193" s="8">
        <f>CHOOSE( CONTROL!$C$32, 5.8433, 5.8397) * CHOOSE( CONTROL!$C$15, $D$11, 100%, $F$11)</f>
        <v>5.8433000000000002</v>
      </c>
      <c r="E193" s="12">
        <f>CHOOSE( CONTROL!$C$32, 5.8397, 5.8361) * CHOOSE( CONTROL!$C$15, $D$11, 100%, $F$11)</f>
        <v>5.8396999999999997</v>
      </c>
      <c r="F193" s="4">
        <f>CHOOSE( CONTROL!$C$32, 6.5169, 6.5133) * CHOOSE(CONTROL!$C$15, $D$11, 100%, $F$11)</f>
        <v>6.5168999999999997</v>
      </c>
      <c r="G193" s="8">
        <f>CHOOSE( CONTROL!$C$32, 5.7007, 5.6972) * CHOOSE( CONTROL!$C$15, $D$11, 100%, $F$11)</f>
        <v>5.7007000000000003</v>
      </c>
      <c r="H193" s="4">
        <f>CHOOSE( CONTROL!$C$32, 6.6376, 6.6341) * CHOOSE(CONTROL!$C$15, $D$11, 100%, $F$11)</f>
        <v>6.6375999999999999</v>
      </c>
      <c r="I193" s="8">
        <f>CHOOSE( CONTROL!$C$32, 5.6994, 5.6959) * CHOOSE(CONTROL!$C$15, $D$11, 100%, $F$11)</f>
        <v>5.6993999999999998</v>
      </c>
      <c r="J193" s="4">
        <f>CHOOSE( CONTROL!$C$32, 5.6033, 5.5998) * CHOOSE(CONTROL!$C$15, $D$11, 100%, $F$11)</f>
        <v>5.6032999999999999</v>
      </c>
      <c r="K193" s="4"/>
      <c r="L193" s="9">
        <v>29.7257</v>
      </c>
      <c r="M193" s="9">
        <v>11.6745</v>
      </c>
      <c r="N193" s="9">
        <v>4.7850000000000001</v>
      </c>
      <c r="O193" s="9">
        <v>0.36199999999999999</v>
      </c>
      <c r="P193" s="9">
        <v>1.1791</v>
      </c>
      <c r="Q193" s="9">
        <v>30.501000000000001</v>
      </c>
      <c r="R193" s="9"/>
      <c r="S193" s="11"/>
    </row>
    <row r="194" spans="1:19" ht="15.75">
      <c r="A194" s="13">
        <v>47392</v>
      </c>
      <c r="B194" s="8">
        <f>6.0806 * CHOOSE(CONTROL!$C$15, $D$11, 100%, $F$11)</f>
        <v>6.0805999999999996</v>
      </c>
      <c r="C194" s="8">
        <f>6.086 * CHOOSE(CONTROL!$C$15, $D$11, 100%, $F$11)</f>
        <v>6.0860000000000003</v>
      </c>
      <c r="D194" s="8">
        <f>6.0975 * CHOOSE( CONTROL!$C$15, $D$11, 100%, $F$11)</f>
        <v>6.0975000000000001</v>
      </c>
      <c r="E194" s="12">
        <f>6.0931 * CHOOSE( CONTROL!$C$15, $D$11, 100%, $F$11)</f>
        <v>6.0930999999999997</v>
      </c>
      <c r="F194" s="4">
        <f>6.7706 * CHOOSE(CONTROL!$C$15, $D$11, 100%, $F$11)</f>
        <v>6.7706</v>
      </c>
      <c r="G194" s="8">
        <f>5.9498 * CHOOSE( CONTROL!$C$15, $D$11, 100%, $F$11)</f>
        <v>5.9497999999999998</v>
      </c>
      <c r="H194" s="4">
        <f>6.8871 * CHOOSE(CONTROL!$C$15, $D$11, 100%, $F$11)</f>
        <v>6.8871000000000002</v>
      </c>
      <c r="I194" s="8">
        <f>5.9455 * CHOOSE(CONTROL!$C$15, $D$11, 100%, $F$11)</f>
        <v>5.9455</v>
      </c>
      <c r="J194" s="4">
        <f>5.8486 * CHOOSE(CONTROL!$C$15, $D$11, 100%, $F$11)</f>
        <v>5.8486000000000002</v>
      </c>
      <c r="K194" s="4"/>
      <c r="L194" s="9">
        <v>31.095300000000002</v>
      </c>
      <c r="M194" s="9">
        <v>12.063700000000001</v>
      </c>
      <c r="N194" s="9">
        <v>4.9444999999999997</v>
      </c>
      <c r="O194" s="9">
        <v>0.37409999999999999</v>
      </c>
      <c r="P194" s="9">
        <v>1.2183999999999999</v>
      </c>
      <c r="Q194" s="9">
        <v>31.517700000000001</v>
      </c>
      <c r="R194" s="9"/>
      <c r="S194" s="11"/>
    </row>
    <row r="195" spans="1:19" ht="15.75">
      <c r="A195" s="13">
        <v>47423</v>
      </c>
      <c r="B195" s="8">
        <f>6.5552 * CHOOSE(CONTROL!$C$15, $D$11, 100%, $F$11)</f>
        <v>6.5552000000000001</v>
      </c>
      <c r="C195" s="8">
        <f>6.5603 * CHOOSE(CONTROL!$C$15, $D$11, 100%, $F$11)</f>
        <v>6.5602999999999998</v>
      </c>
      <c r="D195" s="8">
        <f>6.5373 * CHOOSE( CONTROL!$C$15, $D$11, 100%, $F$11)</f>
        <v>6.5373000000000001</v>
      </c>
      <c r="E195" s="12">
        <f>6.5452 * CHOOSE( CONTROL!$C$15, $D$11, 100%, $F$11)</f>
        <v>6.5452000000000004</v>
      </c>
      <c r="F195" s="4">
        <f>7.2001 * CHOOSE(CONTROL!$C$15, $D$11, 100%, $F$11)</f>
        <v>7.2000999999999999</v>
      </c>
      <c r="G195" s="8">
        <f>6.4277 * CHOOSE( CONTROL!$C$15, $D$11, 100%, $F$11)</f>
        <v>6.4276999999999997</v>
      </c>
      <c r="H195" s="4">
        <f>7.3095 * CHOOSE(CONTROL!$C$15, $D$11, 100%, $F$11)</f>
        <v>7.3094999999999999</v>
      </c>
      <c r="I195" s="8">
        <f>6.4296 * CHOOSE(CONTROL!$C$15, $D$11, 100%, $F$11)</f>
        <v>6.4295999999999998</v>
      </c>
      <c r="J195" s="4">
        <f>6.3078 * CHOOSE(CONTROL!$C$15, $D$11, 100%, $F$11)</f>
        <v>6.3078000000000003</v>
      </c>
      <c r="K195" s="4"/>
      <c r="L195" s="9">
        <v>28.360600000000002</v>
      </c>
      <c r="M195" s="9">
        <v>11.6745</v>
      </c>
      <c r="N195" s="9">
        <v>4.7850000000000001</v>
      </c>
      <c r="O195" s="9">
        <v>0.36199999999999999</v>
      </c>
      <c r="P195" s="9">
        <v>1.2509999999999999</v>
      </c>
      <c r="Q195" s="9">
        <v>30.501000000000001</v>
      </c>
      <c r="R195" s="9"/>
      <c r="S195" s="11"/>
    </row>
    <row r="196" spans="1:19" ht="15.75">
      <c r="A196" s="13">
        <v>47453</v>
      </c>
      <c r="B196" s="8">
        <f>6.5434 * CHOOSE(CONTROL!$C$15, $D$11, 100%, $F$11)</f>
        <v>6.5434000000000001</v>
      </c>
      <c r="C196" s="8">
        <f>6.5485 * CHOOSE(CONTROL!$C$15, $D$11, 100%, $F$11)</f>
        <v>6.5484999999999998</v>
      </c>
      <c r="D196" s="8">
        <f>6.5268 * CHOOSE( CONTROL!$C$15, $D$11, 100%, $F$11)</f>
        <v>6.5267999999999997</v>
      </c>
      <c r="E196" s="12">
        <f>6.5342 * CHOOSE( CONTROL!$C$15, $D$11, 100%, $F$11)</f>
        <v>6.5342000000000002</v>
      </c>
      <c r="F196" s="4">
        <f>7.1882 * CHOOSE(CONTROL!$C$15, $D$11, 100%, $F$11)</f>
        <v>7.1882000000000001</v>
      </c>
      <c r="G196" s="8">
        <f>6.417 * CHOOSE( CONTROL!$C$15, $D$11, 100%, $F$11)</f>
        <v>6.4169999999999998</v>
      </c>
      <c r="H196" s="4">
        <f>7.2978 * CHOOSE(CONTROL!$C$15, $D$11, 100%, $F$11)</f>
        <v>7.2977999999999996</v>
      </c>
      <c r="I196" s="8">
        <f>6.4225 * CHOOSE(CONTROL!$C$15, $D$11, 100%, $F$11)</f>
        <v>6.4225000000000003</v>
      </c>
      <c r="J196" s="4">
        <f>6.2963 * CHOOSE(CONTROL!$C$15, $D$11, 100%, $F$11)</f>
        <v>6.2962999999999996</v>
      </c>
      <c r="K196" s="4"/>
      <c r="L196" s="9">
        <v>29.306000000000001</v>
      </c>
      <c r="M196" s="9">
        <v>12.063700000000001</v>
      </c>
      <c r="N196" s="9">
        <v>4.9444999999999997</v>
      </c>
      <c r="O196" s="9">
        <v>0.37409999999999999</v>
      </c>
      <c r="P196" s="9">
        <v>1.2927</v>
      </c>
      <c r="Q196" s="9">
        <v>31.517700000000001</v>
      </c>
      <c r="R196" s="9"/>
      <c r="S196" s="11"/>
    </row>
    <row r="197" spans="1:19" ht="15.75">
      <c r="A197" s="13">
        <v>47484</v>
      </c>
      <c r="B197" s="8">
        <f>6.7858 * CHOOSE(CONTROL!$C$15, $D$11, 100%, $F$11)</f>
        <v>6.7858000000000001</v>
      </c>
      <c r="C197" s="8">
        <f>6.791 * CHOOSE(CONTROL!$C$15, $D$11, 100%, $F$11)</f>
        <v>6.7910000000000004</v>
      </c>
      <c r="D197" s="8">
        <f>6.7651 * CHOOSE( CONTROL!$C$15, $D$11, 100%, $F$11)</f>
        <v>6.7651000000000003</v>
      </c>
      <c r="E197" s="12">
        <f>6.774 * CHOOSE( CONTROL!$C$15, $D$11, 100%, $F$11)</f>
        <v>6.774</v>
      </c>
      <c r="F197" s="4">
        <f>7.4299 * CHOOSE(CONTROL!$C$15, $D$11, 100%, $F$11)</f>
        <v>7.4298999999999999</v>
      </c>
      <c r="G197" s="8">
        <f>6.6492 * CHOOSE( CONTROL!$C$15, $D$11, 100%, $F$11)</f>
        <v>6.6492000000000004</v>
      </c>
      <c r="H197" s="4">
        <f>7.5354 * CHOOSE(CONTROL!$C$15, $D$11, 100%, $F$11)</f>
        <v>7.5354000000000001</v>
      </c>
      <c r="I197" s="8">
        <f>6.6276 * CHOOSE(CONTROL!$C$15, $D$11, 100%, $F$11)</f>
        <v>6.6276000000000002</v>
      </c>
      <c r="J197" s="4">
        <f>6.5307 * CHOOSE(CONTROL!$C$15, $D$11, 100%, $F$11)</f>
        <v>6.5307000000000004</v>
      </c>
      <c r="K197" s="4"/>
      <c r="L197" s="9">
        <v>29.306000000000001</v>
      </c>
      <c r="M197" s="9">
        <v>12.063700000000001</v>
      </c>
      <c r="N197" s="9">
        <v>4.9444999999999997</v>
      </c>
      <c r="O197" s="9">
        <v>0.37409999999999999</v>
      </c>
      <c r="P197" s="9">
        <v>1.2927</v>
      </c>
      <c r="Q197" s="9">
        <v>31.333600000000001</v>
      </c>
      <c r="R197" s="9"/>
      <c r="S197" s="11"/>
    </row>
    <row r="198" spans="1:19" ht="15.75">
      <c r="A198" s="13">
        <v>47515</v>
      </c>
      <c r="B198" s="8">
        <f>6.3491 * CHOOSE(CONTROL!$C$15, $D$11, 100%, $F$11)</f>
        <v>6.3491</v>
      </c>
      <c r="C198" s="8">
        <f>6.3542 * CHOOSE(CONTROL!$C$15, $D$11, 100%, $F$11)</f>
        <v>6.3541999999999996</v>
      </c>
      <c r="D198" s="8">
        <f>6.3286 * CHOOSE( CONTROL!$C$15, $D$11, 100%, $F$11)</f>
        <v>6.3285999999999998</v>
      </c>
      <c r="E198" s="12">
        <f>6.3374 * CHOOSE( CONTROL!$C$15, $D$11, 100%, $F$11)</f>
        <v>6.3373999999999997</v>
      </c>
      <c r="F198" s="4">
        <f>6.9931 * CHOOSE(CONTROL!$C$15, $D$11, 100%, $F$11)</f>
        <v>6.9931000000000001</v>
      </c>
      <c r="G198" s="8">
        <f>6.2199 * CHOOSE( CONTROL!$C$15, $D$11, 100%, $F$11)</f>
        <v>6.2199</v>
      </c>
      <c r="H198" s="4">
        <f>7.1059 * CHOOSE(CONTROL!$C$15, $D$11, 100%, $F$11)</f>
        <v>7.1059000000000001</v>
      </c>
      <c r="I198" s="8">
        <f>6.2059 * CHOOSE(CONTROL!$C$15, $D$11, 100%, $F$11)</f>
        <v>6.2058999999999997</v>
      </c>
      <c r="J198" s="4">
        <f>6.1085 * CHOOSE(CONTROL!$C$15, $D$11, 100%, $F$11)</f>
        <v>6.1085000000000003</v>
      </c>
      <c r="K198" s="4"/>
      <c r="L198" s="9">
        <v>26.469899999999999</v>
      </c>
      <c r="M198" s="9">
        <v>10.8962</v>
      </c>
      <c r="N198" s="9">
        <v>4.4660000000000002</v>
      </c>
      <c r="O198" s="9">
        <v>0.33789999999999998</v>
      </c>
      <c r="P198" s="9">
        <v>1.1676</v>
      </c>
      <c r="Q198" s="9">
        <v>28.301300000000001</v>
      </c>
      <c r="R198" s="9"/>
      <c r="S198" s="11"/>
    </row>
    <row r="199" spans="1:19" ht="15.75">
      <c r="A199" s="13">
        <v>47543</v>
      </c>
      <c r="B199" s="8">
        <f>6.2146 * CHOOSE(CONTROL!$C$15, $D$11, 100%, $F$11)</f>
        <v>6.2145999999999999</v>
      </c>
      <c r="C199" s="8">
        <f>6.2197 * CHOOSE(CONTROL!$C$15, $D$11, 100%, $F$11)</f>
        <v>6.2196999999999996</v>
      </c>
      <c r="D199" s="8">
        <f>6.194 * CHOOSE( CONTROL!$C$15, $D$11, 100%, $F$11)</f>
        <v>6.194</v>
      </c>
      <c r="E199" s="12">
        <f>6.2029 * CHOOSE( CONTROL!$C$15, $D$11, 100%, $F$11)</f>
        <v>6.2028999999999996</v>
      </c>
      <c r="F199" s="4">
        <f>6.8586 * CHOOSE(CONTROL!$C$15, $D$11, 100%, $F$11)</f>
        <v>6.8586</v>
      </c>
      <c r="G199" s="8">
        <f>6.0875 * CHOOSE( CONTROL!$C$15, $D$11, 100%, $F$11)</f>
        <v>6.0875000000000004</v>
      </c>
      <c r="H199" s="4">
        <f>6.9736 * CHOOSE(CONTROL!$C$15, $D$11, 100%, $F$11)</f>
        <v>6.9736000000000002</v>
      </c>
      <c r="I199" s="8">
        <f>6.0756 * CHOOSE(CONTROL!$C$15, $D$11, 100%, $F$11)</f>
        <v>6.0755999999999997</v>
      </c>
      <c r="J199" s="4">
        <f>5.9785 * CHOOSE(CONTROL!$C$15, $D$11, 100%, $F$11)</f>
        <v>5.9785000000000004</v>
      </c>
      <c r="K199" s="4"/>
      <c r="L199" s="9">
        <v>29.306000000000001</v>
      </c>
      <c r="M199" s="9">
        <v>12.063700000000001</v>
      </c>
      <c r="N199" s="9">
        <v>4.9444999999999997</v>
      </c>
      <c r="O199" s="9">
        <v>0.37409999999999999</v>
      </c>
      <c r="P199" s="9">
        <v>1.2927</v>
      </c>
      <c r="Q199" s="9">
        <v>31.333600000000001</v>
      </c>
      <c r="R199" s="9"/>
      <c r="S199" s="11"/>
    </row>
    <row r="200" spans="1:19" ht="15.75">
      <c r="A200" s="13">
        <v>47574</v>
      </c>
      <c r="B200" s="8">
        <f>6.3093 * CHOOSE(CONTROL!$C$15, $D$11, 100%, $F$11)</f>
        <v>6.3093000000000004</v>
      </c>
      <c r="C200" s="8">
        <f>6.3139 * CHOOSE(CONTROL!$C$15, $D$11, 100%, $F$11)</f>
        <v>6.3139000000000003</v>
      </c>
      <c r="D200" s="8">
        <f>6.3249 * CHOOSE( CONTROL!$C$15, $D$11, 100%, $F$11)</f>
        <v>6.3249000000000004</v>
      </c>
      <c r="E200" s="12">
        <f>6.3207 * CHOOSE( CONTROL!$C$15, $D$11, 100%, $F$11)</f>
        <v>6.3207000000000004</v>
      </c>
      <c r="F200" s="4">
        <f>6.999 * CHOOSE(CONTROL!$C$15, $D$11, 100%, $F$11)</f>
        <v>6.9989999999999997</v>
      </c>
      <c r="G200" s="8">
        <f>6.1728 * CHOOSE( CONTROL!$C$15, $D$11, 100%, $F$11)</f>
        <v>6.1727999999999996</v>
      </c>
      <c r="H200" s="4">
        <f>7.1117 * CHOOSE(CONTROL!$C$15, $D$11, 100%, $F$11)</f>
        <v>7.1116999999999999</v>
      </c>
      <c r="I200" s="8">
        <f>6.1616 * CHOOSE(CONTROL!$C$15, $D$11, 100%, $F$11)</f>
        <v>6.1616</v>
      </c>
      <c r="J200" s="4">
        <f>6.0693 * CHOOSE(CONTROL!$C$15, $D$11, 100%, $F$11)</f>
        <v>6.0693000000000001</v>
      </c>
      <c r="K200" s="4"/>
      <c r="L200" s="9">
        <v>30.092199999999998</v>
      </c>
      <c r="M200" s="9">
        <v>11.6745</v>
      </c>
      <c r="N200" s="9">
        <v>4.7850000000000001</v>
      </c>
      <c r="O200" s="9">
        <v>0.36199999999999999</v>
      </c>
      <c r="P200" s="9">
        <v>1.1791</v>
      </c>
      <c r="Q200" s="9">
        <v>30.322800000000001</v>
      </c>
      <c r="R200" s="9"/>
      <c r="S200" s="11"/>
    </row>
    <row r="201" spans="1:19" ht="15.75">
      <c r="A201" s="13">
        <v>47604</v>
      </c>
      <c r="B201" s="8">
        <f>CHOOSE( CONTROL!$C$32, 6.4816, 6.478) * CHOOSE(CONTROL!$C$15, $D$11, 100%, $F$11)</f>
        <v>6.4816000000000003</v>
      </c>
      <c r="C201" s="8">
        <f>CHOOSE( CONTROL!$C$32, 6.4896, 6.486) * CHOOSE(CONTROL!$C$15, $D$11, 100%, $F$11)</f>
        <v>6.4896000000000003</v>
      </c>
      <c r="D201" s="8">
        <f>CHOOSE( CONTROL!$C$32, 6.4956, 6.492) * CHOOSE( CONTROL!$C$15, $D$11, 100%, $F$11)</f>
        <v>6.4955999999999996</v>
      </c>
      <c r="E201" s="12">
        <f>CHOOSE( CONTROL!$C$32, 6.4922, 6.4886) * CHOOSE( CONTROL!$C$15, $D$11, 100%, $F$11)</f>
        <v>6.4922000000000004</v>
      </c>
      <c r="F201" s="4">
        <f>CHOOSE( CONTROL!$C$32, 7.1698, 7.1663) * CHOOSE(CONTROL!$C$15, $D$11, 100%, $F$11)</f>
        <v>7.1698000000000004</v>
      </c>
      <c r="G201" s="8">
        <f>CHOOSE( CONTROL!$C$32, 6.3419, 6.3384) * CHOOSE( CONTROL!$C$15, $D$11, 100%, $F$11)</f>
        <v>6.3418999999999999</v>
      </c>
      <c r="H201" s="4">
        <f>CHOOSE( CONTROL!$C$32, 7.2797, 7.2762) * CHOOSE(CONTROL!$C$15, $D$11, 100%, $F$11)</f>
        <v>7.2797000000000001</v>
      </c>
      <c r="I201" s="8">
        <f>CHOOSE( CONTROL!$C$32, 6.3277, 6.3242) * CHOOSE(CONTROL!$C$15, $D$11, 100%, $F$11)</f>
        <v>6.3277000000000001</v>
      </c>
      <c r="J201" s="4">
        <f>CHOOSE( CONTROL!$C$32, 6.2345, 6.2311) * CHOOSE(CONTROL!$C$15, $D$11, 100%, $F$11)</f>
        <v>6.2344999999999997</v>
      </c>
      <c r="K201" s="4"/>
      <c r="L201" s="9">
        <v>30.7165</v>
      </c>
      <c r="M201" s="9">
        <v>12.063700000000001</v>
      </c>
      <c r="N201" s="9">
        <v>4.9444999999999997</v>
      </c>
      <c r="O201" s="9">
        <v>0.37409999999999999</v>
      </c>
      <c r="P201" s="9">
        <v>1.2183999999999999</v>
      </c>
      <c r="Q201" s="9">
        <v>31.333600000000001</v>
      </c>
      <c r="R201" s="9"/>
      <c r="S201" s="11"/>
    </row>
    <row r="202" spans="1:19" ht="15.75">
      <c r="A202" s="13">
        <v>47635</v>
      </c>
      <c r="B202" s="8">
        <f>CHOOSE( CONTROL!$C$32, 6.3779, 6.3744) * CHOOSE(CONTROL!$C$15, $D$11, 100%, $F$11)</f>
        <v>6.3779000000000003</v>
      </c>
      <c r="C202" s="8">
        <f>CHOOSE( CONTROL!$C$32, 6.386, 6.3824) * CHOOSE(CONTROL!$C$15, $D$11, 100%, $F$11)</f>
        <v>6.3860000000000001</v>
      </c>
      <c r="D202" s="8">
        <f>CHOOSE( CONTROL!$C$32, 6.3922, 6.3887) * CHOOSE( CONTROL!$C$15, $D$11, 100%, $F$11)</f>
        <v>6.3921999999999999</v>
      </c>
      <c r="E202" s="12">
        <f>CHOOSE( CONTROL!$C$32, 6.3887, 6.3852) * CHOOSE( CONTROL!$C$15, $D$11, 100%, $F$11)</f>
        <v>6.3887</v>
      </c>
      <c r="F202" s="4">
        <f>CHOOSE( CONTROL!$C$32, 7.0662, 7.0626) * CHOOSE(CONTROL!$C$15, $D$11, 100%, $F$11)</f>
        <v>7.0662000000000003</v>
      </c>
      <c r="G202" s="8">
        <f>CHOOSE( CONTROL!$C$32, 6.2404, 6.2369) * CHOOSE( CONTROL!$C$15, $D$11, 100%, $F$11)</f>
        <v>6.2404000000000002</v>
      </c>
      <c r="H202" s="4">
        <f>CHOOSE( CONTROL!$C$32, 7.1778, 7.1743) * CHOOSE(CONTROL!$C$15, $D$11, 100%, $F$11)</f>
        <v>7.1778000000000004</v>
      </c>
      <c r="I202" s="8">
        <f>CHOOSE( CONTROL!$C$32, 6.2288, 6.2253) * CHOOSE(CONTROL!$C$15, $D$11, 100%, $F$11)</f>
        <v>6.2287999999999997</v>
      </c>
      <c r="J202" s="4">
        <f>CHOOSE( CONTROL!$C$32, 6.1343, 6.1309) * CHOOSE(CONTROL!$C$15, $D$11, 100%, $F$11)</f>
        <v>6.1342999999999996</v>
      </c>
      <c r="K202" s="4"/>
      <c r="L202" s="9">
        <v>29.7257</v>
      </c>
      <c r="M202" s="9">
        <v>11.6745</v>
      </c>
      <c r="N202" s="9">
        <v>4.7850000000000001</v>
      </c>
      <c r="O202" s="9">
        <v>0.36199999999999999</v>
      </c>
      <c r="P202" s="9">
        <v>1.1791</v>
      </c>
      <c r="Q202" s="9">
        <v>30.322800000000001</v>
      </c>
      <c r="R202" s="9"/>
      <c r="S202" s="11"/>
    </row>
    <row r="203" spans="1:19" ht="15.75">
      <c r="A203" s="13">
        <v>47665</v>
      </c>
      <c r="B203" s="8">
        <f>CHOOSE( CONTROL!$C$32, 6.6508, 6.6473) * CHOOSE(CONTROL!$C$15, $D$11, 100%, $F$11)</f>
        <v>6.6508000000000003</v>
      </c>
      <c r="C203" s="8">
        <f>CHOOSE( CONTROL!$C$32, 6.6589, 6.6553) * CHOOSE(CONTROL!$C$15, $D$11, 100%, $F$11)</f>
        <v>6.6589</v>
      </c>
      <c r="D203" s="8">
        <f>CHOOSE( CONTROL!$C$32, 6.6654, 6.6619) * CHOOSE( CONTROL!$C$15, $D$11, 100%, $F$11)</f>
        <v>6.6654</v>
      </c>
      <c r="E203" s="12">
        <f>CHOOSE( CONTROL!$C$32, 6.6618, 6.6583) * CHOOSE( CONTROL!$C$15, $D$11, 100%, $F$11)</f>
        <v>6.6618000000000004</v>
      </c>
      <c r="F203" s="4">
        <f>CHOOSE( CONTROL!$C$32, 7.3391, 7.3355) * CHOOSE(CONTROL!$C$15, $D$11, 100%, $F$11)</f>
        <v>7.3391000000000002</v>
      </c>
      <c r="G203" s="8">
        <f>CHOOSE( CONTROL!$C$32, 6.5092, 6.5057) * CHOOSE( CONTROL!$C$15, $D$11, 100%, $F$11)</f>
        <v>6.5091999999999999</v>
      </c>
      <c r="H203" s="4">
        <f>CHOOSE( CONTROL!$C$32, 7.4462, 7.4427) * CHOOSE(CONTROL!$C$15, $D$11, 100%, $F$11)</f>
        <v>7.4462000000000002</v>
      </c>
      <c r="I203" s="8">
        <f>CHOOSE( CONTROL!$C$32, 6.4942, 6.4907) * CHOOSE(CONTROL!$C$15, $D$11, 100%, $F$11)</f>
        <v>6.4942000000000002</v>
      </c>
      <c r="J203" s="4">
        <f>CHOOSE( CONTROL!$C$32, 6.3981, 6.3947) * CHOOSE(CONTROL!$C$15, $D$11, 100%, $F$11)</f>
        <v>6.3981000000000003</v>
      </c>
      <c r="K203" s="4"/>
      <c r="L203" s="9">
        <v>30.7165</v>
      </c>
      <c r="M203" s="9">
        <v>12.063700000000001</v>
      </c>
      <c r="N203" s="9">
        <v>4.9444999999999997</v>
      </c>
      <c r="O203" s="9">
        <v>0.37409999999999999</v>
      </c>
      <c r="P203" s="9">
        <v>1.2183999999999999</v>
      </c>
      <c r="Q203" s="9">
        <v>31.333600000000001</v>
      </c>
      <c r="R203" s="9"/>
      <c r="S203" s="11"/>
    </row>
    <row r="204" spans="1:19" ht="15.75">
      <c r="A204" s="13">
        <v>47696</v>
      </c>
      <c r="B204" s="8">
        <f>CHOOSE( CONTROL!$C$32, 6.1402, 6.1366) * CHOOSE(CONTROL!$C$15, $D$11, 100%, $F$11)</f>
        <v>6.1402000000000001</v>
      </c>
      <c r="C204" s="8">
        <f>CHOOSE( CONTROL!$C$32, 6.1482, 6.1447) * CHOOSE(CONTROL!$C$15, $D$11, 100%, $F$11)</f>
        <v>6.1482000000000001</v>
      </c>
      <c r="D204" s="8">
        <f>CHOOSE( CONTROL!$C$32, 6.1549, 6.1514) * CHOOSE( CONTROL!$C$15, $D$11, 100%, $F$11)</f>
        <v>6.1548999999999996</v>
      </c>
      <c r="E204" s="12">
        <f>CHOOSE( CONTROL!$C$32, 6.1513, 6.1477) * CHOOSE( CONTROL!$C$15, $D$11, 100%, $F$11)</f>
        <v>6.1513</v>
      </c>
      <c r="F204" s="4">
        <f>CHOOSE( CONTROL!$C$32, 6.8285, 6.8249) * CHOOSE(CONTROL!$C$15, $D$11, 100%, $F$11)</f>
        <v>6.8285</v>
      </c>
      <c r="G204" s="8">
        <f>CHOOSE( CONTROL!$C$32, 6.0072, 6.0037) * CHOOSE( CONTROL!$C$15, $D$11, 100%, $F$11)</f>
        <v>6.0072000000000001</v>
      </c>
      <c r="H204" s="4">
        <f>CHOOSE( CONTROL!$C$32, 6.944, 6.9405) * CHOOSE(CONTROL!$C$15, $D$11, 100%, $F$11)</f>
        <v>6.944</v>
      </c>
      <c r="I204" s="8">
        <f>CHOOSE( CONTROL!$C$32, 6.0008, 5.9973) * CHOOSE(CONTROL!$C$15, $D$11, 100%, $F$11)</f>
        <v>6.0007999999999999</v>
      </c>
      <c r="J204" s="4">
        <f>CHOOSE( CONTROL!$C$32, 5.9045, 5.9011) * CHOOSE(CONTROL!$C$15, $D$11, 100%, $F$11)</f>
        <v>5.9044999999999996</v>
      </c>
      <c r="K204" s="4"/>
      <c r="L204" s="9">
        <v>30.7165</v>
      </c>
      <c r="M204" s="9">
        <v>12.063700000000001</v>
      </c>
      <c r="N204" s="9">
        <v>4.9444999999999997</v>
      </c>
      <c r="O204" s="9">
        <v>0.37409999999999999</v>
      </c>
      <c r="P204" s="9">
        <v>1.2183999999999999</v>
      </c>
      <c r="Q204" s="9">
        <v>31.333600000000001</v>
      </c>
      <c r="R204" s="9"/>
      <c r="S204" s="11"/>
    </row>
    <row r="205" spans="1:19" ht="15.75">
      <c r="A205" s="13">
        <v>47727</v>
      </c>
      <c r="B205" s="8">
        <f>CHOOSE( CONTROL!$C$32, 6.0123, 6.0088) * CHOOSE(CONTROL!$C$15, $D$11, 100%, $F$11)</f>
        <v>6.0122999999999998</v>
      </c>
      <c r="C205" s="8">
        <f>CHOOSE( CONTROL!$C$32, 6.0204, 6.0168) * CHOOSE(CONTROL!$C$15, $D$11, 100%, $F$11)</f>
        <v>6.0204000000000004</v>
      </c>
      <c r="D205" s="8">
        <f>CHOOSE( CONTROL!$C$32, 6.0271, 6.0235) * CHOOSE( CONTROL!$C$15, $D$11, 100%, $F$11)</f>
        <v>6.0270999999999999</v>
      </c>
      <c r="E205" s="12">
        <f>CHOOSE( CONTROL!$C$32, 6.0234, 6.0199) * CHOOSE( CONTROL!$C$15, $D$11, 100%, $F$11)</f>
        <v>6.0233999999999996</v>
      </c>
      <c r="F205" s="4">
        <f>CHOOSE( CONTROL!$C$32, 6.7006, 6.6971) * CHOOSE(CONTROL!$C$15, $D$11, 100%, $F$11)</f>
        <v>6.7005999999999997</v>
      </c>
      <c r="G205" s="8">
        <f>CHOOSE( CONTROL!$C$32, 5.8814, 5.8779) * CHOOSE( CONTROL!$C$15, $D$11, 100%, $F$11)</f>
        <v>5.8814000000000002</v>
      </c>
      <c r="H205" s="4">
        <f>CHOOSE( CONTROL!$C$32, 6.8183, 6.8148) * CHOOSE(CONTROL!$C$15, $D$11, 100%, $F$11)</f>
        <v>6.8182999999999998</v>
      </c>
      <c r="I205" s="8">
        <f>CHOOSE( CONTROL!$C$32, 5.8771, 5.8737) * CHOOSE(CONTROL!$C$15, $D$11, 100%, $F$11)</f>
        <v>5.8771000000000004</v>
      </c>
      <c r="J205" s="4">
        <f>CHOOSE( CONTROL!$C$32, 5.7809, 5.7775) * CHOOSE(CONTROL!$C$15, $D$11, 100%, $F$11)</f>
        <v>5.7808999999999999</v>
      </c>
      <c r="K205" s="4"/>
      <c r="L205" s="9">
        <v>29.7257</v>
      </c>
      <c r="M205" s="9">
        <v>11.6745</v>
      </c>
      <c r="N205" s="9">
        <v>4.7850000000000001</v>
      </c>
      <c r="O205" s="9">
        <v>0.36199999999999999</v>
      </c>
      <c r="P205" s="9">
        <v>1.1791</v>
      </c>
      <c r="Q205" s="9">
        <v>30.322800000000001</v>
      </c>
      <c r="R205" s="9"/>
      <c r="S205" s="11"/>
    </row>
    <row r="206" spans="1:19" ht="15.75">
      <c r="A206" s="13">
        <v>47757</v>
      </c>
      <c r="B206" s="8">
        <f>6.2726 * CHOOSE(CONTROL!$C$15, $D$11, 100%, $F$11)</f>
        <v>6.2725999999999997</v>
      </c>
      <c r="C206" s="8">
        <f>6.2779 * CHOOSE(CONTROL!$C$15, $D$11, 100%, $F$11)</f>
        <v>6.2778999999999998</v>
      </c>
      <c r="D206" s="8">
        <f>6.2895 * CHOOSE( CONTROL!$C$15, $D$11, 100%, $F$11)</f>
        <v>6.2895000000000003</v>
      </c>
      <c r="E206" s="12">
        <f>6.2851 * CHOOSE( CONTROL!$C$15, $D$11, 100%, $F$11)</f>
        <v>6.2850999999999999</v>
      </c>
      <c r="F206" s="4">
        <f>6.9625 * CHOOSE(CONTROL!$C$15, $D$11, 100%, $F$11)</f>
        <v>6.9625000000000004</v>
      </c>
      <c r="G206" s="8">
        <f>6.1385 * CHOOSE( CONTROL!$C$15, $D$11, 100%, $F$11)</f>
        <v>6.1384999999999996</v>
      </c>
      <c r="H206" s="4">
        <f>7.0759 * CHOOSE(CONTROL!$C$15, $D$11, 100%, $F$11)</f>
        <v>7.0758999999999999</v>
      </c>
      <c r="I206" s="8">
        <f>6.1312 * CHOOSE(CONTROL!$C$15, $D$11, 100%, $F$11)</f>
        <v>6.1311999999999998</v>
      </c>
      <c r="J206" s="4">
        <f>6.0341 * CHOOSE(CONTROL!$C$15, $D$11, 100%, $F$11)</f>
        <v>6.0340999999999996</v>
      </c>
      <c r="K206" s="4"/>
      <c r="L206" s="9">
        <v>31.095300000000002</v>
      </c>
      <c r="M206" s="9">
        <v>12.063700000000001</v>
      </c>
      <c r="N206" s="9">
        <v>4.9444999999999997</v>
      </c>
      <c r="O206" s="9">
        <v>0.37409999999999999</v>
      </c>
      <c r="P206" s="9">
        <v>1.2183999999999999</v>
      </c>
      <c r="Q206" s="9">
        <v>31.333600000000001</v>
      </c>
      <c r="R206" s="9"/>
      <c r="S206" s="11"/>
    </row>
    <row r="207" spans="1:19" ht="15.75">
      <c r="A207" s="13">
        <v>47788</v>
      </c>
      <c r="B207" s="8">
        <f>6.7622 * CHOOSE(CONTROL!$C$15, $D$11, 100%, $F$11)</f>
        <v>6.7622</v>
      </c>
      <c r="C207" s="8">
        <f>6.7673 * CHOOSE(CONTROL!$C$15, $D$11, 100%, $F$11)</f>
        <v>6.7672999999999996</v>
      </c>
      <c r="D207" s="8">
        <f>6.7443 * CHOOSE( CONTROL!$C$15, $D$11, 100%, $F$11)</f>
        <v>6.7443</v>
      </c>
      <c r="E207" s="12">
        <f>6.7522 * CHOOSE( CONTROL!$C$15, $D$11, 100%, $F$11)</f>
        <v>6.7522000000000002</v>
      </c>
      <c r="F207" s="4">
        <f>7.4071 * CHOOSE(CONTROL!$C$15, $D$11, 100%, $F$11)</f>
        <v>7.4070999999999998</v>
      </c>
      <c r="G207" s="8">
        <f>6.6312 * CHOOSE( CONTROL!$C$15, $D$11, 100%, $F$11)</f>
        <v>6.6311999999999998</v>
      </c>
      <c r="H207" s="4">
        <f>7.513 * CHOOSE(CONTROL!$C$15, $D$11, 100%, $F$11)</f>
        <v>7.5129999999999999</v>
      </c>
      <c r="I207" s="8">
        <f>6.6298 * CHOOSE(CONTROL!$C$15, $D$11, 100%, $F$11)</f>
        <v>6.6298000000000004</v>
      </c>
      <c r="J207" s="4">
        <f>6.5078 * CHOOSE(CONTROL!$C$15, $D$11, 100%, $F$11)</f>
        <v>6.5077999999999996</v>
      </c>
      <c r="K207" s="4"/>
      <c r="L207" s="9">
        <v>28.360600000000002</v>
      </c>
      <c r="M207" s="9">
        <v>11.6745</v>
      </c>
      <c r="N207" s="9">
        <v>4.7850000000000001</v>
      </c>
      <c r="O207" s="9">
        <v>0.36199999999999999</v>
      </c>
      <c r="P207" s="9">
        <v>1.2509999999999999</v>
      </c>
      <c r="Q207" s="9">
        <v>30.322800000000001</v>
      </c>
      <c r="R207" s="9"/>
      <c r="S207" s="11"/>
    </row>
    <row r="208" spans="1:19" ht="15.75">
      <c r="A208" s="13">
        <v>47818</v>
      </c>
      <c r="B208" s="8">
        <f>6.75 * CHOOSE(CONTROL!$C$15, $D$11, 100%, $F$11)</f>
        <v>6.75</v>
      </c>
      <c r="C208" s="8">
        <f>6.7551 * CHOOSE(CONTROL!$C$15, $D$11, 100%, $F$11)</f>
        <v>6.7550999999999997</v>
      </c>
      <c r="D208" s="8">
        <f>6.7334 * CHOOSE( CONTROL!$C$15, $D$11, 100%, $F$11)</f>
        <v>6.7333999999999996</v>
      </c>
      <c r="E208" s="12">
        <f>6.7408 * CHOOSE( CONTROL!$C$15, $D$11, 100%, $F$11)</f>
        <v>6.7408000000000001</v>
      </c>
      <c r="F208" s="4">
        <f>7.3948 * CHOOSE(CONTROL!$C$15, $D$11, 100%, $F$11)</f>
        <v>7.3948</v>
      </c>
      <c r="G208" s="8">
        <f>6.6202 * CHOOSE( CONTROL!$C$15, $D$11, 100%, $F$11)</f>
        <v>6.6201999999999996</v>
      </c>
      <c r="H208" s="4">
        <f>7.501 * CHOOSE(CONTROL!$C$15, $D$11, 100%, $F$11)</f>
        <v>7.5010000000000003</v>
      </c>
      <c r="I208" s="8">
        <f>6.6223 * CHOOSE(CONTROL!$C$15, $D$11, 100%, $F$11)</f>
        <v>6.6223000000000001</v>
      </c>
      <c r="J208" s="4">
        <f>6.496 * CHOOSE(CONTROL!$C$15, $D$11, 100%, $F$11)</f>
        <v>6.4960000000000004</v>
      </c>
      <c r="K208" s="4"/>
      <c r="L208" s="9">
        <v>29.306000000000001</v>
      </c>
      <c r="M208" s="9">
        <v>12.063700000000001</v>
      </c>
      <c r="N208" s="9">
        <v>4.9444999999999997</v>
      </c>
      <c r="O208" s="9">
        <v>0.37409999999999999</v>
      </c>
      <c r="P208" s="9">
        <v>1.2927</v>
      </c>
      <c r="Q208" s="9">
        <v>31.333600000000001</v>
      </c>
      <c r="R208" s="9"/>
      <c r="S208" s="11"/>
    </row>
    <row r="209" spans="1:19" ht="15.75">
      <c r="A209" s="13">
        <v>47849</v>
      </c>
      <c r="B209" s="8">
        <f>6.9935 * CHOOSE(CONTROL!$C$15, $D$11, 100%, $F$11)</f>
        <v>6.9935</v>
      </c>
      <c r="C209" s="8">
        <f>6.9987 * CHOOSE(CONTROL!$C$15, $D$11, 100%, $F$11)</f>
        <v>6.9987000000000004</v>
      </c>
      <c r="D209" s="8">
        <f>6.9728 * CHOOSE( CONTROL!$C$15, $D$11, 100%, $F$11)</f>
        <v>6.9728000000000003</v>
      </c>
      <c r="E209" s="12">
        <f>6.9817 * CHOOSE( CONTROL!$C$15, $D$11, 100%, $F$11)</f>
        <v>6.9817</v>
      </c>
      <c r="F209" s="4">
        <f>7.6376 * CHOOSE(CONTROL!$C$15, $D$11, 100%, $F$11)</f>
        <v>7.6375999999999999</v>
      </c>
      <c r="G209" s="8">
        <f>6.8535 * CHOOSE( CONTROL!$C$15, $D$11, 100%, $F$11)</f>
        <v>6.8535000000000004</v>
      </c>
      <c r="H209" s="4">
        <f>7.7397 * CHOOSE(CONTROL!$C$15, $D$11, 100%, $F$11)</f>
        <v>7.7397</v>
      </c>
      <c r="I209" s="8">
        <f>6.8285 * CHOOSE(CONTROL!$C$15, $D$11, 100%, $F$11)</f>
        <v>6.8285</v>
      </c>
      <c r="J209" s="4">
        <f>6.7315 * CHOOSE(CONTROL!$C$15, $D$11, 100%, $F$11)</f>
        <v>6.7314999999999996</v>
      </c>
      <c r="K209" s="4"/>
      <c r="L209" s="9">
        <v>29.306000000000001</v>
      </c>
      <c r="M209" s="9">
        <v>12.063700000000001</v>
      </c>
      <c r="N209" s="9">
        <v>4.9444999999999997</v>
      </c>
      <c r="O209" s="9">
        <v>0.37409999999999999</v>
      </c>
      <c r="P209" s="9">
        <v>1.2927</v>
      </c>
      <c r="Q209" s="9">
        <v>31.026700000000002</v>
      </c>
      <c r="R209" s="9"/>
      <c r="S209" s="11"/>
    </row>
    <row r="210" spans="1:19" ht="15.75">
      <c r="A210" s="13">
        <v>47880</v>
      </c>
      <c r="B210" s="8">
        <f>6.5434 * CHOOSE(CONTROL!$C$15, $D$11, 100%, $F$11)</f>
        <v>6.5434000000000001</v>
      </c>
      <c r="C210" s="8">
        <f>6.5485 * CHOOSE(CONTROL!$C$15, $D$11, 100%, $F$11)</f>
        <v>6.5484999999999998</v>
      </c>
      <c r="D210" s="8">
        <f>6.5229 * CHOOSE( CONTROL!$C$15, $D$11, 100%, $F$11)</f>
        <v>6.5228999999999999</v>
      </c>
      <c r="E210" s="12">
        <f>6.5317 * CHOOSE( CONTROL!$C$15, $D$11, 100%, $F$11)</f>
        <v>6.5316999999999998</v>
      </c>
      <c r="F210" s="4">
        <f>7.1874 * CHOOSE(CONTROL!$C$15, $D$11, 100%, $F$11)</f>
        <v>7.1874000000000002</v>
      </c>
      <c r="G210" s="8">
        <f>6.4109 * CHOOSE( CONTROL!$C$15, $D$11, 100%, $F$11)</f>
        <v>6.4108999999999998</v>
      </c>
      <c r="H210" s="4">
        <f>7.297 * CHOOSE(CONTROL!$C$15, $D$11, 100%, $F$11)</f>
        <v>7.2969999999999997</v>
      </c>
      <c r="I210" s="8">
        <f>6.3938 * CHOOSE(CONTROL!$C$15, $D$11, 100%, $F$11)</f>
        <v>6.3937999999999997</v>
      </c>
      <c r="J210" s="4">
        <f>6.2963 * CHOOSE(CONTROL!$C$15, $D$11, 100%, $F$11)</f>
        <v>6.2962999999999996</v>
      </c>
      <c r="K210" s="4"/>
      <c r="L210" s="9">
        <v>26.469899999999999</v>
      </c>
      <c r="M210" s="9">
        <v>10.8962</v>
      </c>
      <c r="N210" s="9">
        <v>4.4660000000000002</v>
      </c>
      <c r="O210" s="9">
        <v>0.33789999999999998</v>
      </c>
      <c r="P210" s="9">
        <v>1.1676</v>
      </c>
      <c r="Q210" s="9">
        <v>28.024100000000001</v>
      </c>
      <c r="R210" s="9"/>
      <c r="S210" s="11"/>
    </row>
    <row r="211" spans="1:19" ht="15.75">
      <c r="A211" s="13">
        <v>47908</v>
      </c>
      <c r="B211" s="8">
        <f>6.4047 * CHOOSE(CONTROL!$C$15, $D$11, 100%, $F$11)</f>
        <v>6.4047000000000001</v>
      </c>
      <c r="C211" s="8">
        <f>6.4098 * CHOOSE(CONTROL!$C$15, $D$11, 100%, $F$11)</f>
        <v>6.4097999999999997</v>
      </c>
      <c r="D211" s="8">
        <f>6.3842 * CHOOSE( CONTROL!$C$15, $D$11, 100%, $F$11)</f>
        <v>6.3841999999999999</v>
      </c>
      <c r="E211" s="12">
        <f>6.393 * CHOOSE( CONTROL!$C$15, $D$11, 100%, $F$11)</f>
        <v>6.3929999999999998</v>
      </c>
      <c r="F211" s="4">
        <f>7.0487 * CHOOSE(CONTROL!$C$15, $D$11, 100%, $F$11)</f>
        <v>7.0487000000000002</v>
      </c>
      <c r="G211" s="8">
        <f>6.2745 * CHOOSE( CONTROL!$C$15, $D$11, 100%, $F$11)</f>
        <v>6.2744999999999997</v>
      </c>
      <c r="H211" s="4">
        <f>7.1606 * CHOOSE(CONTROL!$C$15, $D$11, 100%, $F$11)</f>
        <v>7.1605999999999996</v>
      </c>
      <c r="I211" s="8">
        <f>6.2595 * CHOOSE(CONTROL!$C$15, $D$11, 100%, $F$11)</f>
        <v>6.2595000000000001</v>
      </c>
      <c r="J211" s="4">
        <f>6.1623 * CHOOSE(CONTROL!$C$15, $D$11, 100%, $F$11)</f>
        <v>6.1623000000000001</v>
      </c>
      <c r="K211" s="4"/>
      <c r="L211" s="9">
        <v>29.306000000000001</v>
      </c>
      <c r="M211" s="9">
        <v>12.063700000000001</v>
      </c>
      <c r="N211" s="9">
        <v>4.9444999999999997</v>
      </c>
      <c r="O211" s="9">
        <v>0.37409999999999999</v>
      </c>
      <c r="P211" s="9">
        <v>1.2927</v>
      </c>
      <c r="Q211" s="9">
        <v>31.026700000000002</v>
      </c>
      <c r="R211" s="9"/>
      <c r="S211" s="11"/>
    </row>
    <row r="212" spans="1:19" ht="15.75">
      <c r="A212" s="13">
        <v>47939</v>
      </c>
      <c r="B212" s="8">
        <f>6.5024 * CHOOSE(CONTROL!$C$15, $D$11, 100%, $F$11)</f>
        <v>6.5023999999999997</v>
      </c>
      <c r="C212" s="8">
        <f>6.5069 * CHOOSE(CONTROL!$C$15, $D$11, 100%, $F$11)</f>
        <v>6.5068999999999999</v>
      </c>
      <c r="D212" s="8">
        <f>6.5179 * CHOOSE( CONTROL!$C$15, $D$11, 100%, $F$11)</f>
        <v>6.5179</v>
      </c>
      <c r="E212" s="12">
        <f>6.5138 * CHOOSE( CONTROL!$C$15, $D$11, 100%, $F$11)</f>
        <v>6.5137999999999998</v>
      </c>
      <c r="F212" s="4">
        <f>7.192 * CHOOSE(CONTROL!$C$15, $D$11, 100%, $F$11)</f>
        <v>7.1920000000000002</v>
      </c>
      <c r="G212" s="8">
        <f>6.3627 * CHOOSE( CONTROL!$C$15, $D$11, 100%, $F$11)</f>
        <v>6.3627000000000002</v>
      </c>
      <c r="H212" s="4">
        <f>7.3015 * CHOOSE(CONTROL!$C$15, $D$11, 100%, $F$11)</f>
        <v>7.3014999999999999</v>
      </c>
      <c r="I212" s="8">
        <f>6.3482 * CHOOSE(CONTROL!$C$15, $D$11, 100%, $F$11)</f>
        <v>6.3482000000000003</v>
      </c>
      <c r="J212" s="4">
        <f>6.2559 * CHOOSE(CONTROL!$C$15, $D$11, 100%, $F$11)</f>
        <v>6.2558999999999996</v>
      </c>
      <c r="K212" s="4"/>
      <c r="L212" s="9">
        <v>30.092199999999998</v>
      </c>
      <c r="M212" s="9">
        <v>11.6745</v>
      </c>
      <c r="N212" s="9">
        <v>4.7850000000000001</v>
      </c>
      <c r="O212" s="9">
        <v>0.36199999999999999</v>
      </c>
      <c r="P212" s="9">
        <v>1.1791</v>
      </c>
      <c r="Q212" s="9">
        <v>30.0258</v>
      </c>
      <c r="R212" s="9"/>
      <c r="S212" s="11"/>
    </row>
    <row r="213" spans="1:19" ht="15.75">
      <c r="A213" s="13">
        <v>47969</v>
      </c>
      <c r="B213" s="8">
        <f>CHOOSE( CONTROL!$C$32, 6.6797, 6.6762) * CHOOSE(CONTROL!$C$15, $D$11, 100%, $F$11)</f>
        <v>6.6797000000000004</v>
      </c>
      <c r="C213" s="8">
        <f>CHOOSE( CONTROL!$C$32, 6.6878, 6.6842) * CHOOSE(CONTROL!$C$15, $D$11, 100%, $F$11)</f>
        <v>6.6878000000000002</v>
      </c>
      <c r="D213" s="8">
        <f>CHOOSE( CONTROL!$C$32, 6.6938, 6.6902) * CHOOSE( CONTROL!$C$15, $D$11, 100%, $F$11)</f>
        <v>6.6938000000000004</v>
      </c>
      <c r="E213" s="12">
        <f>CHOOSE( CONTROL!$C$32, 6.6904, 6.6868) * CHOOSE( CONTROL!$C$15, $D$11, 100%, $F$11)</f>
        <v>6.6904000000000003</v>
      </c>
      <c r="F213" s="4">
        <f>CHOOSE( CONTROL!$C$32, 7.368, 7.3644) * CHOOSE(CONTROL!$C$15, $D$11, 100%, $F$11)</f>
        <v>7.3680000000000003</v>
      </c>
      <c r="G213" s="8">
        <f>CHOOSE( CONTROL!$C$32, 6.5367, 6.5332) * CHOOSE( CONTROL!$C$15, $D$11, 100%, $F$11)</f>
        <v>6.5366999999999997</v>
      </c>
      <c r="H213" s="4">
        <f>CHOOSE( CONTROL!$C$32, 7.4746, 7.4711) * CHOOSE(CONTROL!$C$15, $D$11, 100%, $F$11)</f>
        <v>7.4745999999999997</v>
      </c>
      <c r="I213" s="8">
        <f>CHOOSE( CONTROL!$C$32, 6.5193, 6.5159) * CHOOSE(CONTROL!$C$15, $D$11, 100%, $F$11)</f>
        <v>6.5193000000000003</v>
      </c>
      <c r="J213" s="4">
        <f>CHOOSE( CONTROL!$C$32, 6.4261, 6.4226) * CHOOSE(CONTROL!$C$15, $D$11, 100%, $F$11)</f>
        <v>6.4260999999999999</v>
      </c>
      <c r="K213" s="4"/>
      <c r="L213" s="9">
        <v>30.7165</v>
      </c>
      <c r="M213" s="9">
        <v>12.063700000000001</v>
      </c>
      <c r="N213" s="9">
        <v>4.9444999999999997</v>
      </c>
      <c r="O213" s="9">
        <v>0.37409999999999999</v>
      </c>
      <c r="P213" s="9">
        <v>1.2183999999999999</v>
      </c>
      <c r="Q213" s="9">
        <v>31.026700000000002</v>
      </c>
      <c r="R213" s="9"/>
      <c r="S213" s="11"/>
    </row>
    <row r="214" spans="1:19" ht="15.75">
      <c r="A214" s="13">
        <v>48000</v>
      </c>
      <c r="B214" s="8">
        <f>CHOOSE( CONTROL!$C$32, 6.5729, 6.5694) * CHOOSE(CONTROL!$C$15, $D$11, 100%, $F$11)</f>
        <v>6.5728999999999997</v>
      </c>
      <c r="C214" s="8">
        <f>CHOOSE( CONTROL!$C$32, 6.5809, 6.5774) * CHOOSE(CONTROL!$C$15, $D$11, 100%, $F$11)</f>
        <v>6.5808999999999997</v>
      </c>
      <c r="D214" s="8">
        <f>CHOOSE( CONTROL!$C$32, 6.5872, 6.5837) * CHOOSE( CONTROL!$C$15, $D$11, 100%, $F$11)</f>
        <v>6.5872000000000002</v>
      </c>
      <c r="E214" s="12">
        <f>CHOOSE( CONTROL!$C$32, 6.5837, 6.5802) * CHOOSE( CONTROL!$C$15, $D$11, 100%, $F$11)</f>
        <v>6.5837000000000003</v>
      </c>
      <c r="F214" s="4">
        <f>CHOOSE( CONTROL!$C$32, 7.2612, 7.2576) * CHOOSE(CONTROL!$C$15, $D$11, 100%, $F$11)</f>
        <v>7.2611999999999997</v>
      </c>
      <c r="G214" s="8">
        <f>CHOOSE( CONTROL!$C$32, 6.4321, 6.4286) * CHOOSE( CONTROL!$C$15, $D$11, 100%, $F$11)</f>
        <v>6.4321000000000002</v>
      </c>
      <c r="H214" s="4">
        <f>CHOOSE( CONTROL!$C$32, 7.3696, 7.366) * CHOOSE(CONTROL!$C$15, $D$11, 100%, $F$11)</f>
        <v>7.3696000000000002</v>
      </c>
      <c r="I214" s="8">
        <f>CHOOSE( CONTROL!$C$32, 6.4173, 6.4139) * CHOOSE(CONTROL!$C$15, $D$11, 100%, $F$11)</f>
        <v>6.4173</v>
      </c>
      <c r="J214" s="4">
        <f>CHOOSE( CONTROL!$C$32, 6.3228, 6.3194) * CHOOSE(CONTROL!$C$15, $D$11, 100%, $F$11)</f>
        <v>6.3228</v>
      </c>
      <c r="K214" s="4"/>
      <c r="L214" s="9">
        <v>29.7257</v>
      </c>
      <c r="M214" s="9">
        <v>11.6745</v>
      </c>
      <c r="N214" s="9">
        <v>4.7850000000000001</v>
      </c>
      <c r="O214" s="9">
        <v>0.36199999999999999</v>
      </c>
      <c r="P214" s="9">
        <v>1.1791</v>
      </c>
      <c r="Q214" s="9">
        <v>30.0258</v>
      </c>
      <c r="R214" s="9"/>
      <c r="S214" s="11"/>
    </row>
    <row r="215" spans="1:19" ht="15.75">
      <c r="A215" s="13">
        <v>48030</v>
      </c>
      <c r="B215" s="8">
        <f>CHOOSE( CONTROL!$C$32, 6.8542, 6.8506) * CHOOSE(CONTROL!$C$15, $D$11, 100%, $F$11)</f>
        <v>6.8541999999999996</v>
      </c>
      <c r="C215" s="8">
        <f>CHOOSE( CONTROL!$C$32, 6.8622, 6.8587) * CHOOSE(CONTROL!$C$15, $D$11, 100%, $F$11)</f>
        <v>6.8621999999999996</v>
      </c>
      <c r="D215" s="8">
        <f>CHOOSE( CONTROL!$C$32, 6.8688, 6.8653) * CHOOSE( CONTROL!$C$15, $D$11, 100%, $F$11)</f>
        <v>6.8688000000000002</v>
      </c>
      <c r="E215" s="12">
        <f>CHOOSE( CONTROL!$C$32, 6.8652, 6.8617) * CHOOSE( CONTROL!$C$15, $D$11, 100%, $F$11)</f>
        <v>6.8651999999999997</v>
      </c>
      <c r="F215" s="4">
        <f>CHOOSE( CONTROL!$C$32, 7.5425, 7.5389) * CHOOSE(CONTROL!$C$15, $D$11, 100%, $F$11)</f>
        <v>7.5425000000000004</v>
      </c>
      <c r="G215" s="8">
        <f>CHOOSE( CONTROL!$C$32, 6.7092, 6.7057) * CHOOSE( CONTROL!$C$15, $D$11, 100%, $F$11)</f>
        <v>6.7092000000000001</v>
      </c>
      <c r="H215" s="4">
        <f>CHOOSE( CONTROL!$C$32, 7.6462, 7.6427) * CHOOSE(CONTROL!$C$15, $D$11, 100%, $F$11)</f>
        <v>7.6462000000000003</v>
      </c>
      <c r="I215" s="8">
        <f>CHOOSE( CONTROL!$C$32, 6.6909, 6.6874) * CHOOSE(CONTROL!$C$15, $D$11, 100%, $F$11)</f>
        <v>6.6909000000000001</v>
      </c>
      <c r="J215" s="4">
        <f>CHOOSE( CONTROL!$C$32, 6.5947, 6.5913) * CHOOSE(CONTROL!$C$15, $D$11, 100%, $F$11)</f>
        <v>6.5946999999999996</v>
      </c>
      <c r="K215" s="4"/>
      <c r="L215" s="9">
        <v>30.7165</v>
      </c>
      <c r="M215" s="9">
        <v>12.063700000000001</v>
      </c>
      <c r="N215" s="9">
        <v>4.9444999999999997</v>
      </c>
      <c r="O215" s="9">
        <v>0.37409999999999999</v>
      </c>
      <c r="P215" s="9">
        <v>1.2183999999999999</v>
      </c>
      <c r="Q215" s="9">
        <v>31.026700000000002</v>
      </c>
      <c r="R215" s="9"/>
      <c r="S215" s="11"/>
    </row>
    <row r="216" spans="1:19" ht="15.75">
      <c r="A216" s="13">
        <v>48061</v>
      </c>
      <c r="B216" s="8">
        <f>CHOOSE( CONTROL!$C$32, 6.3279, 6.3243) * CHOOSE(CONTROL!$C$15, $D$11, 100%, $F$11)</f>
        <v>6.3278999999999996</v>
      </c>
      <c r="C216" s="8">
        <f>CHOOSE( CONTROL!$C$32, 6.3359, 6.3323) * CHOOSE(CONTROL!$C$15, $D$11, 100%, $F$11)</f>
        <v>6.3358999999999996</v>
      </c>
      <c r="D216" s="8">
        <f>CHOOSE( CONTROL!$C$32, 6.3426, 6.339) * CHOOSE( CONTROL!$C$15, $D$11, 100%, $F$11)</f>
        <v>6.3426</v>
      </c>
      <c r="E216" s="12">
        <f>CHOOSE( CONTROL!$C$32, 6.339, 6.3354) * CHOOSE( CONTROL!$C$15, $D$11, 100%, $F$11)</f>
        <v>6.3390000000000004</v>
      </c>
      <c r="F216" s="4">
        <f>CHOOSE( CONTROL!$C$32, 7.0162, 7.0126) * CHOOSE(CONTROL!$C$15, $D$11, 100%, $F$11)</f>
        <v>7.0162000000000004</v>
      </c>
      <c r="G216" s="8">
        <f>CHOOSE( CONTROL!$C$32, 6.1917, 6.1882) * CHOOSE( CONTROL!$C$15, $D$11, 100%, $F$11)</f>
        <v>6.1917</v>
      </c>
      <c r="H216" s="4">
        <f>CHOOSE( CONTROL!$C$32, 7.1286, 7.1251) * CHOOSE(CONTROL!$C$15, $D$11, 100%, $F$11)</f>
        <v>7.1285999999999996</v>
      </c>
      <c r="I216" s="8">
        <f>CHOOSE( CONTROL!$C$32, 6.1823, 6.1788) * CHOOSE(CONTROL!$C$15, $D$11, 100%, $F$11)</f>
        <v>6.1822999999999997</v>
      </c>
      <c r="J216" s="4">
        <f>CHOOSE( CONTROL!$C$32, 6.0859, 6.0825) * CHOOSE(CONTROL!$C$15, $D$11, 100%, $F$11)</f>
        <v>6.0858999999999996</v>
      </c>
      <c r="K216" s="4"/>
      <c r="L216" s="9">
        <v>30.7165</v>
      </c>
      <c r="M216" s="9">
        <v>12.063700000000001</v>
      </c>
      <c r="N216" s="9">
        <v>4.9444999999999997</v>
      </c>
      <c r="O216" s="9">
        <v>0.37409999999999999</v>
      </c>
      <c r="P216" s="9">
        <v>1.2183999999999999</v>
      </c>
      <c r="Q216" s="9">
        <v>31.026700000000002</v>
      </c>
      <c r="R216" s="9"/>
      <c r="S216" s="11"/>
    </row>
    <row r="217" spans="1:19" ht="15.75">
      <c r="A217" s="13">
        <v>48092</v>
      </c>
      <c r="B217" s="8">
        <f>CHOOSE( CONTROL!$C$32, 6.1961, 6.1925) * CHOOSE(CONTROL!$C$15, $D$11, 100%, $F$11)</f>
        <v>6.1961000000000004</v>
      </c>
      <c r="C217" s="8">
        <f>CHOOSE( CONTROL!$C$32, 6.2041, 6.2005) * CHOOSE(CONTROL!$C$15, $D$11, 100%, $F$11)</f>
        <v>6.2041000000000004</v>
      </c>
      <c r="D217" s="8">
        <f>CHOOSE( CONTROL!$C$32, 6.2108, 6.2072) * CHOOSE( CONTROL!$C$15, $D$11, 100%, $F$11)</f>
        <v>6.2107999999999999</v>
      </c>
      <c r="E217" s="12">
        <f>CHOOSE( CONTROL!$C$32, 6.2072, 6.2036) * CHOOSE( CONTROL!$C$15, $D$11, 100%, $F$11)</f>
        <v>6.2072000000000003</v>
      </c>
      <c r="F217" s="4">
        <f>CHOOSE( CONTROL!$C$32, 6.8844, 6.8808) * CHOOSE(CONTROL!$C$15, $D$11, 100%, $F$11)</f>
        <v>6.8844000000000003</v>
      </c>
      <c r="G217" s="8">
        <f>CHOOSE( CONTROL!$C$32, 6.0621, 6.0586) * CHOOSE( CONTROL!$C$15, $D$11, 100%, $F$11)</f>
        <v>6.0621</v>
      </c>
      <c r="H217" s="4">
        <f>CHOOSE( CONTROL!$C$32, 6.999, 6.9955) * CHOOSE(CONTROL!$C$15, $D$11, 100%, $F$11)</f>
        <v>6.9989999999999997</v>
      </c>
      <c r="I217" s="8">
        <f>CHOOSE( CONTROL!$C$32, 6.0548, 6.0514) * CHOOSE(CONTROL!$C$15, $D$11, 100%, $F$11)</f>
        <v>6.0548000000000002</v>
      </c>
      <c r="J217" s="4">
        <f>CHOOSE( CONTROL!$C$32, 5.9585, 5.9551) * CHOOSE(CONTROL!$C$15, $D$11, 100%, $F$11)</f>
        <v>5.9584999999999999</v>
      </c>
      <c r="K217" s="4"/>
      <c r="L217" s="9">
        <v>29.7257</v>
      </c>
      <c r="M217" s="9">
        <v>11.6745</v>
      </c>
      <c r="N217" s="9">
        <v>4.7850000000000001</v>
      </c>
      <c r="O217" s="9">
        <v>0.36199999999999999</v>
      </c>
      <c r="P217" s="9">
        <v>1.1791</v>
      </c>
      <c r="Q217" s="9">
        <v>30.0258</v>
      </c>
      <c r="R217" s="9"/>
      <c r="S217" s="11"/>
    </row>
    <row r="218" spans="1:19" ht="15.75">
      <c r="A218" s="13">
        <v>48122</v>
      </c>
      <c r="B218" s="8">
        <f>6.4645 * CHOOSE(CONTROL!$C$15, $D$11, 100%, $F$11)</f>
        <v>6.4645000000000001</v>
      </c>
      <c r="C218" s="8">
        <f>6.4698 * CHOOSE(CONTROL!$C$15, $D$11, 100%, $F$11)</f>
        <v>6.4698000000000002</v>
      </c>
      <c r="D218" s="8">
        <f>6.4814 * CHOOSE( CONTROL!$C$15, $D$11, 100%, $F$11)</f>
        <v>6.4813999999999998</v>
      </c>
      <c r="E218" s="12">
        <f>6.477 * CHOOSE( CONTROL!$C$15, $D$11, 100%, $F$11)</f>
        <v>6.4770000000000003</v>
      </c>
      <c r="F218" s="4">
        <f>7.1545 * CHOOSE(CONTROL!$C$15, $D$11, 100%, $F$11)</f>
        <v>7.1544999999999996</v>
      </c>
      <c r="G218" s="8">
        <f>6.3272 * CHOOSE( CONTROL!$C$15, $D$11, 100%, $F$11)</f>
        <v>6.3272000000000004</v>
      </c>
      <c r="H218" s="4">
        <f>7.2646 * CHOOSE(CONTROL!$C$15, $D$11, 100%, $F$11)</f>
        <v>7.2645999999999997</v>
      </c>
      <c r="I218" s="8">
        <f>6.3168 * CHOOSE(CONTROL!$C$15, $D$11, 100%, $F$11)</f>
        <v>6.3167999999999997</v>
      </c>
      <c r="J218" s="4">
        <f>6.2196 * CHOOSE(CONTROL!$C$15, $D$11, 100%, $F$11)</f>
        <v>6.2195999999999998</v>
      </c>
      <c r="K218" s="4"/>
      <c r="L218" s="9">
        <v>31.095300000000002</v>
      </c>
      <c r="M218" s="9">
        <v>12.063700000000001</v>
      </c>
      <c r="N218" s="9">
        <v>4.9444999999999997</v>
      </c>
      <c r="O218" s="9">
        <v>0.37409999999999999</v>
      </c>
      <c r="P218" s="9">
        <v>1.2183999999999999</v>
      </c>
      <c r="Q218" s="9">
        <v>31.026700000000002</v>
      </c>
      <c r="R218" s="9"/>
      <c r="S218" s="11"/>
    </row>
    <row r="219" spans="1:19" ht="15.75">
      <c r="A219" s="13">
        <v>48153</v>
      </c>
      <c r="B219" s="8">
        <f>6.9692 * CHOOSE(CONTROL!$C$15, $D$11, 100%, $F$11)</f>
        <v>6.9691999999999998</v>
      </c>
      <c r="C219" s="8">
        <f>6.9743 * CHOOSE(CONTROL!$C$15, $D$11, 100%, $F$11)</f>
        <v>6.9743000000000004</v>
      </c>
      <c r="D219" s="8">
        <f>6.9512 * CHOOSE( CONTROL!$C$15, $D$11, 100%, $F$11)</f>
        <v>6.9512</v>
      </c>
      <c r="E219" s="12">
        <f>6.9591 * CHOOSE( CONTROL!$C$15, $D$11, 100%, $F$11)</f>
        <v>6.9591000000000003</v>
      </c>
      <c r="F219" s="4">
        <f>7.6141 * CHOOSE(CONTROL!$C$15, $D$11, 100%, $F$11)</f>
        <v>7.6140999999999996</v>
      </c>
      <c r="G219" s="8">
        <f>6.8348 * CHOOSE( CONTROL!$C$15, $D$11, 100%, $F$11)</f>
        <v>6.8348000000000004</v>
      </c>
      <c r="H219" s="4">
        <f>7.7166 * CHOOSE(CONTROL!$C$15, $D$11, 100%, $F$11)</f>
        <v>7.7165999999999997</v>
      </c>
      <c r="I219" s="8">
        <f>6.83 * CHOOSE(CONTROL!$C$15, $D$11, 100%, $F$11)</f>
        <v>6.83</v>
      </c>
      <c r="J219" s="4">
        <f>6.7079 * CHOOSE(CONTROL!$C$15, $D$11, 100%, $F$11)</f>
        <v>6.7079000000000004</v>
      </c>
      <c r="K219" s="4"/>
      <c r="L219" s="9">
        <v>28.360600000000002</v>
      </c>
      <c r="M219" s="9">
        <v>11.6745</v>
      </c>
      <c r="N219" s="9">
        <v>4.7850000000000001</v>
      </c>
      <c r="O219" s="9">
        <v>0.36199999999999999</v>
      </c>
      <c r="P219" s="9">
        <v>1.2509999999999999</v>
      </c>
      <c r="Q219" s="9">
        <v>30.0258</v>
      </c>
      <c r="R219" s="9"/>
      <c r="S219" s="11"/>
    </row>
    <row r="220" spans="1:19" ht="15.75">
      <c r="A220" s="13">
        <v>48183</v>
      </c>
      <c r="B220" s="8">
        <f>6.9566 * CHOOSE(CONTROL!$C$15, $D$11, 100%, $F$11)</f>
        <v>6.9565999999999999</v>
      </c>
      <c r="C220" s="8">
        <f>6.9617 * CHOOSE(CONTROL!$C$15, $D$11, 100%, $F$11)</f>
        <v>6.9617000000000004</v>
      </c>
      <c r="D220" s="8">
        <f>6.94 * CHOOSE( CONTROL!$C$15, $D$11, 100%, $F$11)</f>
        <v>6.94</v>
      </c>
      <c r="E220" s="12">
        <f>6.9474 * CHOOSE( CONTROL!$C$15, $D$11, 100%, $F$11)</f>
        <v>6.9474</v>
      </c>
      <c r="F220" s="4">
        <f>7.6014 * CHOOSE(CONTROL!$C$15, $D$11, 100%, $F$11)</f>
        <v>7.6013999999999999</v>
      </c>
      <c r="G220" s="8">
        <f>6.8234 * CHOOSE( CONTROL!$C$15, $D$11, 100%, $F$11)</f>
        <v>6.8234000000000004</v>
      </c>
      <c r="H220" s="4">
        <f>7.7042 * CHOOSE(CONTROL!$C$15, $D$11, 100%, $F$11)</f>
        <v>7.7042000000000002</v>
      </c>
      <c r="I220" s="8">
        <f>6.8221 * CHOOSE(CONTROL!$C$15, $D$11, 100%, $F$11)</f>
        <v>6.8220999999999998</v>
      </c>
      <c r="J220" s="4">
        <f>6.6957 * CHOOSE(CONTROL!$C$15, $D$11, 100%, $F$11)</f>
        <v>6.6957000000000004</v>
      </c>
      <c r="K220" s="4"/>
      <c r="L220" s="9">
        <v>29.306000000000001</v>
      </c>
      <c r="M220" s="9">
        <v>12.063700000000001</v>
      </c>
      <c r="N220" s="9">
        <v>4.9444999999999997</v>
      </c>
      <c r="O220" s="9">
        <v>0.37409999999999999</v>
      </c>
      <c r="P220" s="9">
        <v>1.2927</v>
      </c>
      <c r="Q220" s="9">
        <v>31.026700000000002</v>
      </c>
      <c r="R220" s="9"/>
      <c r="S220" s="11"/>
    </row>
    <row r="221" spans="1:19" ht="15.75">
      <c r="A221" s="13">
        <v>48214</v>
      </c>
      <c r="B221" s="8">
        <f>7.2122 * CHOOSE(CONTROL!$C$15, $D$11, 100%, $F$11)</f>
        <v>7.2122000000000002</v>
      </c>
      <c r="C221" s="8">
        <f>7.2173 * CHOOSE(CONTROL!$C$15, $D$11, 100%, $F$11)</f>
        <v>7.2172999999999998</v>
      </c>
      <c r="D221" s="8">
        <f>7.1915 * CHOOSE( CONTROL!$C$15, $D$11, 100%, $F$11)</f>
        <v>7.1914999999999996</v>
      </c>
      <c r="E221" s="12">
        <f>7.2004 * CHOOSE( CONTROL!$C$15, $D$11, 100%, $F$11)</f>
        <v>7.2004000000000001</v>
      </c>
      <c r="F221" s="4">
        <f>7.8562 * CHOOSE(CONTROL!$C$15, $D$11, 100%, $F$11)</f>
        <v>7.8562000000000003</v>
      </c>
      <c r="G221" s="8">
        <f>7.0685 * CHOOSE( CONTROL!$C$15, $D$11, 100%, $F$11)</f>
        <v>7.0685000000000002</v>
      </c>
      <c r="H221" s="4">
        <f>7.9547 * CHOOSE(CONTROL!$C$15, $D$11, 100%, $F$11)</f>
        <v>7.9546999999999999</v>
      </c>
      <c r="I221" s="8">
        <f>7.0399 * CHOOSE(CONTROL!$C$15, $D$11, 100%, $F$11)</f>
        <v>7.0399000000000003</v>
      </c>
      <c r="J221" s="4">
        <f>6.9428 * CHOOSE(CONTROL!$C$15, $D$11, 100%, $F$11)</f>
        <v>6.9428000000000001</v>
      </c>
      <c r="K221" s="4"/>
      <c r="L221" s="9">
        <v>29.306000000000001</v>
      </c>
      <c r="M221" s="9">
        <v>12.063700000000001</v>
      </c>
      <c r="N221" s="9">
        <v>4.9444999999999997</v>
      </c>
      <c r="O221" s="9">
        <v>0.37409999999999999</v>
      </c>
      <c r="P221" s="9">
        <v>1.2927</v>
      </c>
      <c r="Q221" s="9">
        <v>30.8704</v>
      </c>
      <c r="R221" s="9"/>
      <c r="S221" s="11"/>
    </row>
    <row r="222" spans="1:19" ht="15.75">
      <c r="A222" s="13">
        <v>48245</v>
      </c>
      <c r="B222" s="8">
        <f>6.7479 * CHOOSE(CONTROL!$C$15, $D$11, 100%, $F$11)</f>
        <v>6.7478999999999996</v>
      </c>
      <c r="C222" s="8">
        <f>6.753 * CHOOSE(CONTROL!$C$15, $D$11, 100%, $F$11)</f>
        <v>6.7530000000000001</v>
      </c>
      <c r="D222" s="8">
        <f>6.7274 * CHOOSE( CONTROL!$C$15, $D$11, 100%, $F$11)</f>
        <v>6.7274000000000003</v>
      </c>
      <c r="E222" s="12">
        <f>6.7362 * CHOOSE( CONTROL!$C$15, $D$11, 100%, $F$11)</f>
        <v>6.7362000000000002</v>
      </c>
      <c r="F222" s="4">
        <f>7.3919 * CHOOSE(CONTROL!$C$15, $D$11, 100%, $F$11)</f>
        <v>7.3918999999999997</v>
      </c>
      <c r="G222" s="8">
        <f>6.612 * CHOOSE( CONTROL!$C$15, $D$11, 100%, $F$11)</f>
        <v>6.6120000000000001</v>
      </c>
      <c r="H222" s="4">
        <f>7.4981 * CHOOSE(CONTROL!$C$15, $D$11, 100%, $F$11)</f>
        <v>7.4981</v>
      </c>
      <c r="I222" s="8">
        <f>6.5916 * CHOOSE(CONTROL!$C$15, $D$11, 100%, $F$11)</f>
        <v>6.5915999999999997</v>
      </c>
      <c r="J222" s="4">
        <f>6.494 * CHOOSE(CONTROL!$C$15, $D$11, 100%, $F$11)</f>
        <v>6.4939999999999998</v>
      </c>
      <c r="K222" s="4"/>
      <c r="L222" s="9">
        <v>27.415299999999998</v>
      </c>
      <c r="M222" s="9">
        <v>11.285299999999999</v>
      </c>
      <c r="N222" s="9">
        <v>4.6254999999999997</v>
      </c>
      <c r="O222" s="9">
        <v>0.34989999999999999</v>
      </c>
      <c r="P222" s="9">
        <v>1.2093</v>
      </c>
      <c r="Q222" s="9">
        <v>28.878799999999998</v>
      </c>
      <c r="R222" s="9"/>
      <c r="S222" s="11"/>
    </row>
    <row r="223" spans="1:19" ht="15.75">
      <c r="A223" s="13">
        <v>48274</v>
      </c>
      <c r="B223" s="8">
        <f>6.6049 * CHOOSE(CONTROL!$C$15, $D$11, 100%, $F$11)</f>
        <v>6.6048999999999998</v>
      </c>
      <c r="C223" s="8">
        <f>6.61 * CHOOSE(CONTROL!$C$15, $D$11, 100%, $F$11)</f>
        <v>6.61</v>
      </c>
      <c r="D223" s="8">
        <f>6.5843 * CHOOSE( CONTROL!$C$15, $D$11, 100%, $F$11)</f>
        <v>6.5842999999999998</v>
      </c>
      <c r="E223" s="12">
        <f>6.5932 * CHOOSE( CONTROL!$C$15, $D$11, 100%, $F$11)</f>
        <v>6.5932000000000004</v>
      </c>
      <c r="F223" s="4">
        <f>7.2489 * CHOOSE(CONTROL!$C$15, $D$11, 100%, $F$11)</f>
        <v>7.2488999999999999</v>
      </c>
      <c r="G223" s="8">
        <f>6.4713 * CHOOSE( CONTROL!$C$15, $D$11, 100%, $F$11)</f>
        <v>6.4713000000000003</v>
      </c>
      <c r="H223" s="4">
        <f>7.3575 * CHOOSE(CONTROL!$C$15, $D$11, 100%, $F$11)</f>
        <v>7.3574999999999999</v>
      </c>
      <c r="I223" s="8">
        <f>6.4531 * CHOOSE(CONTROL!$C$15, $D$11, 100%, $F$11)</f>
        <v>6.4531000000000001</v>
      </c>
      <c r="J223" s="4">
        <f>6.3558 * CHOOSE(CONTROL!$C$15, $D$11, 100%, $F$11)</f>
        <v>6.3558000000000003</v>
      </c>
      <c r="K223" s="4"/>
      <c r="L223" s="9">
        <v>29.306000000000001</v>
      </c>
      <c r="M223" s="9">
        <v>12.063700000000001</v>
      </c>
      <c r="N223" s="9">
        <v>4.9444999999999997</v>
      </c>
      <c r="O223" s="9">
        <v>0.37409999999999999</v>
      </c>
      <c r="P223" s="9">
        <v>1.2927</v>
      </c>
      <c r="Q223" s="9">
        <v>30.8704</v>
      </c>
      <c r="R223" s="9"/>
      <c r="S223" s="11"/>
    </row>
    <row r="224" spans="1:19" ht="15.75">
      <c r="A224" s="13">
        <v>48305</v>
      </c>
      <c r="B224" s="8">
        <f>6.7056 * CHOOSE(CONTROL!$C$15, $D$11, 100%, $F$11)</f>
        <v>6.7055999999999996</v>
      </c>
      <c r="C224" s="8">
        <f>6.7101 * CHOOSE(CONTROL!$C$15, $D$11, 100%, $F$11)</f>
        <v>6.7100999999999997</v>
      </c>
      <c r="D224" s="8">
        <f>6.7211 * CHOOSE( CONTROL!$C$15, $D$11, 100%, $F$11)</f>
        <v>6.7210999999999999</v>
      </c>
      <c r="E224" s="12">
        <f>6.717 * CHOOSE( CONTROL!$C$15, $D$11, 100%, $F$11)</f>
        <v>6.7169999999999996</v>
      </c>
      <c r="F224" s="4">
        <f>7.3952 * CHOOSE(CONTROL!$C$15, $D$11, 100%, $F$11)</f>
        <v>7.3952</v>
      </c>
      <c r="G224" s="8">
        <f>6.5625 * CHOOSE( CONTROL!$C$15, $D$11, 100%, $F$11)</f>
        <v>6.5625</v>
      </c>
      <c r="H224" s="4">
        <f>7.5013 * CHOOSE(CONTROL!$C$15, $D$11, 100%, $F$11)</f>
        <v>7.5012999999999996</v>
      </c>
      <c r="I224" s="8">
        <f>6.5448 * CHOOSE(CONTROL!$C$15, $D$11, 100%, $F$11)</f>
        <v>6.5448000000000004</v>
      </c>
      <c r="J224" s="4">
        <f>6.4524 * CHOOSE(CONTROL!$C$15, $D$11, 100%, $F$11)</f>
        <v>6.4523999999999999</v>
      </c>
      <c r="K224" s="4"/>
      <c r="L224" s="9">
        <v>30.092199999999998</v>
      </c>
      <c r="M224" s="9">
        <v>11.6745</v>
      </c>
      <c r="N224" s="9">
        <v>4.7850000000000001</v>
      </c>
      <c r="O224" s="9">
        <v>0.36199999999999999</v>
      </c>
      <c r="P224" s="9">
        <v>1.1791</v>
      </c>
      <c r="Q224" s="9">
        <v>29.874600000000001</v>
      </c>
      <c r="R224" s="9"/>
      <c r="S224" s="11"/>
    </row>
    <row r="225" spans="1:19" ht="15.75">
      <c r="A225" s="13">
        <v>48335</v>
      </c>
      <c r="B225" s="8">
        <f>CHOOSE( CONTROL!$C$32, 6.8883, 6.8848) * CHOOSE(CONTROL!$C$15, $D$11, 100%, $F$11)</f>
        <v>6.8883000000000001</v>
      </c>
      <c r="C225" s="8">
        <f>CHOOSE( CONTROL!$C$32, 6.8964, 6.8928) * CHOOSE(CONTROL!$C$15, $D$11, 100%, $F$11)</f>
        <v>6.8963999999999999</v>
      </c>
      <c r="D225" s="8">
        <f>CHOOSE( CONTROL!$C$32, 6.9024, 6.8988) * CHOOSE( CONTROL!$C$15, $D$11, 100%, $F$11)</f>
        <v>6.9024000000000001</v>
      </c>
      <c r="E225" s="12">
        <f>CHOOSE( CONTROL!$C$32, 6.899, 6.8954) * CHOOSE( CONTROL!$C$15, $D$11, 100%, $F$11)</f>
        <v>6.899</v>
      </c>
      <c r="F225" s="4">
        <f>CHOOSE( CONTROL!$C$32, 7.5766, 7.573) * CHOOSE(CONTROL!$C$15, $D$11, 100%, $F$11)</f>
        <v>7.5766</v>
      </c>
      <c r="G225" s="8">
        <f>CHOOSE( CONTROL!$C$32, 6.7419, 6.7384) * CHOOSE( CONTROL!$C$15, $D$11, 100%, $F$11)</f>
        <v>6.7419000000000002</v>
      </c>
      <c r="H225" s="4">
        <f>CHOOSE( CONTROL!$C$32, 7.6797, 7.6762) * CHOOSE(CONTROL!$C$15, $D$11, 100%, $F$11)</f>
        <v>7.6797000000000004</v>
      </c>
      <c r="I225" s="8">
        <f>CHOOSE( CONTROL!$C$32, 6.7211, 6.7176) * CHOOSE(CONTROL!$C$15, $D$11, 100%, $F$11)</f>
        <v>6.7210999999999999</v>
      </c>
      <c r="J225" s="4">
        <f>CHOOSE( CONTROL!$C$32, 6.6277, 6.6243) * CHOOSE(CONTROL!$C$15, $D$11, 100%, $F$11)</f>
        <v>6.6276999999999999</v>
      </c>
      <c r="K225" s="4"/>
      <c r="L225" s="9">
        <v>30.7165</v>
      </c>
      <c r="M225" s="9">
        <v>12.063700000000001</v>
      </c>
      <c r="N225" s="9">
        <v>4.9444999999999997</v>
      </c>
      <c r="O225" s="9">
        <v>0.37409999999999999</v>
      </c>
      <c r="P225" s="9">
        <v>1.2183999999999999</v>
      </c>
      <c r="Q225" s="9">
        <v>30.8704</v>
      </c>
      <c r="R225" s="9"/>
      <c r="S225" s="11"/>
    </row>
    <row r="226" spans="1:19" ht="15.75">
      <c r="A226" s="13">
        <v>48366</v>
      </c>
      <c r="B226" s="8">
        <f>CHOOSE( CONTROL!$C$32, 6.7782, 6.7746) * CHOOSE(CONTROL!$C$15, $D$11, 100%, $F$11)</f>
        <v>6.7782</v>
      </c>
      <c r="C226" s="8">
        <f>CHOOSE( CONTROL!$C$32, 6.7862, 6.7826) * CHOOSE(CONTROL!$C$15, $D$11, 100%, $F$11)</f>
        <v>6.7862</v>
      </c>
      <c r="D226" s="8">
        <f>CHOOSE( CONTROL!$C$32, 6.7925, 6.7889) * CHOOSE( CONTROL!$C$15, $D$11, 100%, $F$11)</f>
        <v>6.7925000000000004</v>
      </c>
      <c r="E226" s="12">
        <f>CHOOSE( CONTROL!$C$32, 6.789, 6.7854) * CHOOSE( CONTROL!$C$15, $D$11, 100%, $F$11)</f>
        <v>6.7889999999999997</v>
      </c>
      <c r="F226" s="4">
        <f>CHOOSE( CONTROL!$C$32, 7.4664, 7.4629) * CHOOSE(CONTROL!$C$15, $D$11, 100%, $F$11)</f>
        <v>7.4664000000000001</v>
      </c>
      <c r="G226" s="8">
        <f>CHOOSE( CONTROL!$C$32, 6.634, 6.6304) * CHOOSE( CONTROL!$C$15, $D$11, 100%, $F$11)</f>
        <v>6.6340000000000003</v>
      </c>
      <c r="H226" s="4">
        <f>CHOOSE( CONTROL!$C$32, 7.5714, 7.5679) * CHOOSE(CONTROL!$C$15, $D$11, 100%, $F$11)</f>
        <v>7.5713999999999997</v>
      </c>
      <c r="I226" s="8">
        <f>CHOOSE( CONTROL!$C$32, 6.6159, 6.6124) * CHOOSE(CONTROL!$C$15, $D$11, 100%, $F$11)</f>
        <v>6.6158999999999999</v>
      </c>
      <c r="J226" s="4">
        <f>CHOOSE( CONTROL!$C$32, 6.5212, 6.5178) * CHOOSE(CONTROL!$C$15, $D$11, 100%, $F$11)</f>
        <v>6.5212000000000003</v>
      </c>
      <c r="K226" s="4"/>
      <c r="L226" s="9">
        <v>29.7257</v>
      </c>
      <c r="M226" s="9">
        <v>11.6745</v>
      </c>
      <c r="N226" s="9">
        <v>4.7850000000000001</v>
      </c>
      <c r="O226" s="9">
        <v>0.36199999999999999</v>
      </c>
      <c r="P226" s="9">
        <v>1.1791</v>
      </c>
      <c r="Q226" s="9">
        <v>29.874600000000001</v>
      </c>
      <c r="R226" s="9"/>
      <c r="S226" s="11"/>
    </row>
    <row r="227" spans="1:19" ht="15.75">
      <c r="A227" s="13">
        <v>48396</v>
      </c>
      <c r="B227" s="8">
        <f>CHOOSE( CONTROL!$C$32, 7.0683, 7.0647) * CHOOSE(CONTROL!$C$15, $D$11, 100%, $F$11)</f>
        <v>7.0682999999999998</v>
      </c>
      <c r="C227" s="8">
        <f>CHOOSE( CONTROL!$C$32, 7.0763, 7.0727) * CHOOSE(CONTROL!$C$15, $D$11, 100%, $F$11)</f>
        <v>7.0762999999999998</v>
      </c>
      <c r="D227" s="8">
        <f>CHOOSE( CONTROL!$C$32, 7.0829, 7.0793) * CHOOSE( CONTROL!$C$15, $D$11, 100%, $F$11)</f>
        <v>7.0829000000000004</v>
      </c>
      <c r="E227" s="12">
        <f>CHOOSE( CONTROL!$C$32, 7.0793, 7.0757) * CHOOSE( CONTROL!$C$15, $D$11, 100%, $F$11)</f>
        <v>7.0792999999999999</v>
      </c>
      <c r="F227" s="4">
        <f>CHOOSE( CONTROL!$C$32, 7.7566, 7.753) * CHOOSE(CONTROL!$C$15, $D$11, 100%, $F$11)</f>
        <v>7.7565999999999997</v>
      </c>
      <c r="G227" s="8">
        <f>CHOOSE( CONTROL!$C$32, 6.9197, 6.9162) * CHOOSE( CONTROL!$C$15, $D$11, 100%, $F$11)</f>
        <v>6.9196999999999997</v>
      </c>
      <c r="H227" s="4">
        <f>CHOOSE( CONTROL!$C$32, 7.8567, 7.8532) * CHOOSE(CONTROL!$C$15, $D$11, 100%, $F$11)</f>
        <v>7.8567</v>
      </c>
      <c r="I227" s="8">
        <f>CHOOSE( CONTROL!$C$32, 6.8979, 6.8945) * CHOOSE(CONTROL!$C$15, $D$11, 100%, $F$11)</f>
        <v>6.8978999999999999</v>
      </c>
      <c r="J227" s="4">
        <f>CHOOSE( CONTROL!$C$32, 6.8017, 6.7982) * CHOOSE(CONTROL!$C$15, $D$11, 100%, $F$11)</f>
        <v>6.8017000000000003</v>
      </c>
      <c r="K227" s="4"/>
      <c r="L227" s="9">
        <v>30.7165</v>
      </c>
      <c r="M227" s="9">
        <v>12.063700000000001</v>
      </c>
      <c r="N227" s="9">
        <v>4.9444999999999997</v>
      </c>
      <c r="O227" s="9">
        <v>0.37409999999999999</v>
      </c>
      <c r="P227" s="9">
        <v>1.2183999999999999</v>
      </c>
      <c r="Q227" s="9">
        <v>30.8704</v>
      </c>
      <c r="R227" s="9"/>
      <c r="S227" s="11"/>
    </row>
    <row r="228" spans="1:19" ht="15.75">
      <c r="A228" s="13">
        <v>48427</v>
      </c>
      <c r="B228" s="8">
        <f>CHOOSE( CONTROL!$C$32, 6.5254, 6.5219) * CHOOSE(CONTROL!$C$15, $D$11, 100%, $F$11)</f>
        <v>6.5254000000000003</v>
      </c>
      <c r="C228" s="8">
        <f>CHOOSE( CONTROL!$C$32, 6.5335, 6.5299) * CHOOSE(CONTROL!$C$15, $D$11, 100%, $F$11)</f>
        <v>6.5335000000000001</v>
      </c>
      <c r="D228" s="8">
        <f>CHOOSE( CONTROL!$C$32, 6.5401, 6.5366) * CHOOSE( CONTROL!$C$15, $D$11, 100%, $F$11)</f>
        <v>6.5400999999999998</v>
      </c>
      <c r="E228" s="12">
        <f>CHOOSE( CONTROL!$C$32, 6.5365, 6.533) * CHOOSE( CONTROL!$C$15, $D$11, 100%, $F$11)</f>
        <v>6.5365000000000002</v>
      </c>
      <c r="F228" s="4">
        <f>CHOOSE( CONTROL!$C$32, 7.2137, 7.2101) * CHOOSE(CONTROL!$C$15, $D$11, 100%, $F$11)</f>
        <v>7.2137000000000002</v>
      </c>
      <c r="G228" s="8">
        <f>CHOOSE( CONTROL!$C$32, 6.386, 6.3825) * CHOOSE( CONTROL!$C$15, $D$11, 100%, $F$11)</f>
        <v>6.3860000000000001</v>
      </c>
      <c r="H228" s="4">
        <f>CHOOSE( CONTROL!$C$32, 7.3229, 7.3194) * CHOOSE(CONTROL!$C$15, $D$11, 100%, $F$11)</f>
        <v>7.3228999999999997</v>
      </c>
      <c r="I228" s="8">
        <f>CHOOSE( CONTROL!$C$32, 6.3734, 6.3699) * CHOOSE(CONTROL!$C$15, $D$11, 100%, $F$11)</f>
        <v>6.3734000000000002</v>
      </c>
      <c r="J228" s="4">
        <f>CHOOSE( CONTROL!$C$32, 6.2769, 6.2735) * CHOOSE(CONTROL!$C$15, $D$11, 100%, $F$11)</f>
        <v>6.2769000000000004</v>
      </c>
      <c r="K228" s="4"/>
      <c r="L228" s="9">
        <v>30.7165</v>
      </c>
      <c r="M228" s="9">
        <v>12.063700000000001</v>
      </c>
      <c r="N228" s="9">
        <v>4.9444999999999997</v>
      </c>
      <c r="O228" s="9">
        <v>0.37409999999999999</v>
      </c>
      <c r="P228" s="9">
        <v>1.2183999999999999</v>
      </c>
      <c r="Q228" s="9">
        <v>30.8704</v>
      </c>
      <c r="R228" s="9"/>
      <c r="S228" s="11"/>
    </row>
    <row r="229" spans="1:19" ht="15.75">
      <c r="A229" s="13">
        <v>48458</v>
      </c>
      <c r="B229" s="8">
        <f>CHOOSE( CONTROL!$C$32, 6.3895, 6.3859) * CHOOSE(CONTROL!$C$15, $D$11, 100%, $F$11)</f>
        <v>6.3895</v>
      </c>
      <c r="C229" s="8">
        <f>CHOOSE( CONTROL!$C$32, 6.3975, 6.394) * CHOOSE(CONTROL!$C$15, $D$11, 100%, $F$11)</f>
        <v>6.3975</v>
      </c>
      <c r="D229" s="8">
        <f>CHOOSE( CONTROL!$C$32, 6.4042, 6.4006) * CHOOSE( CONTROL!$C$15, $D$11, 100%, $F$11)</f>
        <v>6.4042000000000003</v>
      </c>
      <c r="E229" s="12">
        <f>CHOOSE( CONTROL!$C$32, 6.4006, 6.397) * CHOOSE( CONTROL!$C$15, $D$11, 100%, $F$11)</f>
        <v>6.4005999999999998</v>
      </c>
      <c r="F229" s="4">
        <f>CHOOSE( CONTROL!$C$32, 7.0778, 7.0742) * CHOOSE(CONTROL!$C$15, $D$11, 100%, $F$11)</f>
        <v>7.0777999999999999</v>
      </c>
      <c r="G229" s="8">
        <f>CHOOSE( CONTROL!$C$32, 6.2523, 6.2488) * CHOOSE( CONTROL!$C$15, $D$11, 100%, $F$11)</f>
        <v>6.2523</v>
      </c>
      <c r="H229" s="4">
        <f>CHOOSE( CONTROL!$C$32, 7.1892, 7.1857) * CHOOSE(CONTROL!$C$15, $D$11, 100%, $F$11)</f>
        <v>7.1891999999999996</v>
      </c>
      <c r="I229" s="8">
        <f>CHOOSE( CONTROL!$C$32, 6.2419, 6.2384) * CHOOSE(CONTROL!$C$15, $D$11, 100%, $F$11)</f>
        <v>6.2419000000000002</v>
      </c>
      <c r="J229" s="4">
        <f>CHOOSE( CONTROL!$C$32, 6.1455, 6.1421) * CHOOSE(CONTROL!$C$15, $D$11, 100%, $F$11)</f>
        <v>6.1455000000000002</v>
      </c>
      <c r="K229" s="4"/>
      <c r="L229" s="9">
        <v>29.7257</v>
      </c>
      <c r="M229" s="9">
        <v>11.6745</v>
      </c>
      <c r="N229" s="9">
        <v>4.7850000000000001</v>
      </c>
      <c r="O229" s="9">
        <v>0.36199999999999999</v>
      </c>
      <c r="P229" s="9">
        <v>1.1791</v>
      </c>
      <c r="Q229" s="9">
        <v>29.874600000000001</v>
      </c>
      <c r="R229" s="9"/>
      <c r="S229" s="11"/>
    </row>
    <row r="230" spans="1:19" ht="15.75">
      <c r="A230" s="13">
        <v>48488</v>
      </c>
      <c r="B230" s="8">
        <f>6.6665 * CHOOSE(CONTROL!$C$15, $D$11, 100%, $F$11)</f>
        <v>6.6665000000000001</v>
      </c>
      <c r="C230" s="8">
        <f>6.6718 * CHOOSE(CONTROL!$C$15, $D$11, 100%, $F$11)</f>
        <v>6.6718000000000002</v>
      </c>
      <c r="D230" s="8">
        <f>6.6834 * CHOOSE( CONTROL!$C$15, $D$11, 100%, $F$11)</f>
        <v>6.6833999999999998</v>
      </c>
      <c r="E230" s="12">
        <f>6.679 * CHOOSE( CONTROL!$C$15, $D$11, 100%, $F$11)</f>
        <v>6.6790000000000003</v>
      </c>
      <c r="F230" s="4">
        <f>7.3565 * CHOOSE(CONTROL!$C$15, $D$11, 100%, $F$11)</f>
        <v>7.3564999999999996</v>
      </c>
      <c r="G230" s="8">
        <f>6.5259 * CHOOSE( CONTROL!$C$15, $D$11, 100%, $F$11)</f>
        <v>6.5259</v>
      </c>
      <c r="H230" s="4">
        <f>7.4632 * CHOOSE(CONTROL!$C$15, $D$11, 100%, $F$11)</f>
        <v>7.4631999999999996</v>
      </c>
      <c r="I230" s="8">
        <f>6.5121 * CHOOSE(CONTROL!$C$15, $D$11, 100%, $F$11)</f>
        <v>6.5121000000000002</v>
      </c>
      <c r="J230" s="4">
        <f>6.4149 * CHOOSE(CONTROL!$C$15, $D$11, 100%, $F$11)</f>
        <v>6.4149000000000003</v>
      </c>
      <c r="K230" s="4"/>
      <c r="L230" s="9">
        <v>31.095300000000002</v>
      </c>
      <c r="M230" s="9">
        <v>12.063700000000001</v>
      </c>
      <c r="N230" s="9">
        <v>4.9444999999999997</v>
      </c>
      <c r="O230" s="9">
        <v>0.37409999999999999</v>
      </c>
      <c r="P230" s="9">
        <v>1.2183999999999999</v>
      </c>
      <c r="Q230" s="9">
        <v>30.8704</v>
      </c>
      <c r="R230" s="9"/>
      <c r="S230" s="11"/>
    </row>
    <row r="231" spans="1:19" ht="15.75">
      <c r="A231" s="13">
        <v>48519</v>
      </c>
      <c r="B231" s="8">
        <f>7.187 * CHOOSE(CONTROL!$C$15, $D$11, 100%, $F$11)</f>
        <v>7.1870000000000003</v>
      </c>
      <c r="C231" s="8">
        <f>7.1922 * CHOOSE(CONTROL!$C$15, $D$11, 100%, $F$11)</f>
        <v>7.1921999999999997</v>
      </c>
      <c r="D231" s="8">
        <f>7.1691 * CHOOSE( CONTROL!$C$15, $D$11, 100%, $F$11)</f>
        <v>7.1691000000000003</v>
      </c>
      <c r="E231" s="12">
        <f>7.177 * CHOOSE( CONTROL!$C$15, $D$11, 100%, $F$11)</f>
        <v>7.1769999999999996</v>
      </c>
      <c r="F231" s="4">
        <f>7.8319 * CHOOSE(CONTROL!$C$15, $D$11, 100%, $F$11)</f>
        <v>7.8319000000000001</v>
      </c>
      <c r="G231" s="8">
        <f>7.049 * CHOOSE( CONTROL!$C$15, $D$11, 100%, $F$11)</f>
        <v>7.0490000000000004</v>
      </c>
      <c r="H231" s="4">
        <f>7.9308 * CHOOSE(CONTROL!$C$15, $D$11, 100%, $F$11)</f>
        <v>7.9307999999999996</v>
      </c>
      <c r="I231" s="8">
        <f>7.0407 * CHOOSE(CONTROL!$C$15, $D$11, 100%, $F$11)</f>
        <v>7.0407000000000002</v>
      </c>
      <c r="J231" s="4">
        <f>6.9185 * CHOOSE(CONTROL!$C$15, $D$11, 100%, $F$11)</f>
        <v>6.9184999999999999</v>
      </c>
      <c r="K231" s="4"/>
      <c r="L231" s="9">
        <v>28.360600000000002</v>
      </c>
      <c r="M231" s="9">
        <v>11.6745</v>
      </c>
      <c r="N231" s="9">
        <v>4.7850000000000001</v>
      </c>
      <c r="O231" s="9">
        <v>0.36199999999999999</v>
      </c>
      <c r="P231" s="9">
        <v>1.2509999999999999</v>
      </c>
      <c r="Q231" s="9">
        <v>29.874600000000001</v>
      </c>
      <c r="R231" s="9"/>
      <c r="S231" s="11"/>
    </row>
    <row r="232" spans="1:19" ht="15.75">
      <c r="A232" s="13">
        <v>48549</v>
      </c>
      <c r="B232" s="8">
        <f>7.174 * CHOOSE(CONTROL!$C$15, $D$11, 100%, $F$11)</f>
        <v>7.1740000000000004</v>
      </c>
      <c r="C232" s="8">
        <f>7.1791 * CHOOSE(CONTROL!$C$15, $D$11, 100%, $F$11)</f>
        <v>7.1791</v>
      </c>
      <c r="D232" s="8">
        <f>7.1574 * CHOOSE( CONTROL!$C$15, $D$11, 100%, $F$11)</f>
        <v>7.1574</v>
      </c>
      <c r="E232" s="12">
        <f>7.1648 * CHOOSE( CONTROL!$C$15, $D$11, 100%, $F$11)</f>
        <v>7.1647999999999996</v>
      </c>
      <c r="F232" s="4">
        <f>7.8189 * CHOOSE(CONTROL!$C$15, $D$11, 100%, $F$11)</f>
        <v>7.8189000000000002</v>
      </c>
      <c r="G232" s="8">
        <f>7.0372 * CHOOSE( CONTROL!$C$15, $D$11, 100%, $F$11)</f>
        <v>7.0372000000000003</v>
      </c>
      <c r="H232" s="4">
        <f>7.918 * CHOOSE(CONTROL!$C$15, $D$11, 100%, $F$11)</f>
        <v>7.9180000000000001</v>
      </c>
      <c r="I232" s="8">
        <f>7.0325 * CHOOSE(CONTROL!$C$15, $D$11, 100%, $F$11)</f>
        <v>7.0324999999999998</v>
      </c>
      <c r="J232" s="4">
        <f>6.906 * CHOOSE(CONTROL!$C$15, $D$11, 100%, $F$11)</f>
        <v>6.9059999999999997</v>
      </c>
      <c r="K232" s="4"/>
      <c r="L232" s="9">
        <v>29.306000000000001</v>
      </c>
      <c r="M232" s="9">
        <v>12.063700000000001</v>
      </c>
      <c r="N232" s="9">
        <v>4.9444999999999997</v>
      </c>
      <c r="O232" s="9">
        <v>0.37409999999999999</v>
      </c>
      <c r="P232" s="9">
        <v>1.2927</v>
      </c>
      <c r="Q232" s="9">
        <v>30.8704</v>
      </c>
      <c r="R232" s="9"/>
      <c r="S232" s="11"/>
    </row>
    <row r="233" spans="1:19" ht="15.75">
      <c r="A233" s="13">
        <v>48580</v>
      </c>
      <c r="B233" s="8">
        <f>7.4308 * CHOOSE(CONTROL!$C$15, $D$11, 100%, $F$11)</f>
        <v>7.4307999999999996</v>
      </c>
      <c r="C233" s="8">
        <f>7.4359 * CHOOSE(CONTROL!$C$15, $D$11, 100%, $F$11)</f>
        <v>7.4359000000000002</v>
      </c>
      <c r="D233" s="8">
        <f>7.4101 * CHOOSE( CONTROL!$C$15, $D$11, 100%, $F$11)</f>
        <v>7.4100999999999999</v>
      </c>
      <c r="E233" s="12">
        <f>7.419 * CHOOSE( CONTROL!$C$15, $D$11, 100%, $F$11)</f>
        <v>7.4189999999999996</v>
      </c>
      <c r="F233" s="4">
        <f>8.0748 * CHOOSE(CONTROL!$C$15, $D$11, 100%, $F$11)</f>
        <v>8.0747999999999998</v>
      </c>
      <c r="G233" s="8">
        <f>7.2835 * CHOOSE( CONTROL!$C$15, $D$11, 100%, $F$11)</f>
        <v>7.2835000000000001</v>
      </c>
      <c r="H233" s="4">
        <f>8.1697 * CHOOSE(CONTROL!$C$15, $D$11, 100%, $F$11)</f>
        <v>8.1697000000000006</v>
      </c>
      <c r="I233" s="8">
        <f>7.2514 * CHOOSE(CONTROL!$C$15, $D$11, 100%, $F$11)</f>
        <v>7.2514000000000003</v>
      </c>
      <c r="J233" s="4">
        <f>7.1542 * CHOOSE(CONTROL!$C$15, $D$11, 100%, $F$11)</f>
        <v>7.1542000000000003</v>
      </c>
      <c r="K233" s="4"/>
      <c r="L233" s="9">
        <v>29.306000000000001</v>
      </c>
      <c r="M233" s="9">
        <v>12.063700000000001</v>
      </c>
      <c r="N233" s="9">
        <v>4.9444999999999997</v>
      </c>
      <c r="O233" s="9">
        <v>0.37409999999999999</v>
      </c>
      <c r="P233" s="9">
        <v>1.2927</v>
      </c>
      <c r="Q233" s="9">
        <v>30.773700000000002</v>
      </c>
      <c r="R233" s="9"/>
      <c r="S233" s="11"/>
    </row>
    <row r="234" spans="1:19" ht="15.75">
      <c r="A234" s="13">
        <v>48611</v>
      </c>
      <c r="B234" s="8">
        <f>6.9524 * CHOOSE(CONTROL!$C$15, $D$11, 100%, $F$11)</f>
        <v>6.9523999999999999</v>
      </c>
      <c r="C234" s="8">
        <f>6.9575 * CHOOSE(CONTROL!$C$15, $D$11, 100%, $F$11)</f>
        <v>6.9574999999999996</v>
      </c>
      <c r="D234" s="8">
        <f>6.9319 * CHOOSE( CONTROL!$C$15, $D$11, 100%, $F$11)</f>
        <v>6.9318999999999997</v>
      </c>
      <c r="E234" s="12">
        <f>6.9407 * CHOOSE( CONTROL!$C$15, $D$11, 100%, $F$11)</f>
        <v>6.9406999999999996</v>
      </c>
      <c r="F234" s="4">
        <f>7.5964 * CHOOSE(CONTROL!$C$15, $D$11, 100%, $F$11)</f>
        <v>7.5964</v>
      </c>
      <c r="G234" s="8">
        <f>6.8131 * CHOOSE( CONTROL!$C$15, $D$11, 100%, $F$11)</f>
        <v>6.8131000000000004</v>
      </c>
      <c r="H234" s="4">
        <f>7.6992 * CHOOSE(CONTROL!$C$15, $D$11, 100%, $F$11)</f>
        <v>7.6992000000000003</v>
      </c>
      <c r="I234" s="8">
        <f>6.7894 * CHOOSE(CONTROL!$C$15, $D$11, 100%, $F$11)</f>
        <v>6.7893999999999997</v>
      </c>
      <c r="J234" s="4">
        <f>6.6917 * CHOOSE(CONTROL!$C$15, $D$11, 100%, $F$11)</f>
        <v>6.6917</v>
      </c>
      <c r="K234" s="4"/>
      <c r="L234" s="9">
        <v>26.469899999999999</v>
      </c>
      <c r="M234" s="9">
        <v>10.8962</v>
      </c>
      <c r="N234" s="9">
        <v>4.4660000000000002</v>
      </c>
      <c r="O234" s="9">
        <v>0.33789999999999998</v>
      </c>
      <c r="P234" s="9">
        <v>1.1676</v>
      </c>
      <c r="Q234" s="9">
        <v>27.7956</v>
      </c>
      <c r="R234" s="9"/>
      <c r="S234" s="11"/>
    </row>
    <row r="235" spans="1:19" ht="15.75">
      <c r="A235" s="13">
        <v>48639</v>
      </c>
      <c r="B235" s="8">
        <f>6.805 * CHOOSE(CONTROL!$C$15, $D$11, 100%, $F$11)</f>
        <v>6.8049999999999997</v>
      </c>
      <c r="C235" s="8">
        <f>6.8101 * CHOOSE(CONTROL!$C$15, $D$11, 100%, $F$11)</f>
        <v>6.8101000000000003</v>
      </c>
      <c r="D235" s="8">
        <f>6.7844 * CHOOSE( CONTROL!$C$15, $D$11, 100%, $F$11)</f>
        <v>6.7843999999999998</v>
      </c>
      <c r="E235" s="12">
        <f>6.7933 * CHOOSE( CONTROL!$C$15, $D$11, 100%, $F$11)</f>
        <v>6.7933000000000003</v>
      </c>
      <c r="F235" s="4">
        <f>7.449 * CHOOSE(CONTROL!$C$15, $D$11, 100%, $F$11)</f>
        <v>7.4489999999999998</v>
      </c>
      <c r="G235" s="8">
        <f>6.6682 * CHOOSE( CONTROL!$C$15, $D$11, 100%, $F$11)</f>
        <v>6.6681999999999997</v>
      </c>
      <c r="H235" s="4">
        <f>7.5543 * CHOOSE(CONTROL!$C$15, $D$11, 100%, $F$11)</f>
        <v>7.5542999999999996</v>
      </c>
      <c r="I235" s="8">
        <f>6.6466 * CHOOSE(CONTROL!$C$15, $D$11, 100%, $F$11)</f>
        <v>6.6466000000000003</v>
      </c>
      <c r="J235" s="4">
        <f>6.5492 * CHOOSE(CONTROL!$C$15, $D$11, 100%, $F$11)</f>
        <v>6.5491999999999999</v>
      </c>
      <c r="K235" s="4"/>
      <c r="L235" s="9">
        <v>29.306000000000001</v>
      </c>
      <c r="M235" s="9">
        <v>12.063700000000001</v>
      </c>
      <c r="N235" s="9">
        <v>4.9444999999999997</v>
      </c>
      <c r="O235" s="9">
        <v>0.37409999999999999</v>
      </c>
      <c r="P235" s="9">
        <v>1.2927</v>
      </c>
      <c r="Q235" s="9">
        <v>30.773700000000002</v>
      </c>
      <c r="R235" s="9"/>
      <c r="S235" s="11"/>
    </row>
    <row r="236" spans="1:19" ht="15.75">
      <c r="A236" s="13">
        <v>48670</v>
      </c>
      <c r="B236" s="8">
        <f>6.9087 * CHOOSE(CONTROL!$C$15, $D$11, 100%, $F$11)</f>
        <v>6.9086999999999996</v>
      </c>
      <c r="C236" s="8">
        <f>6.9133 * CHOOSE(CONTROL!$C$15, $D$11, 100%, $F$11)</f>
        <v>6.9132999999999996</v>
      </c>
      <c r="D236" s="8">
        <f>6.9243 * CHOOSE( CONTROL!$C$15, $D$11, 100%, $F$11)</f>
        <v>6.9242999999999997</v>
      </c>
      <c r="E236" s="12">
        <f>6.9201 * CHOOSE( CONTROL!$C$15, $D$11, 100%, $F$11)</f>
        <v>6.9200999999999997</v>
      </c>
      <c r="F236" s="4">
        <f>7.5984 * CHOOSE(CONTROL!$C$15, $D$11, 100%, $F$11)</f>
        <v>7.5983999999999998</v>
      </c>
      <c r="G236" s="8">
        <f>6.7623 * CHOOSE( CONTROL!$C$15, $D$11, 100%, $F$11)</f>
        <v>6.7622999999999998</v>
      </c>
      <c r="H236" s="4">
        <f>7.7012 * CHOOSE(CONTROL!$C$15, $D$11, 100%, $F$11)</f>
        <v>7.7012</v>
      </c>
      <c r="I236" s="8">
        <f>6.7413 * CHOOSE(CONTROL!$C$15, $D$11, 100%, $F$11)</f>
        <v>6.7412999999999998</v>
      </c>
      <c r="J236" s="4">
        <f>6.6488 * CHOOSE(CONTROL!$C$15, $D$11, 100%, $F$11)</f>
        <v>6.6487999999999996</v>
      </c>
      <c r="K236" s="4"/>
      <c r="L236" s="9">
        <v>30.092199999999998</v>
      </c>
      <c r="M236" s="9">
        <v>11.6745</v>
      </c>
      <c r="N236" s="9">
        <v>4.7850000000000001</v>
      </c>
      <c r="O236" s="9">
        <v>0.36199999999999999</v>
      </c>
      <c r="P236" s="9">
        <v>1.1791</v>
      </c>
      <c r="Q236" s="9">
        <v>29.780999999999999</v>
      </c>
      <c r="R236" s="9"/>
      <c r="S236" s="11"/>
    </row>
    <row r="237" spans="1:19" ht="15.75">
      <c r="A237" s="13">
        <v>48700</v>
      </c>
      <c r="B237" s="8">
        <f>CHOOSE( CONTROL!$C$32, 7.0969, 7.0934) * CHOOSE(CONTROL!$C$15, $D$11, 100%, $F$11)</f>
        <v>7.0968999999999998</v>
      </c>
      <c r="C237" s="8">
        <f>CHOOSE( CONTROL!$C$32, 7.105, 7.1014) * CHOOSE(CONTROL!$C$15, $D$11, 100%, $F$11)</f>
        <v>7.1050000000000004</v>
      </c>
      <c r="D237" s="8">
        <f>CHOOSE( CONTROL!$C$32, 7.111, 7.1074) * CHOOSE( CONTROL!$C$15, $D$11, 100%, $F$11)</f>
        <v>7.1109999999999998</v>
      </c>
      <c r="E237" s="12">
        <f>CHOOSE( CONTROL!$C$32, 7.1076, 7.104) * CHOOSE( CONTROL!$C$15, $D$11, 100%, $F$11)</f>
        <v>7.1075999999999997</v>
      </c>
      <c r="F237" s="4">
        <f>CHOOSE( CONTROL!$C$32, 7.7852, 7.7816) * CHOOSE(CONTROL!$C$15, $D$11, 100%, $F$11)</f>
        <v>7.7851999999999997</v>
      </c>
      <c r="G237" s="8">
        <f>CHOOSE( CONTROL!$C$32, 6.947, 6.9435) * CHOOSE( CONTROL!$C$15, $D$11, 100%, $F$11)</f>
        <v>6.9470000000000001</v>
      </c>
      <c r="H237" s="4">
        <f>CHOOSE( CONTROL!$C$32, 7.8849, 7.8814) * CHOOSE(CONTROL!$C$15, $D$11, 100%, $F$11)</f>
        <v>7.8849</v>
      </c>
      <c r="I237" s="8">
        <f>CHOOSE( CONTROL!$C$32, 6.9228, 6.9194) * CHOOSE(CONTROL!$C$15, $D$11, 100%, $F$11)</f>
        <v>6.9227999999999996</v>
      </c>
      <c r="J237" s="4">
        <f>CHOOSE( CONTROL!$C$32, 6.8294, 6.8259) * CHOOSE(CONTROL!$C$15, $D$11, 100%, $F$11)</f>
        <v>6.8293999999999997</v>
      </c>
      <c r="K237" s="4"/>
      <c r="L237" s="9">
        <v>30.7165</v>
      </c>
      <c r="M237" s="9">
        <v>12.063700000000001</v>
      </c>
      <c r="N237" s="9">
        <v>4.9444999999999997</v>
      </c>
      <c r="O237" s="9">
        <v>0.37409999999999999</v>
      </c>
      <c r="P237" s="9">
        <v>1.2183999999999999</v>
      </c>
      <c r="Q237" s="9">
        <v>30.773700000000002</v>
      </c>
      <c r="R237" s="9"/>
      <c r="S237" s="11"/>
    </row>
    <row r="238" spans="1:19" ht="15.75">
      <c r="A238" s="13">
        <v>48731</v>
      </c>
      <c r="B238" s="8">
        <f>CHOOSE( CONTROL!$C$32, 6.9834, 6.9798) * CHOOSE(CONTROL!$C$15, $D$11, 100%, $F$11)</f>
        <v>6.9833999999999996</v>
      </c>
      <c r="C238" s="8">
        <f>CHOOSE( CONTROL!$C$32, 6.9914, 6.9879) * CHOOSE(CONTROL!$C$15, $D$11, 100%, $F$11)</f>
        <v>6.9913999999999996</v>
      </c>
      <c r="D238" s="8">
        <f>CHOOSE( CONTROL!$C$32, 6.9977, 6.9942) * CHOOSE( CONTROL!$C$15, $D$11, 100%, $F$11)</f>
        <v>6.9977</v>
      </c>
      <c r="E238" s="12">
        <f>CHOOSE( CONTROL!$C$32, 6.9942, 6.9907) * CHOOSE( CONTROL!$C$15, $D$11, 100%, $F$11)</f>
        <v>6.9942000000000002</v>
      </c>
      <c r="F238" s="4">
        <f>CHOOSE( CONTROL!$C$32, 7.6717, 7.6681) * CHOOSE(CONTROL!$C$15, $D$11, 100%, $F$11)</f>
        <v>7.6717000000000004</v>
      </c>
      <c r="G238" s="8">
        <f>CHOOSE( CONTROL!$C$32, 6.8358, 6.8323) * CHOOSE( CONTROL!$C$15, $D$11, 100%, $F$11)</f>
        <v>6.8357999999999999</v>
      </c>
      <c r="H238" s="4">
        <f>CHOOSE( CONTROL!$C$32, 7.7732, 7.7697) * CHOOSE(CONTROL!$C$15, $D$11, 100%, $F$11)</f>
        <v>7.7732000000000001</v>
      </c>
      <c r="I238" s="8">
        <f>CHOOSE( CONTROL!$C$32, 6.8144, 6.8109) * CHOOSE(CONTROL!$C$15, $D$11, 100%, $F$11)</f>
        <v>6.8144</v>
      </c>
      <c r="J238" s="4">
        <f>CHOOSE( CONTROL!$C$32, 6.7196, 6.7162) * CHOOSE(CONTROL!$C$15, $D$11, 100%, $F$11)</f>
        <v>6.7195999999999998</v>
      </c>
      <c r="K238" s="4"/>
      <c r="L238" s="9">
        <v>29.7257</v>
      </c>
      <c r="M238" s="9">
        <v>11.6745</v>
      </c>
      <c r="N238" s="9">
        <v>4.7850000000000001</v>
      </c>
      <c r="O238" s="9">
        <v>0.36199999999999999</v>
      </c>
      <c r="P238" s="9">
        <v>1.1791</v>
      </c>
      <c r="Q238" s="9">
        <v>29.780999999999999</v>
      </c>
      <c r="R238" s="9"/>
      <c r="S238" s="11"/>
    </row>
    <row r="239" spans="1:19" ht="15.75">
      <c r="A239" s="13">
        <v>48761</v>
      </c>
      <c r="B239" s="8">
        <f>CHOOSE( CONTROL!$C$32, 7.2824, 7.2788) * CHOOSE(CONTROL!$C$15, $D$11, 100%, $F$11)</f>
        <v>7.2824</v>
      </c>
      <c r="C239" s="8">
        <f>CHOOSE( CONTROL!$C$32, 7.2904, 7.2868) * CHOOSE(CONTROL!$C$15, $D$11, 100%, $F$11)</f>
        <v>7.2904</v>
      </c>
      <c r="D239" s="8">
        <f>CHOOSE( CONTROL!$C$32, 7.297, 7.2934) * CHOOSE( CONTROL!$C$15, $D$11, 100%, $F$11)</f>
        <v>7.2969999999999997</v>
      </c>
      <c r="E239" s="12">
        <f>CHOOSE( CONTROL!$C$32, 7.2934, 7.2898) * CHOOSE( CONTROL!$C$15, $D$11, 100%, $F$11)</f>
        <v>7.2934000000000001</v>
      </c>
      <c r="F239" s="4">
        <f>CHOOSE( CONTROL!$C$32, 7.9706, 7.9671) * CHOOSE(CONTROL!$C$15, $D$11, 100%, $F$11)</f>
        <v>7.9706000000000001</v>
      </c>
      <c r="G239" s="8">
        <f>CHOOSE( CONTROL!$C$32, 7.1302, 7.1267) * CHOOSE( CONTROL!$C$15, $D$11, 100%, $F$11)</f>
        <v>7.1302000000000003</v>
      </c>
      <c r="H239" s="4">
        <f>CHOOSE( CONTROL!$C$32, 8.0672, 8.0637) * CHOOSE(CONTROL!$C$15, $D$11, 100%, $F$11)</f>
        <v>8.0671999999999997</v>
      </c>
      <c r="I239" s="8">
        <f>CHOOSE( CONTROL!$C$32, 7.105, 7.1015) * CHOOSE(CONTROL!$C$15, $D$11, 100%, $F$11)</f>
        <v>7.1050000000000004</v>
      </c>
      <c r="J239" s="4">
        <f>CHOOSE( CONTROL!$C$32, 7.0086, 7.0052) * CHOOSE(CONTROL!$C$15, $D$11, 100%, $F$11)</f>
        <v>7.0086000000000004</v>
      </c>
      <c r="K239" s="4"/>
      <c r="L239" s="9">
        <v>30.7165</v>
      </c>
      <c r="M239" s="9">
        <v>12.063700000000001</v>
      </c>
      <c r="N239" s="9">
        <v>4.9444999999999997</v>
      </c>
      <c r="O239" s="9">
        <v>0.37409999999999999</v>
      </c>
      <c r="P239" s="9">
        <v>1.2183999999999999</v>
      </c>
      <c r="Q239" s="9">
        <v>30.773700000000002</v>
      </c>
      <c r="R239" s="9"/>
      <c r="S239" s="11"/>
    </row>
    <row r="240" spans="1:19" ht="15.75">
      <c r="A240" s="13">
        <v>48792</v>
      </c>
      <c r="B240" s="8">
        <f>CHOOSE( CONTROL!$C$32, 6.723, 6.7194) * CHOOSE(CONTROL!$C$15, $D$11, 100%, $F$11)</f>
        <v>6.7229999999999999</v>
      </c>
      <c r="C240" s="8">
        <f>CHOOSE( CONTROL!$C$32, 6.731, 6.7274) * CHOOSE(CONTROL!$C$15, $D$11, 100%, $F$11)</f>
        <v>6.7309999999999999</v>
      </c>
      <c r="D240" s="8">
        <f>CHOOSE( CONTROL!$C$32, 6.7377, 6.7341) * CHOOSE( CONTROL!$C$15, $D$11, 100%, $F$11)</f>
        <v>6.7377000000000002</v>
      </c>
      <c r="E240" s="12">
        <f>CHOOSE( CONTROL!$C$32, 6.7341, 6.7305) * CHOOSE( CONTROL!$C$15, $D$11, 100%, $F$11)</f>
        <v>6.7340999999999998</v>
      </c>
      <c r="F240" s="4">
        <f>CHOOSE( CONTROL!$C$32, 7.4113, 7.4077) * CHOOSE(CONTROL!$C$15, $D$11, 100%, $F$11)</f>
        <v>7.4112999999999998</v>
      </c>
      <c r="G240" s="8">
        <f>CHOOSE( CONTROL!$C$32, 6.5803, 6.5768) * CHOOSE( CONTROL!$C$15, $D$11, 100%, $F$11)</f>
        <v>6.5803000000000003</v>
      </c>
      <c r="H240" s="4">
        <f>CHOOSE( CONTROL!$C$32, 7.5171, 7.5136) * CHOOSE(CONTROL!$C$15, $D$11, 100%, $F$11)</f>
        <v>7.5171000000000001</v>
      </c>
      <c r="I240" s="8">
        <f>CHOOSE( CONTROL!$C$32, 6.5644, 6.561) * CHOOSE(CONTROL!$C$15, $D$11, 100%, $F$11)</f>
        <v>6.5644</v>
      </c>
      <c r="J240" s="4">
        <f>CHOOSE( CONTROL!$C$32, 6.4679, 6.4644) * CHOOSE(CONTROL!$C$15, $D$11, 100%, $F$11)</f>
        <v>6.4679000000000002</v>
      </c>
      <c r="K240" s="4"/>
      <c r="L240" s="9">
        <v>30.7165</v>
      </c>
      <c r="M240" s="9">
        <v>12.063700000000001</v>
      </c>
      <c r="N240" s="9">
        <v>4.9444999999999997</v>
      </c>
      <c r="O240" s="9">
        <v>0.37409999999999999</v>
      </c>
      <c r="P240" s="9">
        <v>1.2183999999999999</v>
      </c>
      <c r="Q240" s="9">
        <v>30.773700000000002</v>
      </c>
      <c r="R240" s="9"/>
      <c r="S240" s="11"/>
    </row>
    <row r="241" spans="1:19" ht="15.75">
      <c r="A241" s="13">
        <v>48823</v>
      </c>
      <c r="B241" s="8">
        <f>CHOOSE( CONTROL!$C$32, 6.5829, 6.5794) * CHOOSE(CONTROL!$C$15, $D$11, 100%, $F$11)</f>
        <v>6.5829000000000004</v>
      </c>
      <c r="C241" s="8">
        <f>CHOOSE( CONTROL!$C$32, 6.5909, 6.5874) * CHOOSE(CONTROL!$C$15, $D$11, 100%, $F$11)</f>
        <v>6.5909000000000004</v>
      </c>
      <c r="D241" s="8">
        <f>CHOOSE( CONTROL!$C$32, 6.5976, 6.5941) * CHOOSE( CONTROL!$C$15, $D$11, 100%, $F$11)</f>
        <v>6.5975999999999999</v>
      </c>
      <c r="E241" s="12">
        <f>CHOOSE( CONTROL!$C$32, 6.594, 6.5905) * CHOOSE( CONTROL!$C$15, $D$11, 100%, $F$11)</f>
        <v>6.5940000000000003</v>
      </c>
      <c r="F241" s="4">
        <f>CHOOSE( CONTROL!$C$32, 7.2712, 7.2676) * CHOOSE(CONTROL!$C$15, $D$11, 100%, $F$11)</f>
        <v>7.2712000000000003</v>
      </c>
      <c r="G241" s="8">
        <f>CHOOSE( CONTROL!$C$32, 6.4425, 6.439) * CHOOSE( CONTROL!$C$15, $D$11, 100%, $F$11)</f>
        <v>6.4424999999999999</v>
      </c>
      <c r="H241" s="4">
        <f>CHOOSE( CONTROL!$C$32, 7.3794, 7.3759) * CHOOSE(CONTROL!$C$15, $D$11, 100%, $F$11)</f>
        <v>7.3794000000000004</v>
      </c>
      <c r="I241" s="8">
        <f>CHOOSE( CONTROL!$C$32, 6.4289, 6.4255) * CHOOSE(CONTROL!$C$15, $D$11, 100%, $F$11)</f>
        <v>6.4288999999999996</v>
      </c>
      <c r="J241" s="4">
        <f>CHOOSE( CONTROL!$C$32, 6.3325, 6.329) * CHOOSE(CONTROL!$C$15, $D$11, 100%, $F$11)</f>
        <v>6.3324999999999996</v>
      </c>
      <c r="K241" s="4"/>
      <c r="L241" s="9">
        <v>29.7257</v>
      </c>
      <c r="M241" s="9">
        <v>11.6745</v>
      </c>
      <c r="N241" s="9">
        <v>4.7850000000000001</v>
      </c>
      <c r="O241" s="9">
        <v>0.36199999999999999</v>
      </c>
      <c r="P241" s="9">
        <v>1.1791</v>
      </c>
      <c r="Q241" s="9">
        <v>29.780999999999999</v>
      </c>
      <c r="R241" s="9"/>
      <c r="S241" s="11"/>
    </row>
    <row r="242" spans="1:19" ht="15.75">
      <c r="A242" s="13">
        <v>48853</v>
      </c>
      <c r="B242" s="8">
        <f>6.8685 * CHOOSE(CONTROL!$C$15, $D$11, 100%, $F$11)</f>
        <v>6.8685</v>
      </c>
      <c r="C242" s="8">
        <f>6.8738 * CHOOSE(CONTROL!$C$15, $D$11, 100%, $F$11)</f>
        <v>6.8738000000000001</v>
      </c>
      <c r="D242" s="8">
        <f>6.8854 * CHOOSE( CONTROL!$C$15, $D$11, 100%, $F$11)</f>
        <v>6.8853999999999997</v>
      </c>
      <c r="E242" s="12">
        <f>6.881 * CHOOSE( CONTROL!$C$15, $D$11, 100%, $F$11)</f>
        <v>6.8810000000000002</v>
      </c>
      <c r="F242" s="4">
        <f>7.5585 * CHOOSE(CONTROL!$C$15, $D$11, 100%, $F$11)</f>
        <v>7.5585000000000004</v>
      </c>
      <c r="G242" s="8">
        <f>6.7245 * CHOOSE( CONTROL!$C$15, $D$11, 100%, $F$11)</f>
        <v>6.7244999999999999</v>
      </c>
      <c r="H242" s="4">
        <f>7.6619 * CHOOSE(CONTROL!$C$15, $D$11, 100%, $F$11)</f>
        <v>7.6619000000000002</v>
      </c>
      <c r="I242" s="8">
        <f>6.7075 * CHOOSE(CONTROL!$C$15, $D$11, 100%, $F$11)</f>
        <v>6.7074999999999996</v>
      </c>
      <c r="J242" s="4">
        <f>6.6102 * CHOOSE(CONTROL!$C$15, $D$11, 100%, $F$11)</f>
        <v>6.6101999999999999</v>
      </c>
      <c r="K242" s="4"/>
      <c r="L242" s="9">
        <v>31.095300000000002</v>
      </c>
      <c r="M242" s="9">
        <v>12.063700000000001</v>
      </c>
      <c r="N242" s="9">
        <v>4.9444999999999997</v>
      </c>
      <c r="O242" s="9">
        <v>0.37409999999999999</v>
      </c>
      <c r="P242" s="9">
        <v>1.2183999999999999</v>
      </c>
      <c r="Q242" s="9">
        <v>30.773700000000002</v>
      </c>
      <c r="R242" s="9"/>
      <c r="S242" s="11"/>
    </row>
    <row r="243" spans="1:19" ht="15.75">
      <c r="A243" s="13">
        <v>48884</v>
      </c>
      <c r="B243" s="8">
        <f>7.4049 * CHOOSE(CONTROL!$C$15, $D$11, 100%, $F$11)</f>
        <v>7.4048999999999996</v>
      </c>
      <c r="C243" s="8">
        <f>7.41 * CHOOSE(CONTROL!$C$15, $D$11, 100%, $F$11)</f>
        <v>7.41</v>
      </c>
      <c r="D243" s="8">
        <f>7.387 * CHOOSE( CONTROL!$C$15, $D$11, 100%, $F$11)</f>
        <v>7.3869999999999996</v>
      </c>
      <c r="E243" s="12">
        <f>7.3949 * CHOOSE( CONTROL!$C$15, $D$11, 100%, $F$11)</f>
        <v>7.3948999999999998</v>
      </c>
      <c r="F243" s="4">
        <f>8.0498 * CHOOSE(CONTROL!$C$15, $D$11, 100%, $F$11)</f>
        <v>8.0497999999999994</v>
      </c>
      <c r="G243" s="8">
        <f>7.2633 * CHOOSE( CONTROL!$C$15, $D$11, 100%, $F$11)</f>
        <v>7.2633000000000001</v>
      </c>
      <c r="H243" s="4">
        <f>8.1451 * CHOOSE(CONTROL!$C$15, $D$11, 100%, $F$11)</f>
        <v>8.1450999999999993</v>
      </c>
      <c r="I243" s="8">
        <f>7.2514 * CHOOSE(CONTROL!$C$15, $D$11, 100%, $F$11)</f>
        <v>7.2514000000000003</v>
      </c>
      <c r="J243" s="4">
        <f>7.1291 * CHOOSE(CONTROL!$C$15, $D$11, 100%, $F$11)</f>
        <v>7.1291000000000002</v>
      </c>
      <c r="K243" s="4"/>
      <c r="L243" s="9">
        <v>28.360600000000002</v>
      </c>
      <c r="M243" s="9">
        <v>11.6745</v>
      </c>
      <c r="N243" s="9">
        <v>4.7850000000000001</v>
      </c>
      <c r="O243" s="9">
        <v>0.36199999999999999</v>
      </c>
      <c r="P243" s="9">
        <v>1.2509999999999999</v>
      </c>
      <c r="Q243" s="9">
        <v>29.780999999999999</v>
      </c>
      <c r="R243" s="9"/>
      <c r="S243" s="11"/>
    </row>
    <row r="244" spans="1:19" ht="15.75">
      <c r="A244" s="13">
        <v>48914</v>
      </c>
      <c r="B244" s="8">
        <f>7.3915 * CHOOSE(CONTROL!$C$15, $D$11, 100%, $F$11)</f>
        <v>7.3914999999999997</v>
      </c>
      <c r="C244" s="8">
        <f>7.3966 * CHOOSE(CONTROL!$C$15, $D$11, 100%, $F$11)</f>
        <v>7.3966000000000003</v>
      </c>
      <c r="D244" s="8">
        <f>7.3749 * CHOOSE( CONTROL!$C$15, $D$11, 100%, $F$11)</f>
        <v>7.3749000000000002</v>
      </c>
      <c r="E244" s="12">
        <f>7.3823 * CHOOSE( CONTROL!$C$15, $D$11, 100%, $F$11)</f>
        <v>7.3822999999999999</v>
      </c>
      <c r="F244" s="4">
        <f>8.0364 * CHOOSE(CONTROL!$C$15, $D$11, 100%, $F$11)</f>
        <v>8.0364000000000004</v>
      </c>
      <c r="G244" s="8">
        <f>7.2511 * CHOOSE( CONTROL!$C$15, $D$11, 100%, $F$11)</f>
        <v>7.2511000000000001</v>
      </c>
      <c r="H244" s="4">
        <f>8.1319 * CHOOSE(CONTROL!$C$15, $D$11, 100%, $F$11)</f>
        <v>8.1318999999999999</v>
      </c>
      <c r="I244" s="8">
        <f>7.2428 * CHOOSE(CONTROL!$C$15, $D$11, 100%, $F$11)</f>
        <v>7.2427999999999999</v>
      </c>
      <c r="J244" s="4">
        <f>7.1162 * CHOOSE(CONTROL!$C$15, $D$11, 100%, $F$11)</f>
        <v>7.1162000000000001</v>
      </c>
      <c r="K244" s="4"/>
      <c r="L244" s="9">
        <v>29.306000000000001</v>
      </c>
      <c r="M244" s="9">
        <v>12.063700000000001</v>
      </c>
      <c r="N244" s="9">
        <v>4.9444999999999997</v>
      </c>
      <c r="O244" s="9">
        <v>0.37409999999999999</v>
      </c>
      <c r="P244" s="9">
        <v>1.2927</v>
      </c>
      <c r="Q244" s="9">
        <v>30.773700000000002</v>
      </c>
      <c r="R244" s="9"/>
      <c r="S244" s="11"/>
    </row>
    <row r="245" spans="1:19" ht="15.75">
      <c r="A245" s="13">
        <v>48945</v>
      </c>
      <c r="B245" s="8">
        <f>7.5838 * CHOOSE(CONTROL!$C$15, $D$11, 100%, $F$11)</f>
        <v>7.5838000000000001</v>
      </c>
      <c r="C245" s="8">
        <f>7.589 * CHOOSE(CONTROL!$C$15, $D$11, 100%, $F$11)</f>
        <v>7.5890000000000004</v>
      </c>
      <c r="D245" s="8">
        <f>7.5631 * CHOOSE( CONTROL!$C$15, $D$11, 100%, $F$11)</f>
        <v>7.5631000000000004</v>
      </c>
      <c r="E245" s="12">
        <f>7.572 * CHOOSE( CONTROL!$C$15, $D$11, 100%, $F$11)</f>
        <v>7.5720000000000001</v>
      </c>
      <c r="F245" s="4">
        <f>8.2279 * CHOOSE(CONTROL!$C$15, $D$11, 100%, $F$11)</f>
        <v>8.2279</v>
      </c>
      <c r="G245" s="8">
        <f>7.434 * CHOOSE( CONTROL!$C$15, $D$11, 100%, $F$11)</f>
        <v>7.4340000000000002</v>
      </c>
      <c r="H245" s="4">
        <f>8.3202 * CHOOSE(CONTROL!$C$15, $D$11, 100%, $F$11)</f>
        <v>8.3201999999999998</v>
      </c>
      <c r="I245" s="8">
        <f>7.3994 * CHOOSE(CONTROL!$C$15, $D$11, 100%, $F$11)</f>
        <v>7.3994</v>
      </c>
      <c r="J245" s="4">
        <f>7.3021 * CHOOSE(CONTROL!$C$15, $D$11, 100%, $F$11)</f>
        <v>7.3021000000000003</v>
      </c>
      <c r="K245" s="4"/>
      <c r="L245" s="9">
        <v>29.306000000000001</v>
      </c>
      <c r="M245" s="9">
        <v>12.063700000000001</v>
      </c>
      <c r="N245" s="9">
        <v>4.9444999999999997</v>
      </c>
      <c r="O245" s="9">
        <v>0.37409999999999999</v>
      </c>
      <c r="P245" s="9">
        <v>1.2927</v>
      </c>
      <c r="Q245" s="9">
        <v>30.7105</v>
      </c>
      <c r="R245" s="9"/>
      <c r="S245" s="11"/>
    </row>
    <row r="246" spans="1:19" ht="15.75">
      <c r="A246" s="13">
        <v>48976</v>
      </c>
      <c r="B246" s="8">
        <f>7.0955 * CHOOSE(CONTROL!$C$15, $D$11, 100%, $F$11)</f>
        <v>7.0955000000000004</v>
      </c>
      <c r="C246" s="8">
        <f>7.1006 * CHOOSE(CONTROL!$C$15, $D$11, 100%, $F$11)</f>
        <v>7.1006</v>
      </c>
      <c r="D246" s="8">
        <f>7.075 * CHOOSE( CONTROL!$C$15, $D$11, 100%, $F$11)</f>
        <v>7.0750000000000002</v>
      </c>
      <c r="E246" s="12">
        <f>7.0838 * CHOOSE( CONTROL!$C$15, $D$11, 100%, $F$11)</f>
        <v>7.0838000000000001</v>
      </c>
      <c r="F246" s="4">
        <f>7.7395 * CHOOSE(CONTROL!$C$15, $D$11, 100%, $F$11)</f>
        <v>7.7394999999999996</v>
      </c>
      <c r="G246" s="8">
        <f>6.9539 * CHOOSE( CONTROL!$C$15, $D$11, 100%, $F$11)</f>
        <v>6.9539</v>
      </c>
      <c r="H246" s="4">
        <f>7.84 * CHOOSE(CONTROL!$C$15, $D$11, 100%, $F$11)</f>
        <v>7.84</v>
      </c>
      <c r="I246" s="8">
        <f>6.9278 * CHOOSE(CONTROL!$C$15, $D$11, 100%, $F$11)</f>
        <v>6.9278000000000004</v>
      </c>
      <c r="J246" s="4">
        <f>6.8301 * CHOOSE(CONTROL!$C$15, $D$11, 100%, $F$11)</f>
        <v>6.8300999999999998</v>
      </c>
      <c r="K246" s="4"/>
      <c r="L246" s="9">
        <v>26.469899999999999</v>
      </c>
      <c r="M246" s="9">
        <v>10.8962</v>
      </c>
      <c r="N246" s="9">
        <v>4.4660000000000002</v>
      </c>
      <c r="O246" s="9">
        <v>0.33789999999999998</v>
      </c>
      <c r="P246" s="9">
        <v>1.1676</v>
      </c>
      <c r="Q246" s="9">
        <v>27.738499999999998</v>
      </c>
      <c r="R246" s="9"/>
      <c r="S246" s="11"/>
    </row>
    <row r="247" spans="1:19" ht="15.75">
      <c r="A247" s="13">
        <v>49004</v>
      </c>
      <c r="B247" s="8">
        <f>6.9451 * CHOOSE(CONTROL!$C$15, $D$11, 100%, $F$11)</f>
        <v>6.9451000000000001</v>
      </c>
      <c r="C247" s="8">
        <f>6.9502 * CHOOSE(CONTROL!$C$15, $D$11, 100%, $F$11)</f>
        <v>6.9501999999999997</v>
      </c>
      <c r="D247" s="8">
        <f>6.9245 * CHOOSE( CONTROL!$C$15, $D$11, 100%, $F$11)</f>
        <v>6.9245000000000001</v>
      </c>
      <c r="E247" s="12">
        <f>6.9334 * CHOOSE( CONTROL!$C$15, $D$11, 100%, $F$11)</f>
        <v>6.9333999999999998</v>
      </c>
      <c r="F247" s="4">
        <f>7.5891 * CHOOSE(CONTROL!$C$15, $D$11, 100%, $F$11)</f>
        <v>7.5891000000000002</v>
      </c>
      <c r="G247" s="8">
        <f>6.8059 * CHOOSE( CONTROL!$C$15, $D$11, 100%, $F$11)</f>
        <v>6.8059000000000003</v>
      </c>
      <c r="H247" s="4">
        <f>7.6921 * CHOOSE(CONTROL!$C$15, $D$11, 100%, $F$11)</f>
        <v>7.6920999999999999</v>
      </c>
      <c r="I247" s="8">
        <f>6.7821 * CHOOSE(CONTROL!$C$15, $D$11, 100%, $F$11)</f>
        <v>6.7820999999999998</v>
      </c>
      <c r="J247" s="4">
        <f>6.6847 * CHOOSE(CONTROL!$C$15, $D$11, 100%, $F$11)</f>
        <v>6.6847000000000003</v>
      </c>
      <c r="K247" s="4"/>
      <c r="L247" s="9">
        <v>29.306000000000001</v>
      </c>
      <c r="M247" s="9">
        <v>12.063700000000001</v>
      </c>
      <c r="N247" s="9">
        <v>4.9444999999999997</v>
      </c>
      <c r="O247" s="9">
        <v>0.37409999999999999</v>
      </c>
      <c r="P247" s="9">
        <v>1.2927</v>
      </c>
      <c r="Q247" s="9">
        <v>30.7105</v>
      </c>
      <c r="R247" s="9"/>
      <c r="S247" s="11"/>
    </row>
    <row r="248" spans="1:19" ht="15.75">
      <c r="A248" s="13">
        <v>49035</v>
      </c>
      <c r="B248" s="8">
        <f>7.051 * CHOOSE(CONTROL!$C$15, $D$11, 100%, $F$11)</f>
        <v>7.0510000000000002</v>
      </c>
      <c r="C248" s="8">
        <f>7.0555 * CHOOSE(CONTROL!$C$15, $D$11, 100%, $F$11)</f>
        <v>7.0555000000000003</v>
      </c>
      <c r="D248" s="8">
        <f>7.0665 * CHOOSE( CONTROL!$C$15, $D$11, 100%, $F$11)</f>
        <v>7.0664999999999996</v>
      </c>
      <c r="E248" s="12">
        <f>7.0624 * CHOOSE( CONTROL!$C$15, $D$11, 100%, $F$11)</f>
        <v>7.0624000000000002</v>
      </c>
      <c r="F248" s="4">
        <f>7.7406 * CHOOSE(CONTROL!$C$15, $D$11, 100%, $F$11)</f>
        <v>7.7405999999999997</v>
      </c>
      <c r="G248" s="8">
        <f>6.9022 * CHOOSE( CONTROL!$C$15, $D$11, 100%, $F$11)</f>
        <v>6.9021999999999997</v>
      </c>
      <c r="H248" s="4">
        <f>7.841 * CHOOSE(CONTROL!$C$15, $D$11, 100%, $F$11)</f>
        <v>7.8410000000000002</v>
      </c>
      <c r="I248" s="8">
        <f>6.8788 * CHOOSE(CONTROL!$C$15, $D$11, 100%, $F$11)</f>
        <v>6.8788</v>
      </c>
      <c r="J248" s="4">
        <f>6.7863 * CHOOSE(CONTROL!$C$15, $D$11, 100%, $F$11)</f>
        <v>6.7862999999999998</v>
      </c>
      <c r="K248" s="4"/>
      <c r="L248" s="9">
        <v>30.092199999999998</v>
      </c>
      <c r="M248" s="9">
        <v>11.6745</v>
      </c>
      <c r="N248" s="9">
        <v>4.7850000000000001</v>
      </c>
      <c r="O248" s="9">
        <v>0.36199999999999999</v>
      </c>
      <c r="P248" s="9">
        <v>1.1791</v>
      </c>
      <c r="Q248" s="9">
        <v>29.719799999999999</v>
      </c>
      <c r="R248" s="9"/>
      <c r="S248" s="11"/>
    </row>
    <row r="249" spans="1:19" ht="15.75">
      <c r="A249" s="13">
        <v>49065</v>
      </c>
      <c r="B249" s="8">
        <f>CHOOSE( CONTROL!$C$32, 7.243, 7.2394) * CHOOSE(CONTROL!$C$15, $D$11, 100%, $F$11)</f>
        <v>7.2430000000000003</v>
      </c>
      <c r="C249" s="8">
        <f>CHOOSE( CONTROL!$C$32, 7.251, 7.2474) * CHOOSE(CONTROL!$C$15, $D$11, 100%, $F$11)</f>
        <v>7.2510000000000003</v>
      </c>
      <c r="D249" s="8">
        <f>CHOOSE( CONTROL!$C$32, 7.257, 7.2534) * CHOOSE( CONTROL!$C$15, $D$11, 100%, $F$11)</f>
        <v>7.2569999999999997</v>
      </c>
      <c r="E249" s="12">
        <f>CHOOSE( CONTROL!$C$32, 7.2536, 7.25) * CHOOSE( CONTROL!$C$15, $D$11, 100%, $F$11)</f>
        <v>7.2535999999999996</v>
      </c>
      <c r="F249" s="4">
        <f>CHOOSE( CONTROL!$C$32, 7.9312, 7.9277) * CHOOSE(CONTROL!$C$15, $D$11, 100%, $F$11)</f>
        <v>7.9311999999999996</v>
      </c>
      <c r="G249" s="8">
        <f>CHOOSE( CONTROL!$C$32, 7.0906, 7.0871) * CHOOSE( CONTROL!$C$15, $D$11, 100%, $F$11)</f>
        <v>7.0906000000000002</v>
      </c>
      <c r="H249" s="4">
        <f>CHOOSE( CONTROL!$C$32, 8.0285, 8.025) * CHOOSE(CONTROL!$C$15, $D$11, 100%, $F$11)</f>
        <v>8.0284999999999993</v>
      </c>
      <c r="I249" s="8">
        <f>CHOOSE( CONTROL!$C$32, 7.0641, 7.0606) * CHOOSE(CONTROL!$C$15, $D$11, 100%, $F$11)</f>
        <v>7.0640999999999998</v>
      </c>
      <c r="J249" s="4">
        <f>CHOOSE( CONTROL!$C$32, 6.9705, 6.9671) * CHOOSE(CONTROL!$C$15, $D$11, 100%, $F$11)</f>
        <v>6.9705000000000004</v>
      </c>
      <c r="K249" s="4"/>
      <c r="L249" s="9">
        <v>30.7165</v>
      </c>
      <c r="M249" s="9">
        <v>12.063700000000001</v>
      </c>
      <c r="N249" s="9">
        <v>4.9444999999999997</v>
      </c>
      <c r="O249" s="9">
        <v>0.37409999999999999</v>
      </c>
      <c r="P249" s="9">
        <v>1.2183999999999999</v>
      </c>
      <c r="Q249" s="9">
        <v>30.7105</v>
      </c>
      <c r="R249" s="9"/>
      <c r="S249" s="11"/>
    </row>
    <row r="250" spans="1:19" ht="15.75">
      <c r="A250" s="13">
        <v>49096</v>
      </c>
      <c r="B250" s="8">
        <f>CHOOSE( CONTROL!$C$32, 7.1271, 7.1235) * CHOOSE(CONTROL!$C$15, $D$11, 100%, $F$11)</f>
        <v>7.1271000000000004</v>
      </c>
      <c r="C250" s="8">
        <f>CHOOSE( CONTROL!$C$32, 7.1351, 7.1315) * CHOOSE(CONTROL!$C$15, $D$11, 100%, $F$11)</f>
        <v>7.1351000000000004</v>
      </c>
      <c r="D250" s="8">
        <f>CHOOSE( CONTROL!$C$32, 7.1414, 7.1378) * CHOOSE( CONTROL!$C$15, $D$11, 100%, $F$11)</f>
        <v>7.1414</v>
      </c>
      <c r="E250" s="12">
        <f>CHOOSE( CONTROL!$C$32, 7.1379, 7.1343) * CHOOSE( CONTROL!$C$15, $D$11, 100%, $F$11)</f>
        <v>7.1379000000000001</v>
      </c>
      <c r="F250" s="4">
        <f>CHOOSE( CONTROL!$C$32, 7.8154, 7.8118) * CHOOSE(CONTROL!$C$15, $D$11, 100%, $F$11)</f>
        <v>7.8154000000000003</v>
      </c>
      <c r="G250" s="8">
        <f>CHOOSE( CONTROL!$C$32, 6.9771, 6.9736) * CHOOSE( CONTROL!$C$15, $D$11, 100%, $F$11)</f>
        <v>6.9771000000000001</v>
      </c>
      <c r="H250" s="4">
        <f>CHOOSE( CONTROL!$C$32, 7.9145, 7.911) * CHOOSE(CONTROL!$C$15, $D$11, 100%, $F$11)</f>
        <v>7.9145000000000003</v>
      </c>
      <c r="I250" s="8">
        <f>CHOOSE( CONTROL!$C$32, 6.9533, 6.9499) * CHOOSE(CONTROL!$C$15, $D$11, 100%, $F$11)</f>
        <v>6.9532999999999996</v>
      </c>
      <c r="J250" s="4">
        <f>CHOOSE( CONTROL!$C$32, 6.8585, 6.8551) * CHOOSE(CONTROL!$C$15, $D$11, 100%, $F$11)</f>
        <v>6.8585000000000003</v>
      </c>
      <c r="K250" s="4"/>
      <c r="L250" s="9">
        <v>29.7257</v>
      </c>
      <c r="M250" s="9">
        <v>11.6745</v>
      </c>
      <c r="N250" s="9">
        <v>4.7850000000000001</v>
      </c>
      <c r="O250" s="9">
        <v>0.36199999999999999</v>
      </c>
      <c r="P250" s="9">
        <v>1.1791</v>
      </c>
      <c r="Q250" s="9">
        <v>29.719799999999999</v>
      </c>
      <c r="R250" s="9"/>
      <c r="S250" s="11"/>
    </row>
    <row r="251" spans="1:19" ht="15.75">
      <c r="A251" s="13">
        <v>49126</v>
      </c>
      <c r="B251" s="8">
        <f>CHOOSE( CONTROL!$C$32, 7.4322, 7.4287) * CHOOSE(CONTROL!$C$15, $D$11, 100%, $F$11)</f>
        <v>7.4321999999999999</v>
      </c>
      <c r="C251" s="8">
        <f>CHOOSE( CONTROL!$C$32, 7.4402, 7.4367) * CHOOSE(CONTROL!$C$15, $D$11, 100%, $F$11)</f>
        <v>7.4401999999999999</v>
      </c>
      <c r="D251" s="8">
        <f>CHOOSE( CONTROL!$C$32, 7.4468, 7.4433) * CHOOSE( CONTROL!$C$15, $D$11, 100%, $F$11)</f>
        <v>7.4467999999999996</v>
      </c>
      <c r="E251" s="12">
        <f>CHOOSE( CONTROL!$C$32, 7.4432, 7.4397) * CHOOSE( CONTROL!$C$15, $D$11, 100%, $F$11)</f>
        <v>7.4432</v>
      </c>
      <c r="F251" s="4">
        <f>CHOOSE( CONTROL!$C$32, 8.1205, 8.1169) * CHOOSE(CONTROL!$C$15, $D$11, 100%, $F$11)</f>
        <v>8.1204999999999998</v>
      </c>
      <c r="G251" s="8">
        <f>CHOOSE( CONTROL!$C$32, 7.2776, 7.2741) * CHOOSE( CONTROL!$C$15, $D$11, 100%, $F$11)</f>
        <v>7.2775999999999996</v>
      </c>
      <c r="H251" s="4">
        <f>CHOOSE( CONTROL!$C$32, 8.2146, 8.2111) * CHOOSE(CONTROL!$C$15, $D$11, 100%, $F$11)</f>
        <v>8.2146000000000008</v>
      </c>
      <c r="I251" s="8">
        <f>CHOOSE( CONTROL!$C$32, 7.2499, 7.2465) * CHOOSE(CONTROL!$C$15, $D$11, 100%, $F$11)</f>
        <v>7.2499000000000002</v>
      </c>
      <c r="J251" s="4">
        <f>CHOOSE( CONTROL!$C$32, 7.1535, 7.15) * CHOOSE(CONTROL!$C$15, $D$11, 100%, $F$11)</f>
        <v>7.1535000000000002</v>
      </c>
      <c r="K251" s="4"/>
      <c r="L251" s="9">
        <v>30.7165</v>
      </c>
      <c r="M251" s="9">
        <v>12.063700000000001</v>
      </c>
      <c r="N251" s="9">
        <v>4.9444999999999997</v>
      </c>
      <c r="O251" s="9">
        <v>0.37409999999999999</v>
      </c>
      <c r="P251" s="9">
        <v>1.2183999999999999</v>
      </c>
      <c r="Q251" s="9">
        <v>30.7105</v>
      </c>
      <c r="R251" s="9"/>
      <c r="S251" s="11"/>
    </row>
    <row r="252" spans="1:19" ht="15.75">
      <c r="A252" s="13">
        <v>49157</v>
      </c>
      <c r="B252" s="8">
        <f>CHOOSE( CONTROL!$C$32, 6.8613, 6.8577) * CHOOSE(CONTROL!$C$15, $D$11, 100%, $F$11)</f>
        <v>6.8613</v>
      </c>
      <c r="C252" s="8">
        <f>CHOOSE( CONTROL!$C$32, 6.8693, 6.8657) * CHOOSE(CONTROL!$C$15, $D$11, 100%, $F$11)</f>
        <v>6.8693</v>
      </c>
      <c r="D252" s="8">
        <f>CHOOSE( CONTROL!$C$32, 6.876, 6.8724) * CHOOSE( CONTROL!$C$15, $D$11, 100%, $F$11)</f>
        <v>6.8760000000000003</v>
      </c>
      <c r="E252" s="12">
        <f>CHOOSE( CONTROL!$C$32, 6.8724, 6.8688) * CHOOSE( CONTROL!$C$15, $D$11, 100%, $F$11)</f>
        <v>6.8723999999999998</v>
      </c>
      <c r="F252" s="4">
        <f>CHOOSE( CONTROL!$C$32, 7.5495, 7.546) * CHOOSE(CONTROL!$C$15, $D$11, 100%, $F$11)</f>
        <v>7.5495000000000001</v>
      </c>
      <c r="G252" s="8">
        <f>CHOOSE( CONTROL!$C$32, 6.7163, 6.7128) * CHOOSE( CONTROL!$C$15, $D$11, 100%, $F$11)</f>
        <v>6.7163000000000004</v>
      </c>
      <c r="H252" s="4">
        <f>CHOOSE( CONTROL!$C$32, 7.6531, 7.6496) * CHOOSE(CONTROL!$C$15, $D$11, 100%, $F$11)</f>
        <v>7.6531000000000002</v>
      </c>
      <c r="I252" s="8">
        <f>CHOOSE( CONTROL!$C$32, 6.6982, 6.6947) * CHOOSE(CONTROL!$C$15, $D$11, 100%, $F$11)</f>
        <v>6.6981999999999999</v>
      </c>
      <c r="J252" s="4">
        <f>CHOOSE( CONTROL!$C$32, 6.6016, 6.5981) * CHOOSE(CONTROL!$C$15, $D$11, 100%, $F$11)</f>
        <v>6.6016000000000004</v>
      </c>
      <c r="K252" s="4"/>
      <c r="L252" s="9">
        <v>30.7165</v>
      </c>
      <c r="M252" s="9">
        <v>12.063700000000001</v>
      </c>
      <c r="N252" s="9">
        <v>4.9444999999999997</v>
      </c>
      <c r="O252" s="9">
        <v>0.37409999999999999</v>
      </c>
      <c r="P252" s="9">
        <v>1.2183999999999999</v>
      </c>
      <c r="Q252" s="9">
        <v>30.7105</v>
      </c>
      <c r="R252" s="9"/>
      <c r="S252" s="11"/>
    </row>
    <row r="253" spans="1:19" ht="15.75">
      <c r="A253" s="13">
        <v>49188</v>
      </c>
      <c r="B253" s="8">
        <f>CHOOSE( CONTROL!$C$32, 6.7183, 6.7147) * CHOOSE(CONTROL!$C$15, $D$11, 100%, $F$11)</f>
        <v>6.7183000000000002</v>
      </c>
      <c r="C253" s="8">
        <f>CHOOSE( CONTROL!$C$32, 6.7263, 6.7228) * CHOOSE(CONTROL!$C$15, $D$11, 100%, $F$11)</f>
        <v>6.7263000000000002</v>
      </c>
      <c r="D253" s="8">
        <f>CHOOSE( CONTROL!$C$32, 6.733, 6.7294) * CHOOSE( CONTROL!$C$15, $D$11, 100%, $F$11)</f>
        <v>6.7329999999999997</v>
      </c>
      <c r="E253" s="12">
        <f>CHOOSE( CONTROL!$C$32, 6.7294, 6.7258) * CHOOSE( CONTROL!$C$15, $D$11, 100%, $F$11)</f>
        <v>6.7294</v>
      </c>
      <c r="F253" s="4">
        <f>CHOOSE( CONTROL!$C$32, 7.4066, 7.403) * CHOOSE(CONTROL!$C$15, $D$11, 100%, $F$11)</f>
        <v>7.4066000000000001</v>
      </c>
      <c r="G253" s="8">
        <f>CHOOSE( CONTROL!$C$32, 6.5757, 6.5722) * CHOOSE( CONTROL!$C$15, $D$11, 100%, $F$11)</f>
        <v>6.5757000000000003</v>
      </c>
      <c r="H253" s="4">
        <f>CHOOSE( CONTROL!$C$32, 7.5125, 7.509) * CHOOSE(CONTROL!$C$15, $D$11, 100%, $F$11)</f>
        <v>7.5125000000000002</v>
      </c>
      <c r="I253" s="8">
        <f>CHOOSE( CONTROL!$C$32, 6.5599, 6.5564) * CHOOSE(CONTROL!$C$15, $D$11, 100%, $F$11)</f>
        <v>6.5598999999999998</v>
      </c>
      <c r="J253" s="4">
        <f>CHOOSE( CONTROL!$C$32, 6.4634, 6.4599) * CHOOSE(CONTROL!$C$15, $D$11, 100%, $F$11)</f>
        <v>6.4634</v>
      </c>
      <c r="K253" s="4"/>
      <c r="L253" s="9">
        <v>29.7257</v>
      </c>
      <c r="M253" s="9">
        <v>11.6745</v>
      </c>
      <c r="N253" s="9">
        <v>4.7850000000000001</v>
      </c>
      <c r="O253" s="9">
        <v>0.36199999999999999</v>
      </c>
      <c r="P253" s="9">
        <v>1.1791</v>
      </c>
      <c r="Q253" s="9">
        <v>29.719799999999999</v>
      </c>
      <c r="R253" s="9"/>
      <c r="S253" s="11"/>
    </row>
    <row r="254" spans="1:19" ht="15.75">
      <c r="A254" s="13">
        <v>49218</v>
      </c>
      <c r="B254" s="8">
        <f>7.0099 * CHOOSE(CONTROL!$C$15, $D$11, 100%, $F$11)</f>
        <v>7.0099</v>
      </c>
      <c r="C254" s="8">
        <f>7.0152 * CHOOSE(CONTROL!$C$15, $D$11, 100%, $F$11)</f>
        <v>7.0152000000000001</v>
      </c>
      <c r="D254" s="8">
        <f>7.0268 * CHOOSE( CONTROL!$C$15, $D$11, 100%, $F$11)</f>
        <v>7.0267999999999997</v>
      </c>
      <c r="E254" s="12">
        <f>7.0224 * CHOOSE( CONTROL!$C$15, $D$11, 100%, $F$11)</f>
        <v>7.0224000000000002</v>
      </c>
      <c r="F254" s="4">
        <f>7.6999 * CHOOSE(CONTROL!$C$15, $D$11, 100%, $F$11)</f>
        <v>7.6999000000000004</v>
      </c>
      <c r="G254" s="8">
        <f>6.8636 * CHOOSE( CONTROL!$C$15, $D$11, 100%, $F$11)</f>
        <v>6.8635999999999999</v>
      </c>
      <c r="H254" s="4">
        <f>7.801 * CHOOSE(CONTROL!$C$15, $D$11, 100%, $F$11)</f>
        <v>7.8010000000000002</v>
      </c>
      <c r="I254" s="8">
        <f>6.8443 * CHOOSE(CONTROL!$C$15, $D$11, 100%, $F$11)</f>
        <v>6.8442999999999996</v>
      </c>
      <c r="J254" s="4">
        <f>6.7469 * CHOOSE(CONTROL!$C$15, $D$11, 100%, $F$11)</f>
        <v>6.7469000000000001</v>
      </c>
      <c r="K254" s="4"/>
      <c r="L254" s="9">
        <v>31.095300000000002</v>
      </c>
      <c r="M254" s="9">
        <v>12.063700000000001</v>
      </c>
      <c r="N254" s="9">
        <v>4.9444999999999997</v>
      </c>
      <c r="O254" s="9">
        <v>0.37409999999999999</v>
      </c>
      <c r="P254" s="9">
        <v>1.2183999999999999</v>
      </c>
      <c r="Q254" s="9">
        <v>30.7105</v>
      </c>
      <c r="R254" s="9"/>
      <c r="S254" s="11"/>
    </row>
    <row r="255" spans="1:19" ht="15.75">
      <c r="A255" s="13">
        <v>49249</v>
      </c>
      <c r="B255" s="8">
        <f>7.5574 * CHOOSE(CONTROL!$C$15, $D$11, 100%, $F$11)</f>
        <v>7.5574000000000003</v>
      </c>
      <c r="C255" s="8">
        <f>7.5625 * CHOOSE(CONTROL!$C$15, $D$11, 100%, $F$11)</f>
        <v>7.5625</v>
      </c>
      <c r="D255" s="8">
        <f>7.5395 * CHOOSE( CONTROL!$C$15, $D$11, 100%, $F$11)</f>
        <v>7.5395000000000003</v>
      </c>
      <c r="E255" s="12">
        <f>7.5474 * CHOOSE( CONTROL!$C$15, $D$11, 100%, $F$11)</f>
        <v>7.5473999999999997</v>
      </c>
      <c r="F255" s="4">
        <f>8.2023 * CHOOSE(CONTROL!$C$15, $D$11, 100%, $F$11)</f>
        <v>8.2022999999999993</v>
      </c>
      <c r="G255" s="8">
        <f>7.4132 * CHOOSE( CONTROL!$C$15, $D$11, 100%, $F$11)</f>
        <v>7.4131999999999998</v>
      </c>
      <c r="H255" s="4">
        <f>8.295 * CHOOSE(CONTROL!$C$15, $D$11, 100%, $F$11)</f>
        <v>8.2949999999999999</v>
      </c>
      <c r="I255" s="8">
        <f>7.3989 * CHOOSE(CONTROL!$C$15, $D$11, 100%, $F$11)</f>
        <v>7.3989000000000003</v>
      </c>
      <c r="J255" s="4">
        <f>7.2766 * CHOOSE(CONTROL!$C$15, $D$11, 100%, $F$11)</f>
        <v>7.2766000000000002</v>
      </c>
      <c r="K255" s="4"/>
      <c r="L255" s="9">
        <v>28.360600000000002</v>
      </c>
      <c r="M255" s="9">
        <v>11.6745</v>
      </c>
      <c r="N255" s="9">
        <v>4.7850000000000001</v>
      </c>
      <c r="O255" s="9">
        <v>0.36199999999999999</v>
      </c>
      <c r="P255" s="9">
        <v>1.2509999999999999</v>
      </c>
      <c r="Q255" s="9">
        <v>29.719799999999999</v>
      </c>
      <c r="R255" s="9"/>
      <c r="S255" s="11"/>
    </row>
    <row r="256" spans="1:19" ht="15.75">
      <c r="A256" s="13">
        <v>49279</v>
      </c>
      <c r="B256" s="8">
        <f>7.5437 * CHOOSE(CONTROL!$C$15, $D$11, 100%, $F$11)</f>
        <v>7.5437000000000003</v>
      </c>
      <c r="C256" s="8">
        <f>7.5488 * CHOOSE(CONTROL!$C$15, $D$11, 100%, $F$11)</f>
        <v>7.5488</v>
      </c>
      <c r="D256" s="8">
        <f>7.5271 * CHOOSE( CONTROL!$C$15, $D$11, 100%, $F$11)</f>
        <v>7.5270999999999999</v>
      </c>
      <c r="E256" s="12">
        <f>7.5345 * CHOOSE( CONTROL!$C$15, $D$11, 100%, $F$11)</f>
        <v>7.5345000000000004</v>
      </c>
      <c r="F256" s="4">
        <f>8.1886 * CHOOSE(CONTROL!$C$15, $D$11, 100%, $F$11)</f>
        <v>8.1885999999999992</v>
      </c>
      <c r="G256" s="8">
        <f>7.4008 * CHOOSE( CONTROL!$C$15, $D$11, 100%, $F$11)</f>
        <v>7.4008000000000003</v>
      </c>
      <c r="H256" s="4">
        <f>8.2816 * CHOOSE(CONTROL!$C$15, $D$11, 100%, $F$11)</f>
        <v>8.2815999999999992</v>
      </c>
      <c r="I256" s="8">
        <f>7.39 * CHOOSE(CONTROL!$C$15, $D$11, 100%, $F$11)</f>
        <v>7.39</v>
      </c>
      <c r="J256" s="4">
        <f>7.2633 * CHOOSE(CONTROL!$C$15, $D$11, 100%, $F$11)</f>
        <v>7.2633000000000001</v>
      </c>
      <c r="K256" s="4"/>
      <c r="L256" s="9">
        <v>29.306000000000001</v>
      </c>
      <c r="M256" s="9">
        <v>12.063700000000001</v>
      </c>
      <c r="N256" s="9">
        <v>4.9444999999999997</v>
      </c>
      <c r="O256" s="9">
        <v>0.37409999999999999</v>
      </c>
      <c r="P256" s="9">
        <v>1.2927</v>
      </c>
      <c r="Q256" s="9">
        <v>30.7105</v>
      </c>
      <c r="R256" s="9"/>
      <c r="S256" s="11"/>
    </row>
    <row r="257" spans="1:19" ht="15.75">
      <c r="A257" s="13">
        <v>49310</v>
      </c>
      <c r="B257" s="8">
        <f>7.7369 * CHOOSE(CONTROL!$C$15, $D$11, 100%, $F$11)</f>
        <v>7.7369000000000003</v>
      </c>
      <c r="C257" s="8">
        <f>7.742 * CHOOSE(CONTROL!$C$15, $D$11, 100%, $F$11)</f>
        <v>7.742</v>
      </c>
      <c r="D257" s="8">
        <f>7.7162 * CHOOSE( CONTROL!$C$15, $D$11, 100%, $F$11)</f>
        <v>7.7161999999999997</v>
      </c>
      <c r="E257" s="12">
        <f>7.7251 * CHOOSE( CONTROL!$C$15, $D$11, 100%, $F$11)</f>
        <v>7.7251000000000003</v>
      </c>
      <c r="F257" s="4">
        <f>8.3809 * CHOOSE(CONTROL!$C$15, $D$11, 100%, $F$11)</f>
        <v>8.3809000000000005</v>
      </c>
      <c r="G257" s="8">
        <f>7.5845 * CHOOSE( CONTROL!$C$15, $D$11, 100%, $F$11)</f>
        <v>7.5845000000000002</v>
      </c>
      <c r="H257" s="4">
        <f>8.4707 * CHOOSE(CONTROL!$C$15, $D$11, 100%, $F$11)</f>
        <v>8.4707000000000008</v>
      </c>
      <c r="I257" s="8">
        <f>7.5474 * CHOOSE(CONTROL!$C$15, $D$11, 100%, $F$11)</f>
        <v>7.5473999999999997</v>
      </c>
      <c r="J257" s="4">
        <f>7.4501 * CHOOSE(CONTROL!$C$15, $D$11, 100%, $F$11)</f>
        <v>7.4500999999999999</v>
      </c>
      <c r="K257" s="4"/>
      <c r="L257" s="9">
        <v>29.306000000000001</v>
      </c>
      <c r="M257" s="9">
        <v>12.063700000000001</v>
      </c>
      <c r="N257" s="9">
        <v>4.9444999999999997</v>
      </c>
      <c r="O257" s="9">
        <v>0.37409999999999999</v>
      </c>
      <c r="P257" s="9">
        <v>1.2927</v>
      </c>
      <c r="Q257" s="9">
        <v>30.645399999999999</v>
      </c>
      <c r="R257" s="9"/>
      <c r="S257" s="11"/>
    </row>
    <row r="258" spans="1:19" ht="15.75">
      <c r="A258" s="13">
        <v>49341</v>
      </c>
      <c r="B258" s="8">
        <f>7.2387 * CHOOSE(CONTROL!$C$15, $D$11, 100%, $F$11)</f>
        <v>7.2386999999999997</v>
      </c>
      <c r="C258" s="8">
        <f>7.2438 * CHOOSE(CONTROL!$C$15, $D$11, 100%, $F$11)</f>
        <v>7.2438000000000002</v>
      </c>
      <c r="D258" s="8">
        <f>7.2182 * CHOOSE( CONTROL!$C$15, $D$11, 100%, $F$11)</f>
        <v>7.2182000000000004</v>
      </c>
      <c r="E258" s="12">
        <f>7.227 * CHOOSE( CONTROL!$C$15, $D$11, 100%, $F$11)</f>
        <v>7.2270000000000003</v>
      </c>
      <c r="F258" s="4">
        <f>7.8827 * CHOOSE(CONTROL!$C$15, $D$11, 100%, $F$11)</f>
        <v>7.8826999999999998</v>
      </c>
      <c r="G258" s="8">
        <f>7.0947 * CHOOSE( CONTROL!$C$15, $D$11, 100%, $F$11)</f>
        <v>7.0946999999999996</v>
      </c>
      <c r="H258" s="4">
        <f>7.9807 * CHOOSE(CONTROL!$C$15, $D$11, 100%, $F$11)</f>
        <v>7.9806999999999997</v>
      </c>
      <c r="I258" s="8">
        <f>7.0663 * CHOOSE(CONTROL!$C$15, $D$11, 100%, $F$11)</f>
        <v>7.0663</v>
      </c>
      <c r="J258" s="4">
        <f>6.9684 * CHOOSE(CONTROL!$C$15, $D$11, 100%, $F$11)</f>
        <v>6.9683999999999999</v>
      </c>
      <c r="K258" s="4"/>
      <c r="L258" s="9">
        <v>26.469899999999999</v>
      </c>
      <c r="M258" s="9">
        <v>10.8962</v>
      </c>
      <c r="N258" s="9">
        <v>4.4660000000000002</v>
      </c>
      <c r="O258" s="9">
        <v>0.33789999999999998</v>
      </c>
      <c r="P258" s="9">
        <v>1.1676</v>
      </c>
      <c r="Q258" s="9">
        <v>27.6797</v>
      </c>
      <c r="R258" s="9"/>
      <c r="S258" s="11"/>
    </row>
    <row r="259" spans="1:19" ht="15.75">
      <c r="A259" s="13">
        <v>49369</v>
      </c>
      <c r="B259" s="8">
        <f>7.0852 * CHOOSE(CONTROL!$C$15, $D$11, 100%, $F$11)</f>
        <v>7.0852000000000004</v>
      </c>
      <c r="C259" s="8">
        <f>7.0903 * CHOOSE(CONTROL!$C$15, $D$11, 100%, $F$11)</f>
        <v>7.0903</v>
      </c>
      <c r="D259" s="8">
        <f>7.0646 * CHOOSE( CONTROL!$C$15, $D$11, 100%, $F$11)</f>
        <v>7.0646000000000004</v>
      </c>
      <c r="E259" s="12">
        <f>7.0735 * CHOOSE( CONTROL!$C$15, $D$11, 100%, $F$11)</f>
        <v>7.0735000000000001</v>
      </c>
      <c r="F259" s="4">
        <f>7.7292 * CHOOSE(CONTROL!$C$15, $D$11, 100%, $F$11)</f>
        <v>7.7291999999999996</v>
      </c>
      <c r="G259" s="8">
        <f>6.9437 * CHOOSE( CONTROL!$C$15, $D$11, 100%, $F$11)</f>
        <v>6.9436999999999998</v>
      </c>
      <c r="H259" s="4">
        <f>7.8298 * CHOOSE(CONTROL!$C$15, $D$11, 100%, $F$11)</f>
        <v>7.8297999999999996</v>
      </c>
      <c r="I259" s="8">
        <f>6.9176 * CHOOSE(CONTROL!$C$15, $D$11, 100%, $F$11)</f>
        <v>6.9176000000000002</v>
      </c>
      <c r="J259" s="4">
        <f>6.8201 * CHOOSE(CONTROL!$C$15, $D$11, 100%, $F$11)</f>
        <v>6.8201000000000001</v>
      </c>
      <c r="K259" s="4"/>
      <c r="L259" s="9">
        <v>29.306000000000001</v>
      </c>
      <c r="M259" s="9">
        <v>12.063700000000001</v>
      </c>
      <c r="N259" s="9">
        <v>4.9444999999999997</v>
      </c>
      <c r="O259" s="9">
        <v>0.37409999999999999</v>
      </c>
      <c r="P259" s="9">
        <v>1.2927</v>
      </c>
      <c r="Q259" s="9">
        <v>30.645399999999999</v>
      </c>
      <c r="R259" s="9"/>
      <c r="S259" s="11"/>
    </row>
    <row r="260" spans="1:19" ht="15.75">
      <c r="A260" s="13">
        <v>49400</v>
      </c>
      <c r="B260" s="8">
        <f>7.1932 * CHOOSE(CONTROL!$C$15, $D$11, 100%, $F$11)</f>
        <v>7.1932</v>
      </c>
      <c r="C260" s="8">
        <f>7.1977 * CHOOSE(CONTROL!$C$15, $D$11, 100%, $F$11)</f>
        <v>7.1977000000000002</v>
      </c>
      <c r="D260" s="8">
        <f>7.2088 * CHOOSE( CONTROL!$C$15, $D$11, 100%, $F$11)</f>
        <v>7.2088000000000001</v>
      </c>
      <c r="E260" s="12">
        <f>7.2046 * CHOOSE( CONTROL!$C$15, $D$11, 100%, $F$11)</f>
        <v>7.2046000000000001</v>
      </c>
      <c r="F260" s="4">
        <f>7.8828 * CHOOSE(CONTROL!$C$15, $D$11, 100%, $F$11)</f>
        <v>7.8827999999999996</v>
      </c>
      <c r="G260" s="8">
        <f>7.042 * CHOOSE( CONTROL!$C$15, $D$11, 100%, $F$11)</f>
        <v>7.0419999999999998</v>
      </c>
      <c r="H260" s="4">
        <f>7.9809 * CHOOSE(CONTROL!$C$15, $D$11, 100%, $F$11)</f>
        <v>7.9809000000000001</v>
      </c>
      <c r="I260" s="8">
        <f>7.0164 * CHOOSE(CONTROL!$C$15, $D$11, 100%, $F$11)</f>
        <v>7.0164</v>
      </c>
      <c r="J260" s="4">
        <f>6.9238 * CHOOSE(CONTROL!$C$15, $D$11, 100%, $F$11)</f>
        <v>6.9238</v>
      </c>
      <c r="K260" s="4"/>
      <c r="L260" s="9">
        <v>30.092199999999998</v>
      </c>
      <c r="M260" s="9">
        <v>11.6745</v>
      </c>
      <c r="N260" s="9">
        <v>4.7850000000000001</v>
      </c>
      <c r="O260" s="9">
        <v>0.36199999999999999</v>
      </c>
      <c r="P260" s="9">
        <v>1.1791</v>
      </c>
      <c r="Q260" s="9">
        <v>29.6568</v>
      </c>
      <c r="R260" s="9"/>
      <c r="S260" s="11"/>
    </row>
    <row r="261" spans="1:19" ht="15.75">
      <c r="A261" s="13">
        <v>49430</v>
      </c>
      <c r="B261" s="8">
        <f>CHOOSE( CONTROL!$C$32, 7.389, 7.3854) * CHOOSE(CONTROL!$C$15, $D$11, 100%, $F$11)</f>
        <v>7.3890000000000002</v>
      </c>
      <c r="C261" s="8">
        <f>CHOOSE( CONTROL!$C$32, 7.397, 7.3934) * CHOOSE(CONTROL!$C$15, $D$11, 100%, $F$11)</f>
        <v>7.3970000000000002</v>
      </c>
      <c r="D261" s="8">
        <f>CHOOSE( CONTROL!$C$32, 7.403, 7.3994) * CHOOSE( CONTROL!$C$15, $D$11, 100%, $F$11)</f>
        <v>7.4029999999999996</v>
      </c>
      <c r="E261" s="12">
        <f>CHOOSE( CONTROL!$C$32, 7.3996, 7.396) * CHOOSE( CONTROL!$C$15, $D$11, 100%, $F$11)</f>
        <v>7.3996000000000004</v>
      </c>
      <c r="F261" s="4">
        <f>CHOOSE( CONTROL!$C$32, 8.0772, 8.0737) * CHOOSE(CONTROL!$C$15, $D$11, 100%, $F$11)</f>
        <v>8.0771999999999995</v>
      </c>
      <c r="G261" s="8">
        <f>CHOOSE( CONTROL!$C$32, 7.2342, 7.2307) * CHOOSE( CONTROL!$C$15, $D$11, 100%, $F$11)</f>
        <v>7.2342000000000004</v>
      </c>
      <c r="H261" s="4">
        <f>CHOOSE( CONTROL!$C$32, 8.1721, 8.1686) * CHOOSE(CONTROL!$C$15, $D$11, 100%, $F$11)</f>
        <v>8.1721000000000004</v>
      </c>
      <c r="I261" s="8">
        <f>CHOOSE( CONTROL!$C$32, 7.2053, 7.2018) * CHOOSE(CONTROL!$C$15, $D$11, 100%, $F$11)</f>
        <v>7.2053000000000003</v>
      </c>
      <c r="J261" s="4">
        <f>CHOOSE( CONTROL!$C$32, 7.1117, 7.1082) * CHOOSE(CONTROL!$C$15, $D$11, 100%, $F$11)</f>
        <v>7.1116999999999999</v>
      </c>
      <c r="K261" s="4"/>
      <c r="L261" s="9">
        <v>30.7165</v>
      </c>
      <c r="M261" s="9">
        <v>12.063700000000001</v>
      </c>
      <c r="N261" s="9">
        <v>4.9444999999999997</v>
      </c>
      <c r="O261" s="9">
        <v>0.37409999999999999</v>
      </c>
      <c r="P261" s="9">
        <v>1.2183999999999999</v>
      </c>
      <c r="Q261" s="9">
        <v>30.645399999999999</v>
      </c>
      <c r="R261" s="9"/>
      <c r="S261" s="11"/>
    </row>
    <row r="262" spans="1:19" ht="15.75">
      <c r="A262" s="14">
        <v>49461</v>
      </c>
      <c r="B262" s="8">
        <f>CHOOSE( CONTROL!$C$32, 7.2708, 7.2672) * CHOOSE(CONTROL!$C$15, $D$11, 100%, $F$11)</f>
        <v>7.2708000000000004</v>
      </c>
      <c r="C262" s="8">
        <f>CHOOSE( CONTROL!$C$32, 7.2788, 7.2752) * CHOOSE(CONTROL!$C$15, $D$11, 100%, $F$11)</f>
        <v>7.2788000000000004</v>
      </c>
      <c r="D262" s="8">
        <f>CHOOSE( CONTROL!$C$32, 7.2851, 7.2815) * CHOOSE( CONTROL!$C$15, $D$11, 100%, $F$11)</f>
        <v>7.2850999999999999</v>
      </c>
      <c r="E262" s="12">
        <f>CHOOSE( CONTROL!$C$32, 7.2816, 7.278) * CHOOSE( CONTROL!$C$15, $D$11, 100%, $F$11)</f>
        <v>7.2816000000000001</v>
      </c>
      <c r="F262" s="4">
        <f>CHOOSE( CONTROL!$C$32, 7.959, 7.9555) * CHOOSE(CONTROL!$C$15, $D$11, 100%, $F$11)</f>
        <v>7.9589999999999996</v>
      </c>
      <c r="G262" s="8">
        <f>CHOOSE( CONTROL!$C$32, 7.1184, 7.1149) * CHOOSE( CONTROL!$C$15, $D$11, 100%, $F$11)</f>
        <v>7.1184000000000003</v>
      </c>
      <c r="H262" s="4">
        <f>CHOOSE( CONTROL!$C$32, 8.0558, 8.0523) * CHOOSE(CONTROL!$C$15, $D$11, 100%, $F$11)</f>
        <v>8.0557999999999996</v>
      </c>
      <c r="I262" s="8">
        <f>CHOOSE( CONTROL!$C$32, 7.0923, 7.0888) * CHOOSE(CONTROL!$C$15, $D$11, 100%, $F$11)</f>
        <v>7.0922999999999998</v>
      </c>
      <c r="J262" s="4">
        <f>CHOOSE( CONTROL!$C$32, 6.9974, 6.994) * CHOOSE(CONTROL!$C$15, $D$11, 100%, $F$11)</f>
        <v>6.9973999999999998</v>
      </c>
      <c r="K262" s="4"/>
      <c r="L262" s="9">
        <v>29.7257</v>
      </c>
      <c r="M262" s="9">
        <v>11.6745</v>
      </c>
      <c r="N262" s="9">
        <v>4.7850000000000001</v>
      </c>
      <c r="O262" s="9">
        <v>0.36199999999999999</v>
      </c>
      <c r="P262" s="9">
        <v>1.1791</v>
      </c>
      <c r="Q262" s="9">
        <v>29.6568</v>
      </c>
      <c r="R262" s="9"/>
      <c r="S262" s="11"/>
    </row>
    <row r="263" spans="1:19" ht="15.75">
      <c r="A263" s="14">
        <v>49491</v>
      </c>
      <c r="B263" s="8">
        <f>CHOOSE( CONTROL!$C$32, 7.5821, 7.5785) * CHOOSE(CONTROL!$C$15, $D$11, 100%, $F$11)</f>
        <v>7.5820999999999996</v>
      </c>
      <c r="C263" s="8">
        <f>CHOOSE( CONTROL!$C$32, 7.5901, 7.5865) * CHOOSE(CONTROL!$C$15, $D$11, 100%, $F$11)</f>
        <v>7.5900999999999996</v>
      </c>
      <c r="D263" s="8">
        <f>CHOOSE( CONTROL!$C$32, 7.5967, 7.5931) * CHOOSE( CONTROL!$C$15, $D$11, 100%, $F$11)</f>
        <v>7.5967000000000002</v>
      </c>
      <c r="E263" s="12">
        <f>CHOOSE( CONTROL!$C$32, 7.5931, 7.5895) * CHOOSE( CONTROL!$C$15, $D$11, 100%, $F$11)</f>
        <v>7.5930999999999997</v>
      </c>
      <c r="F263" s="4">
        <f>CHOOSE( CONTROL!$C$32, 8.2703, 8.2668) * CHOOSE(CONTROL!$C$15, $D$11, 100%, $F$11)</f>
        <v>8.2703000000000007</v>
      </c>
      <c r="G263" s="8">
        <f>CHOOSE( CONTROL!$C$32, 7.425, 7.4215) * CHOOSE( CONTROL!$C$15, $D$11, 100%, $F$11)</f>
        <v>7.4249999999999998</v>
      </c>
      <c r="H263" s="4">
        <f>CHOOSE( CONTROL!$C$32, 8.362, 8.3585) * CHOOSE(CONTROL!$C$15, $D$11, 100%, $F$11)</f>
        <v>8.3620000000000001</v>
      </c>
      <c r="I263" s="8">
        <f>CHOOSE( CONTROL!$C$32, 7.3949, 7.3914) * CHOOSE(CONTROL!$C$15, $D$11, 100%, $F$11)</f>
        <v>7.3948999999999998</v>
      </c>
      <c r="J263" s="4">
        <f>CHOOSE( CONTROL!$C$32, 7.2984, 7.2949) * CHOOSE(CONTROL!$C$15, $D$11, 100%, $F$11)</f>
        <v>7.2984</v>
      </c>
      <c r="K263" s="4"/>
      <c r="L263" s="9">
        <v>30.7165</v>
      </c>
      <c r="M263" s="9">
        <v>12.063700000000001</v>
      </c>
      <c r="N263" s="9">
        <v>4.9444999999999997</v>
      </c>
      <c r="O263" s="9">
        <v>0.37409999999999999</v>
      </c>
      <c r="P263" s="9">
        <v>1.2183999999999999</v>
      </c>
      <c r="Q263" s="9">
        <v>30.645399999999999</v>
      </c>
      <c r="R263" s="9"/>
      <c r="S263" s="11"/>
    </row>
    <row r="264" spans="1:19" ht="15.75">
      <c r="A264" s="14">
        <v>49522</v>
      </c>
      <c r="B264" s="8">
        <f>CHOOSE( CONTROL!$C$32, 6.9996, 6.996) * CHOOSE(CONTROL!$C$15, $D$11, 100%, $F$11)</f>
        <v>6.9996</v>
      </c>
      <c r="C264" s="8">
        <f>CHOOSE( CONTROL!$C$32, 7.0076, 7.004) * CHOOSE(CONTROL!$C$15, $D$11, 100%, $F$11)</f>
        <v>7.0076000000000001</v>
      </c>
      <c r="D264" s="8">
        <f>CHOOSE( CONTROL!$C$32, 7.0143, 7.0107) * CHOOSE( CONTROL!$C$15, $D$11, 100%, $F$11)</f>
        <v>7.0143000000000004</v>
      </c>
      <c r="E264" s="12">
        <f>CHOOSE( CONTROL!$C$32, 7.0107, 7.0071) * CHOOSE( CONTROL!$C$15, $D$11, 100%, $F$11)</f>
        <v>7.0106999999999999</v>
      </c>
      <c r="F264" s="4">
        <f>CHOOSE( CONTROL!$C$32, 7.6878, 7.6843) * CHOOSE(CONTROL!$C$15, $D$11, 100%, $F$11)</f>
        <v>7.6878000000000002</v>
      </c>
      <c r="G264" s="8">
        <f>CHOOSE( CONTROL!$C$32, 6.8523, 6.8488) * CHOOSE( CONTROL!$C$15, $D$11, 100%, $F$11)</f>
        <v>6.8522999999999996</v>
      </c>
      <c r="H264" s="4">
        <f>CHOOSE( CONTROL!$C$32, 7.7891, 7.7856) * CHOOSE(CONTROL!$C$15, $D$11, 100%, $F$11)</f>
        <v>7.7891000000000004</v>
      </c>
      <c r="I264" s="8">
        <f>CHOOSE( CONTROL!$C$32, 6.8319, 6.8285) * CHOOSE(CONTROL!$C$15, $D$11, 100%, $F$11)</f>
        <v>6.8319000000000001</v>
      </c>
      <c r="J264" s="4">
        <f>CHOOSE( CONTROL!$C$32, 6.7352, 6.7318) * CHOOSE(CONTROL!$C$15, $D$11, 100%, $F$11)</f>
        <v>6.7351999999999999</v>
      </c>
      <c r="K264" s="4"/>
      <c r="L264" s="9">
        <v>30.7165</v>
      </c>
      <c r="M264" s="9">
        <v>12.063700000000001</v>
      </c>
      <c r="N264" s="9">
        <v>4.9444999999999997</v>
      </c>
      <c r="O264" s="9">
        <v>0.37409999999999999</v>
      </c>
      <c r="P264" s="9">
        <v>1.2183999999999999</v>
      </c>
      <c r="Q264" s="9">
        <v>30.645399999999999</v>
      </c>
      <c r="R264" s="9"/>
      <c r="S264" s="11"/>
    </row>
    <row r="265" spans="1:19" ht="15.75">
      <c r="A265" s="14">
        <v>49553</v>
      </c>
      <c r="B265" s="8">
        <f>CHOOSE( CONTROL!$C$32, 6.8537, 6.8501) * CHOOSE(CONTROL!$C$15, $D$11, 100%, $F$11)</f>
        <v>6.8536999999999999</v>
      </c>
      <c r="C265" s="8">
        <f>CHOOSE( CONTROL!$C$32, 6.8617, 6.8581) * CHOOSE(CONTROL!$C$15, $D$11, 100%, $F$11)</f>
        <v>6.8616999999999999</v>
      </c>
      <c r="D265" s="8">
        <f>CHOOSE( CONTROL!$C$32, 6.8684, 6.8648) * CHOOSE( CONTROL!$C$15, $D$11, 100%, $F$11)</f>
        <v>6.8684000000000003</v>
      </c>
      <c r="E265" s="12">
        <f>CHOOSE( CONTROL!$C$32, 6.8648, 6.8612) * CHOOSE( CONTROL!$C$15, $D$11, 100%, $F$11)</f>
        <v>6.8647999999999998</v>
      </c>
      <c r="F265" s="4">
        <f>CHOOSE( CONTROL!$C$32, 7.542, 7.5384) * CHOOSE(CONTROL!$C$15, $D$11, 100%, $F$11)</f>
        <v>7.5419999999999998</v>
      </c>
      <c r="G265" s="8">
        <f>CHOOSE( CONTROL!$C$32, 6.7088, 6.7053) * CHOOSE( CONTROL!$C$15, $D$11, 100%, $F$11)</f>
        <v>6.7088000000000001</v>
      </c>
      <c r="H265" s="4">
        <f>CHOOSE( CONTROL!$C$32, 7.6457, 7.6422) * CHOOSE(CONTROL!$C$15, $D$11, 100%, $F$11)</f>
        <v>7.6456999999999997</v>
      </c>
      <c r="I265" s="8">
        <f>CHOOSE( CONTROL!$C$32, 6.6908, 6.6874) * CHOOSE(CONTROL!$C$15, $D$11, 100%, $F$11)</f>
        <v>6.6908000000000003</v>
      </c>
      <c r="J265" s="4">
        <f>CHOOSE( CONTROL!$C$32, 6.5942, 6.5908) * CHOOSE(CONTROL!$C$15, $D$11, 100%, $F$11)</f>
        <v>6.5941999999999998</v>
      </c>
      <c r="K265" s="4"/>
      <c r="L265" s="9">
        <v>29.7257</v>
      </c>
      <c r="M265" s="9">
        <v>11.6745</v>
      </c>
      <c r="N265" s="9">
        <v>4.7850000000000001</v>
      </c>
      <c r="O265" s="9">
        <v>0.36199999999999999</v>
      </c>
      <c r="P265" s="9">
        <v>1.1791</v>
      </c>
      <c r="Q265" s="9">
        <v>29.6568</v>
      </c>
      <c r="R265" s="9"/>
      <c r="S265" s="11"/>
    </row>
    <row r="266" spans="1:19" ht="15.75">
      <c r="A266" s="14">
        <v>49583</v>
      </c>
      <c r="B266" s="8">
        <f>7.1513 * CHOOSE(CONTROL!$C$15, $D$11, 100%, $F$11)</f>
        <v>7.1513</v>
      </c>
      <c r="C266" s="8">
        <f>7.1566 * CHOOSE(CONTROL!$C$15, $D$11, 100%, $F$11)</f>
        <v>7.1566000000000001</v>
      </c>
      <c r="D266" s="8">
        <f>7.1682 * CHOOSE( CONTROL!$C$15, $D$11, 100%, $F$11)</f>
        <v>7.1681999999999997</v>
      </c>
      <c r="E266" s="12">
        <f>7.1638 * CHOOSE( CONTROL!$C$15, $D$11, 100%, $F$11)</f>
        <v>7.1638000000000002</v>
      </c>
      <c r="F266" s="4">
        <f>7.8413 * CHOOSE(CONTROL!$C$15, $D$11, 100%, $F$11)</f>
        <v>7.8413000000000004</v>
      </c>
      <c r="G266" s="8">
        <f>7.0027 * CHOOSE( CONTROL!$C$15, $D$11, 100%, $F$11)</f>
        <v>7.0026999999999999</v>
      </c>
      <c r="H266" s="4">
        <f>7.94 * CHOOSE(CONTROL!$C$15, $D$11, 100%, $F$11)</f>
        <v>7.94</v>
      </c>
      <c r="I266" s="8">
        <f>6.981 * CHOOSE(CONTROL!$C$15, $D$11, 100%, $F$11)</f>
        <v>6.9809999999999999</v>
      </c>
      <c r="J266" s="4">
        <f>6.8836 * CHOOSE(CONTROL!$C$15, $D$11, 100%, $F$11)</f>
        <v>6.8836000000000004</v>
      </c>
      <c r="K266" s="4"/>
      <c r="L266" s="9">
        <v>31.095300000000002</v>
      </c>
      <c r="M266" s="9">
        <v>12.063700000000001</v>
      </c>
      <c r="N266" s="9">
        <v>4.9444999999999997</v>
      </c>
      <c r="O266" s="9">
        <v>0.37409999999999999</v>
      </c>
      <c r="P266" s="9">
        <v>1.2183999999999999</v>
      </c>
      <c r="Q266" s="9">
        <v>30.645399999999999</v>
      </c>
      <c r="R266" s="9"/>
      <c r="S266" s="11"/>
    </row>
    <row r="267" spans="1:19" ht="15.75">
      <c r="A267" s="14">
        <v>49614</v>
      </c>
      <c r="B267" s="8">
        <f>7.7099 * CHOOSE(CONTROL!$C$15, $D$11, 100%, $F$11)</f>
        <v>7.7099000000000002</v>
      </c>
      <c r="C267" s="8">
        <f>7.715 * CHOOSE(CONTROL!$C$15, $D$11, 100%, $F$11)</f>
        <v>7.7149999999999999</v>
      </c>
      <c r="D267" s="8">
        <f>7.692 * CHOOSE( CONTROL!$C$15, $D$11, 100%, $F$11)</f>
        <v>7.6920000000000002</v>
      </c>
      <c r="E267" s="12">
        <f>7.6999 * CHOOSE( CONTROL!$C$15, $D$11, 100%, $F$11)</f>
        <v>7.6999000000000004</v>
      </c>
      <c r="F267" s="4">
        <f>8.3548 * CHOOSE(CONTROL!$C$15, $D$11, 100%, $F$11)</f>
        <v>8.3547999999999991</v>
      </c>
      <c r="G267" s="8">
        <f>7.5632 * CHOOSE( CONTROL!$C$15, $D$11, 100%, $F$11)</f>
        <v>7.5632000000000001</v>
      </c>
      <c r="H267" s="4">
        <f>8.445 * CHOOSE(CONTROL!$C$15, $D$11, 100%, $F$11)</f>
        <v>8.4450000000000003</v>
      </c>
      <c r="I267" s="8">
        <f>7.5464 * CHOOSE(CONTROL!$C$15, $D$11, 100%, $F$11)</f>
        <v>7.5464000000000002</v>
      </c>
      <c r="J267" s="4">
        <f>7.424 * CHOOSE(CONTROL!$C$15, $D$11, 100%, $F$11)</f>
        <v>7.4240000000000004</v>
      </c>
      <c r="K267" s="4"/>
      <c r="L267" s="9">
        <v>28.360600000000002</v>
      </c>
      <c r="M267" s="9">
        <v>11.6745</v>
      </c>
      <c r="N267" s="9">
        <v>4.7850000000000001</v>
      </c>
      <c r="O267" s="9">
        <v>0.36199999999999999</v>
      </c>
      <c r="P267" s="9">
        <v>1.2509999999999999</v>
      </c>
      <c r="Q267" s="9">
        <v>29.6568</v>
      </c>
      <c r="R267" s="9"/>
      <c r="S267" s="11"/>
    </row>
    <row r="268" spans="1:19" ht="15.75">
      <c r="A268" s="14">
        <v>49644</v>
      </c>
      <c r="B268" s="8">
        <f>7.6959 * CHOOSE(CONTROL!$C$15, $D$11, 100%, $F$11)</f>
        <v>7.6959</v>
      </c>
      <c r="C268" s="8">
        <f>7.7011 * CHOOSE(CONTROL!$C$15, $D$11, 100%, $F$11)</f>
        <v>7.7011000000000003</v>
      </c>
      <c r="D268" s="8">
        <f>7.6794 * CHOOSE( CONTROL!$C$15, $D$11, 100%, $F$11)</f>
        <v>7.6794000000000002</v>
      </c>
      <c r="E268" s="12">
        <f>7.6868 * CHOOSE( CONTROL!$C$15, $D$11, 100%, $F$11)</f>
        <v>7.6867999999999999</v>
      </c>
      <c r="F268" s="4">
        <f>8.3408 * CHOOSE(CONTROL!$C$15, $D$11, 100%, $F$11)</f>
        <v>8.3407999999999998</v>
      </c>
      <c r="G268" s="8">
        <f>7.5505 * CHOOSE( CONTROL!$C$15, $D$11, 100%, $F$11)</f>
        <v>7.5505000000000004</v>
      </c>
      <c r="H268" s="4">
        <f>8.4313 * CHOOSE(CONTROL!$C$15, $D$11, 100%, $F$11)</f>
        <v>8.4313000000000002</v>
      </c>
      <c r="I268" s="8">
        <f>7.5372 * CHOOSE(CONTROL!$C$15, $D$11, 100%, $F$11)</f>
        <v>7.5372000000000003</v>
      </c>
      <c r="J268" s="4">
        <f>7.4105 * CHOOSE(CONTROL!$C$15, $D$11, 100%, $F$11)</f>
        <v>7.4104999999999999</v>
      </c>
      <c r="K268" s="4"/>
      <c r="L268" s="9">
        <v>29.306000000000001</v>
      </c>
      <c r="M268" s="9">
        <v>12.063700000000001</v>
      </c>
      <c r="N268" s="9">
        <v>4.9444999999999997</v>
      </c>
      <c r="O268" s="9">
        <v>0.37409999999999999</v>
      </c>
      <c r="P268" s="9">
        <v>1.2927</v>
      </c>
      <c r="Q268" s="9">
        <v>30.645399999999999</v>
      </c>
      <c r="R268" s="9"/>
      <c r="S268" s="11"/>
    </row>
    <row r="269" spans="1:19" ht="15.75">
      <c r="A269" s="14">
        <v>49675</v>
      </c>
      <c r="B269" s="8">
        <f>7.9889 * CHOOSE(CONTROL!$C$15, $D$11, 100%, $F$11)</f>
        <v>7.9889000000000001</v>
      </c>
      <c r="C269" s="8">
        <f>7.994 * CHOOSE(CONTROL!$C$15, $D$11, 100%, $F$11)</f>
        <v>7.9939999999999998</v>
      </c>
      <c r="D269" s="8">
        <f>7.9682 * CHOOSE( CONTROL!$C$15, $D$11, 100%, $F$11)</f>
        <v>7.9682000000000004</v>
      </c>
      <c r="E269" s="12">
        <f>7.9771 * CHOOSE( CONTROL!$C$15, $D$11, 100%, $F$11)</f>
        <v>7.9771000000000001</v>
      </c>
      <c r="F269" s="4">
        <f>8.6329 * CHOOSE(CONTROL!$C$15, $D$11, 100%, $F$11)</f>
        <v>8.6328999999999994</v>
      </c>
      <c r="G269" s="8">
        <f>7.8323 * CHOOSE( CONTROL!$C$15, $D$11, 100%, $F$11)</f>
        <v>7.8323</v>
      </c>
      <c r="H269" s="4">
        <f>8.7186 * CHOOSE(CONTROL!$C$15, $D$11, 100%, $F$11)</f>
        <v>8.7186000000000003</v>
      </c>
      <c r="I269" s="8">
        <f>7.7912 * CHOOSE(CONTROL!$C$15, $D$11, 100%, $F$11)</f>
        <v>7.7911999999999999</v>
      </c>
      <c r="J269" s="4">
        <f>7.6937 * CHOOSE(CONTROL!$C$15, $D$11, 100%, $F$11)</f>
        <v>7.6936999999999998</v>
      </c>
      <c r="K269" s="4"/>
      <c r="L269" s="9">
        <v>29.306000000000001</v>
      </c>
      <c r="M269" s="9">
        <v>12.063700000000001</v>
      </c>
      <c r="N269" s="9">
        <v>4.9444999999999997</v>
      </c>
      <c r="O269" s="9">
        <v>0.37409999999999999</v>
      </c>
      <c r="P269" s="9">
        <v>1.2927</v>
      </c>
      <c r="Q269" s="9">
        <v>30.580300000000001</v>
      </c>
      <c r="R269" s="9"/>
      <c r="S269" s="11"/>
    </row>
    <row r="270" spans="1:19" ht="15.75">
      <c r="A270" s="14">
        <v>49706</v>
      </c>
      <c r="B270" s="8">
        <f>7.4744 * CHOOSE(CONTROL!$C$15, $D$11, 100%, $F$11)</f>
        <v>7.4744000000000002</v>
      </c>
      <c r="C270" s="8">
        <f>7.4795 * CHOOSE(CONTROL!$C$15, $D$11, 100%, $F$11)</f>
        <v>7.4794999999999998</v>
      </c>
      <c r="D270" s="8">
        <f>7.4539 * CHOOSE( CONTROL!$C$15, $D$11, 100%, $F$11)</f>
        <v>7.4539</v>
      </c>
      <c r="E270" s="12">
        <f>7.4627 * CHOOSE( CONTROL!$C$15, $D$11, 100%, $F$11)</f>
        <v>7.4626999999999999</v>
      </c>
      <c r="F270" s="4">
        <f>8.1184 * CHOOSE(CONTROL!$C$15, $D$11, 100%, $F$11)</f>
        <v>8.1183999999999994</v>
      </c>
      <c r="G270" s="8">
        <f>7.3265 * CHOOSE( CONTROL!$C$15, $D$11, 100%, $F$11)</f>
        <v>7.3265000000000002</v>
      </c>
      <c r="H270" s="4">
        <f>8.2126 * CHOOSE(CONTROL!$C$15, $D$11, 100%, $F$11)</f>
        <v>8.2126000000000001</v>
      </c>
      <c r="I270" s="8">
        <f>7.2943 * CHOOSE(CONTROL!$C$15, $D$11, 100%, $F$11)</f>
        <v>7.2942999999999998</v>
      </c>
      <c r="J270" s="4">
        <f>7.1963 * CHOOSE(CONTROL!$C$15, $D$11, 100%, $F$11)</f>
        <v>7.1962999999999999</v>
      </c>
      <c r="K270" s="4"/>
      <c r="L270" s="9">
        <v>27.415299999999998</v>
      </c>
      <c r="M270" s="9">
        <v>11.285299999999999</v>
      </c>
      <c r="N270" s="9">
        <v>4.6254999999999997</v>
      </c>
      <c r="O270" s="9">
        <v>0.34989999999999999</v>
      </c>
      <c r="P270" s="9">
        <v>1.2093</v>
      </c>
      <c r="Q270" s="9">
        <v>28.607299999999999</v>
      </c>
      <c r="R270" s="9"/>
      <c r="S270" s="11"/>
    </row>
    <row r="271" spans="1:19" ht="15.75">
      <c r="A271" s="14">
        <v>49735</v>
      </c>
      <c r="B271" s="8">
        <f>7.3159 * CHOOSE(CONTROL!$C$15, $D$11, 100%, $F$11)</f>
        <v>7.3159000000000001</v>
      </c>
      <c r="C271" s="8">
        <f>7.3211 * CHOOSE(CONTROL!$C$15, $D$11, 100%, $F$11)</f>
        <v>7.3211000000000004</v>
      </c>
      <c r="D271" s="8">
        <f>7.2954 * CHOOSE( CONTROL!$C$15, $D$11, 100%, $F$11)</f>
        <v>7.2953999999999999</v>
      </c>
      <c r="E271" s="12">
        <f>7.3042 * CHOOSE( CONTROL!$C$15, $D$11, 100%, $F$11)</f>
        <v>7.3041999999999998</v>
      </c>
      <c r="F271" s="4">
        <f>7.96 * CHOOSE(CONTROL!$C$15, $D$11, 100%, $F$11)</f>
        <v>7.96</v>
      </c>
      <c r="G271" s="8">
        <f>7.1706 * CHOOSE( CONTROL!$C$15, $D$11, 100%, $F$11)</f>
        <v>7.1706000000000003</v>
      </c>
      <c r="H271" s="4">
        <f>8.0567 * CHOOSE(CONTROL!$C$15, $D$11, 100%, $F$11)</f>
        <v>8.0566999999999993</v>
      </c>
      <c r="I271" s="8">
        <f>7.1408 * CHOOSE(CONTROL!$C$15, $D$11, 100%, $F$11)</f>
        <v>7.1407999999999996</v>
      </c>
      <c r="J271" s="4">
        <f>7.0431 * CHOOSE(CONTROL!$C$15, $D$11, 100%, $F$11)</f>
        <v>7.0430999999999999</v>
      </c>
      <c r="K271" s="4"/>
      <c r="L271" s="9">
        <v>29.306000000000001</v>
      </c>
      <c r="M271" s="9">
        <v>12.063700000000001</v>
      </c>
      <c r="N271" s="9">
        <v>4.9444999999999997</v>
      </c>
      <c r="O271" s="9">
        <v>0.37409999999999999</v>
      </c>
      <c r="P271" s="9">
        <v>1.2927</v>
      </c>
      <c r="Q271" s="9">
        <v>30.580300000000001</v>
      </c>
      <c r="R271" s="9"/>
      <c r="S271" s="11"/>
    </row>
    <row r="272" spans="1:19" ht="15.75">
      <c r="A272" s="14">
        <v>49766</v>
      </c>
      <c r="B272" s="8">
        <f>7.4274 * CHOOSE(CONTROL!$C$15, $D$11, 100%, $F$11)</f>
        <v>7.4273999999999996</v>
      </c>
      <c r="C272" s="8">
        <f>7.432 * CHOOSE(CONTROL!$C$15, $D$11, 100%, $F$11)</f>
        <v>7.4320000000000004</v>
      </c>
      <c r="D272" s="8">
        <f>7.443 * CHOOSE( CONTROL!$C$15, $D$11, 100%, $F$11)</f>
        <v>7.4429999999999996</v>
      </c>
      <c r="E272" s="12">
        <f>7.4388 * CHOOSE( CONTROL!$C$15, $D$11, 100%, $F$11)</f>
        <v>7.4387999999999996</v>
      </c>
      <c r="F272" s="4">
        <f>8.1171 * CHOOSE(CONTROL!$C$15, $D$11, 100%, $F$11)</f>
        <v>8.1171000000000006</v>
      </c>
      <c r="G272" s="8">
        <f>7.2724 * CHOOSE( CONTROL!$C$15, $D$11, 100%, $F$11)</f>
        <v>7.2724000000000002</v>
      </c>
      <c r="H272" s="4">
        <f>8.2112 * CHOOSE(CONTROL!$C$15, $D$11, 100%, $F$11)</f>
        <v>8.2111999999999998</v>
      </c>
      <c r="I272" s="8">
        <f>7.243 * CHOOSE(CONTROL!$C$15, $D$11, 100%, $F$11)</f>
        <v>7.2430000000000003</v>
      </c>
      <c r="J272" s="4">
        <f>7.1502 * CHOOSE(CONTROL!$C$15, $D$11, 100%, $F$11)</f>
        <v>7.1501999999999999</v>
      </c>
      <c r="K272" s="4"/>
      <c r="L272" s="9">
        <v>30.092199999999998</v>
      </c>
      <c r="M272" s="9">
        <v>11.6745</v>
      </c>
      <c r="N272" s="9">
        <v>4.7850000000000001</v>
      </c>
      <c r="O272" s="9">
        <v>0.36199999999999999</v>
      </c>
      <c r="P272" s="9">
        <v>1.1791</v>
      </c>
      <c r="Q272" s="9">
        <v>29.593800000000002</v>
      </c>
      <c r="R272" s="9"/>
      <c r="S272" s="11"/>
    </row>
    <row r="273" spans="1:19" ht="15.75">
      <c r="A273" s="14">
        <v>49796</v>
      </c>
      <c r="B273" s="8">
        <f>CHOOSE( CONTROL!$C$32, 7.6295, 7.6259) * CHOOSE(CONTROL!$C$15, $D$11, 100%, $F$11)</f>
        <v>7.6295000000000002</v>
      </c>
      <c r="C273" s="8">
        <f>CHOOSE( CONTROL!$C$32, 7.6375, 7.6339) * CHOOSE(CONTROL!$C$15, $D$11, 100%, $F$11)</f>
        <v>7.6375000000000002</v>
      </c>
      <c r="D273" s="8">
        <f>CHOOSE( CONTROL!$C$32, 7.6435, 7.6399) * CHOOSE( CONTROL!$C$15, $D$11, 100%, $F$11)</f>
        <v>7.6435000000000004</v>
      </c>
      <c r="E273" s="12">
        <f>CHOOSE( CONTROL!$C$32, 7.6401, 7.6365) * CHOOSE( CONTROL!$C$15, $D$11, 100%, $F$11)</f>
        <v>7.6401000000000003</v>
      </c>
      <c r="F273" s="4">
        <f>CHOOSE( CONTROL!$C$32, 8.3177, 8.3142) * CHOOSE(CONTROL!$C$15, $D$11, 100%, $F$11)</f>
        <v>8.3177000000000003</v>
      </c>
      <c r="G273" s="8">
        <f>CHOOSE( CONTROL!$C$32, 7.4707, 7.4672) * CHOOSE( CONTROL!$C$15, $D$11, 100%, $F$11)</f>
        <v>7.4706999999999999</v>
      </c>
      <c r="H273" s="4">
        <f>CHOOSE( CONTROL!$C$32, 8.4086, 8.4051) * CHOOSE(CONTROL!$C$15, $D$11, 100%, $F$11)</f>
        <v>8.4085999999999999</v>
      </c>
      <c r="I273" s="8">
        <f>CHOOSE( CONTROL!$C$32, 7.4379, 7.4344) * CHOOSE(CONTROL!$C$15, $D$11, 100%, $F$11)</f>
        <v>7.4379</v>
      </c>
      <c r="J273" s="4">
        <f>CHOOSE( CONTROL!$C$32, 7.3442, 7.3407) * CHOOSE(CONTROL!$C$15, $D$11, 100%, $F$11)</f>
        <v>7.3441999999999998</v>
      </c>
      <c r="K273" s="4"/>
      <c r="L273" s="9">
        <v>30.7165</v>
      </c>
      <c r="M273" s="9">
        <v>12.063700000000001</v>
      </c>
      <c r="N273" s="9">
        <v>4.9444999999999997</v>
      </c>
      <c r="O273" s="9">
        <v>0.37409999999999999</v>
      </c>
      <c r="P273" s="9">
        <v>1.2183999999999999</v>
      </c>
      <c r="Q273" s="9">
        <v>30.580300000000001</v>
      </c>
      <c r="R273" s="9"/>
      <c r="S273" s="11"/>
    </row>
    <row r="274" spans="1:19" ht="15.75">
      <c r="A274" s="14">
        <v>49827</v>
      </c>
      <c r="B274" s="8">
        <f>CHOOSE( CONTROL!$C$32, 7.5074, 7.5038) * CHOOSE(CONTROL!$C$15, $D$11, 100%, $F$11)</f>
        <v>7.5073999999999996</v>
      </c>
      <c r="C274" s="8">
        <f>CHOOSE( CONTROL!$C$32, 7.5154, 7.5118) * CHOOSE(CONTROL!$C$15, $D$11, 100%, $F$11)</f>
        <v>7.5153999999999996</v>
      </c>
      <c r="D274" s="8">
        <f>CHOOSE( CONTROL!$C$32, 7.5217, 7.5181) * CHOOSE( CONTROL!$C$15, $D$11, 100%, $F$11)</f>
        <v>7.5217000000000001</v>
      </c>
      <c r="E274" s="12">
        <f>CHOOSE( CONTROL!$C$32, 7.5182, 7.5146) * CHOOSE( CONTROL!$C$15, $D$11, 100%, $F$11)</f>
        <v>7.5182000000000002</v>
      </c>
      <c r="F274" s="4">
        <f>CHOOSE( CONTROL!$C$32, 8.1956, 8.1921) * CHOOSE(CONTROL!$C$15, $D$11, 100%, $F$11)</f>
        <v>8.1956000000000007</v>
      </c>
      <c r="G274" s="8">
        <f>CHOOSE( CONTROL!$C$32, 7.3511, 7.3476) * CHOOSE( CONTROL!$C$15, $D$11, 100%, $F$11)</f>
        <v>7.3510999999999997</v>
      </c>
      <c r="H274" s="4">
        <f>CHOOSE( CONTROL!$C$32, 8.2885, 8.285) * CHOOSE(CONTROL!$C$15, $D$11, 100%, $F$11)</f>
        <v>8.2885000000000009</v>
      </c>
      <c r="I274" s="8">
        <f>CHOOSE( CONTROL!$C$32, 7.3211, 7.3177) * CHOOSE(CONTROL!$C$15, $D$11, 100%, $F$11)</f>
        <v>7.3211000000000004</v>
      </c>
      <c r="J274" s="4">
        <f>CHOOSE( CONTROL!$C$32, 7.2261, 7.2227) * CHOOSE(CONTROL!$C$15, $D$11, 100%, $F$11)</f>
        <v>7.2260999999999997</v>
      </c>
      <c r="K274" s="4"/>
      <c r="L274" s="9">
        <v>29.7257</v>
      </c>
      <c r="M274" s="9">
        <v>11.6745</v>
      </c>
      <c r="N274" s="9">
        <v>4.7850000000000001</v>
      </c>
      <c r="O274" s="9">
        <v>0.36199999999999999</v>
      </c>
      <c r="P274" s="9">
        <v>1.1791</v>
      </c>
      <c r="Q274" s="9">
        <v>29.593800000000002</v>
      </c>
      <c r="R274" s="9"/>
      <c r="S274" s="11"/>
    </row>
    <row r="275" spans="1:19" ht="15.75">
      <c r="A275" s="14">
        <v>49857</v>
      </c>
      <c r="B275" s="8">
        <f>CHOOSE( CONTROL!$C$32, 7.8289, 7.8253) * CHOOSE(CONTROL!$C$15, $D$11, 100%, $F$11)</f>
        <v>7.8289</v>
      </c>
      <c r="C275" s="8">
        <f>CHOOSE( CONTROL!$C$32, 7.8369, 7.8333) * CHOOSE(CONTROL!$C$15, $D$11, 100%, $F$11)</f>
        <v>7.8369</v>
      </c>
      <c r="D275" s="8">
        <f>CHOOSE( CONTROL!$C$32, 7.8435, 7.8399) * CHOOSE( CONTROL!$C$15, $D$11, 100%, $F$11)</f>
        <v>7.8434999999999997</v>
      </c>
      <c r="E275" s="12">
        <f>CHOOSE( CONTROL!$C$32, 7.8399, 7.8363) * CHOOSE( CONTROL!$C$15, $D$11, 100%, $F$11)</f>
        <v>7.8399000000000001</v>
      </c>
      <c r="F275" s="4">
        <f>CHOOSE( CONTROL!$C$32, 8.5171, 8.5136) * CHOOSE(CONTROL!$C$15, $D$11, 100%, $F$11)</f>
        <v>8.5170999999999992</v>
      </c>
      <c r="G275" s="8">
        <f>CHOOSE( CONTROL!$C$32, 7.6677, 7.6642) * CHOOSE( CONTROL!$C$15, $D$11, 100%, $F$11)</f>
        <v>7.6677</v>
      </c>
      <c r="H275" s="4">
        <f>CHOOSE( CONTROL!$C$32, 8.6047, 8.6012) * CHOOSE(CONTROL!$C$15, $D$11, 100%, $F$11)</f>
        <v>8.6046999999999993</v>
      </c>
      <c r="I275" s="8">
        <f>CHOOSE( CONTROL!$C$32, 7.6335, 7.6301) * CHOOSE(CONTROL!$C$15, $D$11, 100%, $F$11)</f>
        <v>7.6334999999999997</v>
      </c>
      <c r="J275" s="4">
        <f>CHOOSE( CONTROL!$C$32, 7.5369, 7.5335) * CHOOSE(CONTROL!$C$15, $D$11, 100%, $F$11)</f>
        <v>7.5369000000000002</v>
      </c>
      <c r="K275" s="4"/>
      <c r="L275" s="9">
        <v>30.7165</v>
      </c>
      <c r="M275" s="9">
        <v>12.063700000000001</v>
      </c>
      <c r="N275" s="9">
        <v>4.9444999999999997</v>
      </c>
      <c r="O275" s="9">
        <v>0.37409999999999999</v>
      </c>
      <c r="P275" s="9">
        <v>1.2183999999999999</v>
      </c>
      <c r="Q275" s="9">
        <v>30.580300000000001</v>
      </c>
      <c r="R275" s="9"/>
      <c r="S275" s="11"/>
    </row>
    <row r="276" spans="1:19" ht="15.75">
      <c r="A276" s="14">
        <v>49888</v>
      </c>
      <c r="B276" s="8">
        <f>CHOOSE( CONTROL!$C$32, 7.2273, 7.2237) * CHOOSE(CONTROL!$C$15, $D$11, 100%, $F$11)</f>
        <v>7.2272999999999996</v>
      </c>
      <c r="C276" s="8">
        <f>CHOOSE( CONTROL!$C$32, 7.2353, 7.2318) * CHOOSE(CONTROL!$C$15, $D$11, 100%, $F$11)</f>
        <v>7.2352999999999996</v>
      </c>
      <c r="D276" s="8">
        <f>CHOOSE( CONTROL!$C$32, 7.242, 7.2384) * CHOOSE( CONTROL!$C$15, $D$11, 100%, $F$11)</f>
        <v>7.242</v>
      </c>
      <c r="E276" s="12">
        <f>CHOOSE( CONTROL!$C$32, 7.2384, 7.2348) * CHOOSE( CONTROL!$C$15, $D$11, 100%, $F$11)</f>
        <v>7.2384000000000004</v>
      </c>
      <c r="F276" s="4">
        <f>CHOOSE( CONTROL!$C$32, 7.9156, 7.912) * CHOOSE(CONTROL!$C$15, $D$11, 100%, $F$11)</f>
        <v>7.9156000000000004</v>
      </c>
      <c r="G276" s="8">
        <f>CHOOSE( CONTROL!$C$32, 7.0762, 7.0727) * CHOOSE( CONTROL!$C$15, $D$11, 100%, $F$11)</f>
        <v>7.0762</v>
      </c>
      <c r="H276" s="4">
        <f>CHOOSE( CONTROL!$C$32, 8.0131, 8.0096) * CHOOSE(CONTROL!$C$15, $D$11, 100%, $F$11)</f>
        <v>8.0130999999999997</v>
      </c>
      <c r="I276" s="8">
        <f>CHOOSE( CONTROL!$C$32, 7.0522, 7.0487) * CHOOSE(CONTROL!$C$15, $D$11, 100%, $F$11)</f>
        <v>7.0522</v>
      </c>
      <c r="J276" s="4">
        <f>CHOOSE( CONTROL!$C$32, 6.9554, 6.952) * CHOOSE(CONTROL!$C$15, $D$11, 100%, $F$11)</f>
        <v>6.9554</v>
      </c>
      <c r="K276" s="4"/>
      <c r="L276" s="9">
        <v>30.7165</v>
      </c>
      <c r="M276" s="9">
        <v>12.063700000000001</v>
      </c>
      <c r="N276" s="9">
        <v>4.9444999999999997</v>
      </c>
      <c r="O276" s="9">
        <v>0.37409999999999999</v>
      </c>
      <c r="P276" s="9">
        <v>1.2183999999999999</v>
      </c>
      <c r="Q276" s="9">
        <v>30.580300000000001</v>
      </c>
      <c r="R276" s="9"/>
      <c r="S276" s="11"/>
    </row>
    <row r="277" spans="1:19" ht="15.75">
      <c r="A277" s="14">
        <v>49919</v>
      </c>
      <c r="B277" s="8">
        <f>CHOOSE( CONTROL!$C$32, 7.0767, 7.0731) * CHOOSE(CONTROL!$C$15, $D$11, 100%, $F$11)</f>
        <v>7.0766999999999998</v>
      </c>
      <c r="C277" s="8">
        <f>CHOOSE( CONTROL!$C$32, 7.0847, 7.0811) * CHOOSE(CONTROL!$C$15, $D$11, 100%, $F$11)</f>
        <v>7.0846999999999998</v>
      </c>
      <c r="D277" s="8">
        <f>CHOOSE( CONTROL!$C$32, 7.0914, 7.0878) * CHOOSE( CONTROL!$C$15, $D$11, 100%, $F$11)</f>
        <v>7.0914000000000001</v>
      </c>
      <c r="E277" s="12">
        <f>CHOOSE( CONTROL!$C$32, 7.0878, 7.0842) * CHOOSE( CONTROL!$C$15, $D$11, 100%, $F$11)</f>
        <v>7.0877999999999997</v>
      </c>
      <c r="F277" s="4">
        <f>CHOOSE( CONTROL!$C$32, 7.7649, 7.7614) * CHOOSE(CONTROL!$C$15, $D$11, 100%, $F$11)</f>
        <v>7.7648999999999999</v>
      </c>
      <c r="G277" s="8">
        <f>CHOOSE( CONTROL!$C$32, 6.9281, 6.9246) * CHOOSE( CONTROL!$C$15, $D$11, 100%, $F$11)</f>
        <v>6.9280999999999997</v>
      </c>
      <c r="H277" s="4">
        <f>CHOOSE( CONTROL!$C$32, 7.8649, 7.8614) * CHOOSE(CONTROL!$C$15, $D$11, 100%, $F$11)</f>
        <v>7.8648999999999996</v>
      </c>
      <c r="I277" s="8">
        <f>CHOOSE( CONTROL!$C$32, 6.9065, 6.903) * CHOOSE(CONTROL!$C$15, $D$11, 100%, $F$11)</f>
        <v>6.9065000000000003</v>
      </c>
      <c r="J277" s="4">
        <f>CHOOSE( CONTROL!$C$32, 6.8098, 6.8063) * CHOOSE(CONTROL!$C$15, $D$11, 100%, $F$11)</f>
        <v>6.8098000000000001</v>
      </c>
      <c r="K277" s="4"/>
      <c r="L277" s="9">
        <v>29.7257</v>
      </c>
      <c r="M277" s="9">
        <v>11.6745</v>
      </c>
      <c r="N277" s="9">
        <v>4.7850000000000001</v>
      </c>
      <c r="O277" s="9">
        <v>0.36199999999999999</v>
      </c>
      <c r="P277" s="9">
        <v>1.1791</v>
      </c>
      <c r="Q277" s="9">
        <v>29.593800000000002</v>
      </c>
      <c r="R277" s="9"/>
      <c r="S277" s="11"/>
    </row>
    <row r="278" spans="1:19" ht="15.75">
      <c r="A278" s="14">
        <v>49949</v>
      </c>
      <c r="B278" s="8">
        <f>7.3842 * CHOOSE(CONTROL!$C$15, $D$11, 100%, $F$11)</f>
        <v>7.3841999999999999</v>
      </c>
      <c r="C278" s="8">
        <f>7.3895 * CHOOSE(CONTROL!$C$15, $D$11, 100%, $F$11)</f>
        <v>7.3895</v>
      </c>
      <c r="D278" s="8">
        <f>7.4011 * CHOOSE( CONTROL!$C$15, $D$11, 100%, $F$11)</f>
        <v>7.4010999999999996</v>
      </c>
      <c r="E278" s="12">
        <f>7.3967 * CHOOSE( CONTROL!$C$15, $D$11, 100%, $F$11)</f>
        <v>7.3967000000000001</v>
      </c>
      <c r="F278" s="4">
        <f>8.0741 * CHOOSE(CONTROL!$C$15, $D$11, 100%, $F$11)</f>
        <v>8.0740999999999996</v>
      </c>
      <c r="G278" s="8">
        <f>7.2317 * CHOOSE( CONTROL!$C$15, $D$11, 100%, $F$11)</f>
        <v>7.2317</v>
      </c>
      <c r="H278" s="4">
        <f>8.169 * CHOOSE(CONTROL!$C$15, $D$11, 100%, $F$11)</f>
        <v>8.1690000000000005</v>
      </c>
      <c r="I278" s="8">
        <f>7.2063 * CHOOSE(CONTROL!$C$15, $D$11, 100%, $F$11)</f>
        <v>7.2062999999999997</v>
      </c>
      <c r="J278" s="4">
        <f>7.1087 * CHOOSE(CONTROL!$C$15, $D$11, 100%, $F$11)</f>
        <v>7.1086999999999998</v>
      </c>
      <c r="K278" s="4"/>
      <c r="L278" s="9">
        <v>31.095300000000002</v>
      </c>
      <c r="M278" s="9">
        <v>12.063700000000001</v>
      </c>
      <c r="N278" s="9">
        <v>4.9444999999999997</v>
      </c>
      <c r="O278" s="9">
        <v>0.37409999999999999</v>
      </c>
      <c r="P278" s="9">
        <v>1.2183999999999999</v>
      </c>
      <c r="Q278" s="9">
        <v>30.580300000000001</v>
      </c>
      <c r="R278" s="9"/>
      <c r="S278" s="11"/>
    </row>
    <row r="279" spans="1:19" ht="15.75">
      <c r="A279" s="14">
        <v>49980</v>
      </c>
      <c r="B279" s="8">
        <f>7.9611 * CHOOSE(CONTROL!$C$15, $D$11, 100%, $F$11)</f>
        <v>7.9611000000000001</v>
      </c>
      <c r="C279" s="8">
        <f>7.9662 * CHOOSE(CONTROL!$C$15, $D$11, 100%, $F$11)</f>
        <v>7.9661999999999997</v>
      </c>
      <c r="D279" s="8">
        <f>7.9431 * CHOOSE( CONTROL!$C$15, $D$11, 100%, $F$11)</f>
        <v>7.9431000000000003</v>
      </c>
      <c r="E279" s="12">
        <f>7.951 * CHOOSE( CONTROL!$C$15, $D$11, 100%, $F$11)</f>
        <v>7.9509999999999996</v>
      </c>
      <c r="F279" s="4">
        <f>8.606 * CHOOSE(CONTROL!$C$15, $D$11, 100%, $F$11)</f>
        <v>8.6059999999999999</v>
      </c>
      <c r="G279" s="8">
        <f>7.8102 * CHOOSE( CONTROL!$C$15, $D$11, 100%, $F$11)</f>
        <v>7.8102</v>
      </c>
      <c r="H279" s="4">
        <f>8.692 * CHOOSE(CONTROL!$C$15, $D$11, 100%, $F$11)</f>
        <v>8.6920000000000002</v>
      </c>
      <c r="I279" s="8">
        <f>7.7893 * CHOOSE(CONTROL!$C$15, $D$11, 100%, $F$11)</f>
        <v>7.7892999999999999</v>
      </c>
      <c r="J279" s="4">
        <f>7.6668 * CHOOSE(CONTROL!$C$15, $D$11, 100%, $F$11)</f>
        <v>7.6668000000000003</v>
      </c>
      <c r="K279" s="4"/>
      <c r="L279" s="9">
        <v>28.360600000000002</v>
      </c>
      <c r="M279" s="9">
        <v>11.6745</v>
      </c>
      <c r="N279" s="9">
        <v>4.7850000000000001</v>
      </c>
      <c r="O279" s="9">
        <v>0.36199999999999999</v>
      </c>
      <c r="P279" s="9">
        <v>1.2509999999999999</v>
      </c>
      <c r="Q279" s="9">
        <v>29.593800000000002</v>
      </c>
      <c r="R279" s="9"/>
      <c r="S279" s="11"/>
    </row>
    <row r="280" spans="1:19" ht="15.75">
      <c r="A280" s="14">
        <v>50010</v>
      </c>
      <c r="B280" s="8">
        <f>7.9466 * CHOOSE(CONTROL!$C$15, $D$11, 100%, $F$11)</f>
        <v>7.9466000000000001</v>
      </c>
      <c r="C280" s="8">
        <f>7.9518 * CHOOSE(CONTROL!$C$15, $D$11, 100%, $F$11)</f>
        <v>7.9518000000000004</v>
      </c>
      <c r="D280" s="8">
        <f>7.9301 * CHOOSE( CONTROL!$C$15, $D$11, 100%, $F$11)</f>
        <v>7.9301000000000004</v>
      </c>
      <c r="E280" s="12">
        <f>7.9375 * CHOOSE( CONTROL!$C$15, $D$11, 100%, $F$11)</f>
        <v>7.9375</v>
      </c>
      <c r="F280" s="4">
        <f>8.5915 * CHOOSE(CONTROL!$C$15, $D$11, 100%, $F$11)</f>
        <v>8.5914999999999999</v>
      </c>
      <c r="G280" s="8">
        <f>7.797 * CHOOSE( CONTROL!$C$15, $D$11, 100%, $F$11)</f>
        <v>7.7969999999999997</v>
      </c>
      <c r="H280" s="4">
        <f>8.6778 * CHOOSE(CONTROL!$C$15, $D$11, 100%, $F$11)</f>
        <v>8.6777999999999995</v>
      </c>
      <c r="I280" s="8">
        <f>7.7797 * CHOOSE(CONTROL!$C$15, $D$11, 100%, $F$11)</f>
        <v>7.7797000000000001</v>
      </c>
      <c r="J280" s="4">
        <f>7.6528 * CHOOSE(CONTROL!$C$15, $D$11, 100%, $F$11)</f>
        <v>7.6528</v>
      </c>
      <c r="K280" s="4"/>
      <c r="L280" s="9">
        <v>29.306000000000001</v>
      </c>
      <c r="M280" s="9">
        <v>12.063700000000001</v>
      </c>
      <c r="N280" s="9">
        <v>4.9444999999999997</v>
      </c>
      <c r="O280" s="9">
        <v>0.37409999999999999</v>
      </c>
      <c r="P280" s="9">
        <v>1.2927</v>
      </c>
      <c r="Q280" s="9">
        <v>30.580300000000001</v>
      </c>
      <c r="R280" s="9"/>
      <c r="S280" s="11"/>
    </row>
    <row r="281" spans="1:19" ht="15.75">
      <c r="A281" s="14">
        <v>50041</v>
      </c>
      <c r="B281" s="8">
        <f>8.2492 * CHOOSE(CONTROL!$C$15, $D$11, 100%, $F$11)</f>
        <v>8.2492000000000001</v>
      </c>
      <c r="C281" s="8">
        <f>8.2543 * CHOOSE(CONTROL!$C$15, $D$11, 100%, $F$11)</f>
        <v>8.2543000000000006</v>
      </c>
      <c r="D281" s="8">
        <f>8.2285 * CHOOSE( CONTROL!$C$15, $D$11, 100%, $F$11)</f>
        <v>8.2285000000000004</v>
      </c>
      <c r="E281" s="12">
        <f>8.2374 * CHOOSE( CONTROL!$C$15, $D$11, 100%, $F$11)</f>
        <v>8.2373999999999992</v>
      </c>
      <c r="F281" s="4">
        <f>8.8932 * CHOOSE(CONTROL!$C$15, $D$11, 100%, $F$11)</f>
        <v>8.8932000000000002</v>
      </c>
      <c r="G281" s="8">
        <f>8.0883 * CHOOSE( CONTROL!$C$15, $D$11, 100%, $F$11)</f>
        <v>8.0883000000000003</v>
      </c>
      <c r="H281" s="4">
        <f>8.9745 * CHOOSE(CONTROL!$C$15, $D$11, 100%, $F$11)</f>
        <v>8.9745000000000008</v>
      </c>
      <c r="I281" s="8">
        <f>8.0429 * CHOOSE(CONTROL!$C$15, $D$11, 100%, $F$11)</f>
        <v>8.0428999999999995</v>
      </c>
      <c r="J281" s="4">
        <f>7.9453 * CHOOSE(CONTROL!$C$15, $D$11, 100%, $F$11)</f>
        <v>7.9452999999999996</v>
      </c>
      <c r="K281" s="4"/>
      <c r="L281" s="9">
        <v>29.306000000000001</v>
      </c>
      <c r="M281" s="9">
        <v>12.063700000000001</v>
      </c>
      <c r="N281" s="9">
        <v>4.9444999999999997</v>
      </c>
      <c r="O281" s="9">
        <v>0.37409999999999999</v>
      </c>
      <c r="P281" s="9">
        <v>1.2927</v>
      </c>
      <c r="Q281" s="9">
        <v>30.5152</v>
      </c>
      <c r="R281" s="9"/>
      <c r="S281" s="11"/>
    </row>
    <row r="282" spans="1:19" ht="15.75">
      <c r="A282" s="14">
        <v>50072</v>
      </c>
      <c r="B282" s="8">
        <f>7.7179 * CHOOSE(CONTROL!$C$15, $D$11, 100%, $F$11)</f>
        <v>7.7179000000000002</v>
      </c>
      <c r="C282" s="8">
        <f>7.723 * CHOOSE(CONTROL!$C$15, $D$11, 100%, $F$11)</f>
        <v>7.7229999999999999</v>
      </c>
      <c r="D282" s="8">
        <f>7.6974 * CHOOSE( CONTROL!$C$15, $D$11, 100%, $F$11)</f>
        <v>7.6974</v>
      </c>
      <c r="E282" s="12">
        <f>7.7062 * CHOOSE( CONTROL!$C$15, $D$11, 100%, $F$11)</f>
        <v>7.7061999999999999</v>
      </c>
      <c r="F282" s="4">
        <f>8.3619 * CHOOSE(CONTROL!$C$15, $D$11, 100%, $F$11)</f>
        <v>8.3619000000000003</v>
      </c>
      <c r="G282" s="8">
        <f>7.5659 * CHOOSE( CONTROL!$C$15, $D$11, 100%, $F$11)</f>
        <v>7.5659000000000001</v>
      </c>
      <c r="H282" s="4">
        <f>8.452 * CHOOSE(CONTROL!$C$15, $D$11, 100%, $F$11)</f>
        <v>8.452</v>
      </c>
      <c r="I282" s="8">
        <f>7.5298 * CHOOSE(CONTROL!$C$15, $D$11, 100%, $F$11)</f>
        <v>7.5297999999999998</v>
      </c>
      <c r="J282" s="4">
        <f>7.4317 * CHOOSE(CONTROL!$C$15, $D$11, 100%, $F$11)</f>
        <v>7.4317000000000002</v>
      </c>
      <c r="K282" s="4"/>
      <c r="L282" s="9">
        <v>26.469899999999999</v>
      </c>
      <c r="M282" s="9">
        <v>10.8962</v>
      </c>
      <c r="N282" s="9">
        <v>4.4660000000000002</v>
      </c>
      <c r="O282" s="9">
        <v>0.33789999999999998</v>
      </c>
      <c r="P282" s="9">
        <v>1.1676</v>
      </c>
      <c r="Q282" s="9">
        <v>27.562100000000001</v>
      </c>
      <c r="R282" s="9"/>
      <c r="S282" s="11"/>
    </row>
    <row r="283" spans="1:19" ht="15.75">
      <c r="A283" s="14">
        <v>50100</v>
      </c>
      <c r="B283" s="8">
        <f>7.5542 * CHOOSE(CONTROL!$C$15, $D$11, 100%, $F$11)</f>
        <v>7.5541999999999998</v>
      </c>
      <c r="C283" s="8">
        <f>7.5593 * CHOOSE(CONTROL!$C$15, $D$11, 100%, $F$11)</f>
        <v>7.5593000000000004</v>
      </c>
      <c r="D283" s="8">
        <f>7.5336 * CHOOSE( CONTROL!$C$15, $D$11, 100%, $F$11)</f>
        <v>7.5335999999999999</v>
      </c>
      <c r="E283" s="12">
        <f>7.5425 * CHOOSE( CONTROL!$C$15, $D$11, 100%, $F$11)</f>
        <v>7.5425000000000004</v>
      </c>
      <c r="F283" s="4">
        <f>8.1982 * CHOOSE(CONTROL!$C$15, $D$11, 100%, $F$11)</f>
        <v>8.1981999999999999</v>
      </c>
      <c r="G283" s="8">
        <f>7.4049 * CHOOSE( CONTROL!$C$15, $D$11, 100%, $F$11)</f>
        <v>7.4048999999999996</v>
      </c>
      <c r="H283" s="4">
        <f>8.2911 * CHOOSE(CONTROL!$C$15, $D$11, 100%, $F$11)</f>
        <v>8.2911000000000001</v>
      </c>
      <c r="I283" s="8">
        <f>7.3713 * CHOOSE(CONTROL!$C$15, $D$11, 100%, $F$11)</f>
        <v>7.3712999999999997</v>
      </c>
      <c r="J283" s="4">
        <f>7.2735 * CHOOSE(CONTROL!$C$15, $D$11, 100%, $F$11)</f>
        <v>7.2735000000000003</v>
      </c>
      <c r="K283" s="4"/>
      <c r="L283" s="9">
        <v>29.306000000000001</v>
      </c>
      <c r="M283" s="9">
        <v>12.063700000000001</v>
      </c>
      <c r="N283" s="9">
        <v>4.9444999999999997</v>
      </c>
      <c r="O283" s="9">
        <v>0.37409999999999999</v>
      </c>
      <c r="P283" s="9">
        <v>1.2927</v>
      </c>
      <c r="Q283" s="9">
        <v>30.5152</v>
      </c>
      <c r="R283" s="9"/>
      <c r="S283" s="11"/>
    </row>
    <row r="284" spans="1:19" ht="15.75">
      <c r="A284" s="14">
        <v>50131</v>
      </c>
      <c r="B284" s="8">
        <f>7.6693 * CHOOSE(CONTROL!$C$15, $D$11, 100%, $F$11)</f>
        <v>7.6692999999999998</v>
      </c>
      <c r="C284" s="8">
        <f>7.6739 * CHOOSE(CONTROL!$C$15, $D$11, 100%, $F$11)</f>
        <v>7.6738999999999997</v>
      </c>
      <c r="D284" s="8">
        <f>7.6849 * CHOOSE( CONTROL!$C$15, $D$11, 100%, $F$11)</f>
        <v>7.6848999999999998</v>
      </c>
      <c r="E284" s="12">
        <f>7.6807 * CHOOSE( CONTROL!$C$15, $D$11, 100%, $F$11)</f>
        <v>7.6806999999999999</v>
      </c>
      <c r="F284" s="4">
        <f>8.359 * CHOOSE(CONTROL!$C$15, $D$11, 100%, $F$11)</f>
        <v>8.359</v>
      </c>
      <c r="G284" s="8">
        <f>7.5103 * CHOOSE( CONTROL!$C$15, $D$11, 100%, $F$11)</f>
        <v>7.5103</v>
      </c>
      <c r="H284" s="4">
        <f>8.4491 * CHOOSE(CONTROL!$C$15, $D$11, 100%, $F$11)</f>
        <v>8.4490999999999996</v>
      </c>
      <c r="I284" s="8">
        <f>7.4769 * CHOOSE(CONTROL!$C$15, $D$11, 100%, $F$11)</f>
        <v>7.4768999999999997</v>
      </c>
      <c r="J284" s="4">
        <f>7.384 * CHOOSE(CONTROL!$C$15, $D$11, 100%, $F$11)</f>
        <v>7.3840000000000003</v>
      </c>
      <c r="K284" s="4"/>
      <c r="L284" s="9">
        <v>30.092199999999998</v>
      </c>
      <c r="M284" s="9">
        <v>11.6745</v>
      </c>
      <c r="N284" s="9">
        <v>4.7850000000000001</v>
      </c>
      <c r="O284" s="9">
        <v>0.36199999999999999</v>
      </c>
      <c r="P284" s="9">
        <v>1.1791</v>
      </c>
      <c r="Q284" s="9">
        <v>29.530799999999999</v>
      </c>
      <c r="R284" s="9"/>
      <c r="S284" s="11"/>
    </row>
    <row r="285" spans="1:19" ht="15.75">
      <c r="A285" s="14">
        <v>50161</v>
      </c>
      <c r="B285" s="8">
        <f>CHOOSE( CONTROL!$C$32, 7.8778, 7.8742) * CHOOSE(CONTROL!$C$15, $D$11, 100%, $F$11)</f>
        <v>7.8777999999999997</v>
      </c>
      <c r="C285" s="8">
        <f>CHOOSE( CONTROL!$C$32, 7.8858, 7.8822) * CHOOSE(CONTROL!$C$15, $D$11, 100%, $F$11)</f>
        <v>7.8857999999999997</v>
      </c>
      <c r="D285" s="8">
        <f>CHOOSE( CONTROL!$C$32, 7.8918, 7.8882) * CHOOSE( CONTROL!$C$15, $D$11, 100%, $F$11)</f>
        <v>7.8917999999999999</v>
      </c>
      <c r="E285" s="12">
        <f>CHOOSE( CONTROL!$C$32, 7.8884, 7.8848) * CHOOSE( CONTROL!$C$15, $D$11, 100%, $F$11)</f>
        <v>7.8883999999999999</v>
      </c>
      <c r="F285" s="4">
        <f>CHOOSE( CONTROL!$C$32, 8.5661, 8.5625) * CHOOSE(CONTROL!$C$15, $D$11, 100%, $F$11)</f>
        <v>8.5661000000000005</v>
      </c>
      <c r="G285" s="8">
        <f>CHOOSE( CONTROL!$C$32, 7.7149, 7.7114) * CHOOSE( CONTROL!$C$15, $D$11, 100%, $F$11)</f>
        <v>7.7149000000000001</v>
      </c>
      <c r="H285" s="4">
        <f>CHOOSE( CONTROL!$C$32, 8.6528, 8.6493) * CHOOSE(CONTROL!$C$15, $D$11, 100%, $F$11)</f>
        <v>8.6527999999999992</v>
      </c>
      <c r="I285" s="8">
        <f>CHOOSE( CONTROL!$C$32, 7.6781, 7.6746) * CHOOSE(CONTROL!$C$15, $D$11, 100%, $F$11)</f>
        <v>7.6780999999999997</v>
      </c>
      <c r="J285" s="4">
        <f>CHOOSE( CONTROL!$C$32, 7.5842, 7.5808) * CHOOSE(CONTROL!$C$15, $D$11, 100%, $F$11)</f>
        <v>7.5842000000000001</v>
      </c>
      <c r="K285" s="4"/>
      <c r="L285" s="9">
        <v>30.7165</v>
      </c>
      <c r="M285" s="9">
        <v>12.063700000000001</v>
      </c>
      <c r="N285" s="9">
        <v>4.9444999999999997</v>
      </c>
      <c r="O285" s="9">
        <v>0.37409999999999999</v>
      </c>
      <c r="P285" s="9">
        <v>1.2183999999999999</v>
      </c>
      <c r="Q285" s="9">
        <v>30.5152</v>
      </c>
      <c r="R285" s="9"/>
      <c r="S285" s="11"/>
    </row>
    <row r="286" spans="1:19" ht="15.75">
      <c r="A286" s="14">
        <v>50192</v>
      </c>
      <c r="B286" s="8">
        <f>CHOOSE( CONTROL!$C$32, 7.7517, 7.7481) * CHOOSE(CONTROL!$C$15, $D$11, 100%, $F$11)</f>
        <v>7.7516999999999996</v>
      </c>
      <c r="C286" s="8">
        <f>CHOOSE( CONTROL!$C$32, 7.7597, 7.7562) * CHOOSE(CONTROL!$C$15, $D$11, 100%, $F$11)</f>
        <v>7.7596999999999996</v>
      </c>
      <c r="D286" s="8">
        <f>CHOOSE( CONTROL!$C$32, 7.766, 7.7624) * CHOOSE( CONTROL!$C$15, $D$11, 100%, $F$11)</f>
        <v>7.766</v>
      </c>
      <c r="E286" s="12">
        <f>CHOOSE( CONTROL!$C$32, 7.7625, 7.7589) * CHOOSE( CONTROL!$C$15, $D$11, 100%, $F$11)</f>
        <v>7.7625000000000002</v>
      </c>
      <c r="F286" s="4">
        <f>CHOOSE( CONTROL!$C$32, 8.44, 8.4364) * CHOOSE(CONTROL!$C$15, $D$11, 100%, $F$11)</f>
        <v>8.44</v>
      </c>
      <c r="G286" s="8">
        <f>CHOOSE( CONTROL!$C$32, 7.5914, 7.5878) * CHOOSE( CONTROL!$C$15, $D$11, 100%, $F$11)</f>
        <v>7.5914000000000001</v>
      </c>
      <c r="H286" s="4">
        <f>CHOOSE( CONTROL!$C$32, 8.5288, 8.5253) * CHOOSE(CONTROL!$C$15, $D$11, 100%, $F$11)</f>
        <v>8.5288000000000004</v>
      </c>
      <c r="I286" s="8">
        <f>CHOOSE( CONTROL!$C$32, 7.5575, 7.554) * CHOOSE(CONTROL!$C$15, $D$11, 100%, $F$11)</f>
        <v>7.5575000000000001</v>
      </c>
      <c r="J286" s="4">
        <f>CHOOSE( CONTROL!$C$32, 7.4623, 7.4589) * CHOOSE(CONTROL!$C$15, $D$11, 100%, $F$11)</f>
        <v>7.4622999999999999</v>
      </c>
      <c r="K286" s="4"/>
      <c r="L286" s="9">
        <v>29.7257</v>
      </c>
      <c r="M286" s="9">
        <v>11.6745</v>
      </c>
      <c r="N286" s="9">
        <v>4.7850000000000001</v>
      </c>
      <c r="O286" s="9">
        <v>0.36199999999999999</v>
      </c>
      <c r="P286" s="9">
        <v>1.1791</v>
      </c>
      <c r="Q286" s="9">
        <v>29.530799999999999</v>
      </c>
      <c r="R286" s="9"/>
      <c r="S286" s="11"/>
    </row>
    <row r="287" spans="1:19" ht="15.75">
      <c r="A287" s="14">
        <v>50222</v>
      </c>
      <c r="B287" s="8">
        <f>CHOOSE( CONTROL!$C$32, 8.0837, 8.0802) * CHOOSE(CONTROL!$C$15, $D$11, 100%, $F$11)</f>
        <v>8.0837000000000003</v>
      </c>
      <c r="C287" s="8">
        <f>CHOOSE( CONTROL!$C$32, 8.0917, 8.0882) * CHOOSE(CONTROL!$C$15, $D$11, 100%, $F$11)</f>
        <v>8.0916999999999994</v>
      </c>
      <c r="D287" s="8">
        <f>CHOOSE( CONTROL!$C$32, 8.0983, 8.0948) * CHOOSE( CONTROL!$C$15, $D$11, 100%, $F$11)</f>
        <v>8.0983000000000001</v>
      </c>
      <c r="E287" s="12">
        <f>CHOOSE( CONTROL!$C$32, 8.0947, 8.0912) * CHOOSE( CONTROL!$C$15, $D$11, 100%, $F$11)</f>
        <v>8.0946999999999996</v>
      </c>
      <c r="F287" s="4">
        <f>CHOOSE( CONTROL!$C$32, 8.772, 8.7684) * CHOOSE(CONTROL!$C$15, $D$11, 100%, $F$11)</f>
        <v>8.7720000000000002</v>
      </c>
      <c r="G287" s="8">
        <f>CHOOSE( CONTROL!$C$32, 7.9183, 7.9148) * CHOOSE( CONTROL!$C$15, $D$11, 100%, $F$11)</f>
        <v>7.9183000000000003</v>
      </c>
      <c r="H287" s="4">
        <f>CHOOSE( CONTROL!$C$32, 8.8553, 8.8518) * CHOOSE(CONTROL!$C$15, $D$11, 100%, $F$11)</f>
        <v>8.8552999999999997</v>
      </c>
      <c r="I287" s="8">
        <f>CHOOSE( CONTROL!$C$32, 7.88, 7.8766) * CHOOSE(CONTROL!$C$15, $D$11, 100%, $F$11)</f>
        <v>7.88</v>
      </c>
      <c r="J287" s="4">
        <f>CHOOSE( CONTROL!$C$32, 7.7833, 7.7799) * CHOOSE(CONTROL!$C$15, $D$11, 100%, $F$11)</f>
        <v>7.7832999999999997</v>
      </c>
      <c r="K287" s="4"/>
      <c r="L287" s="9">
        <v>30.7165</v>
      </c>
      <c r="M287" s="9">
        <v>12.063700000000001</v>
      </c>
      <c r="N287" s="9">
        <v>4.9444999999999997</v>
      </c>
      <c r="O287" s="9">
        <v>0.37409999999999999</v>
      </c>
      <c r="P287" s="9">
        <v>1.2183999999999999</v>
      </c>
      <c r="Q287" s="9">
        <v>30.5152</v>
      </c>
      <c r="R287" s="9"/>
      <c r="S287" s="11"/>
    </row>
    <row r="288" spans="1:19" ht="15.75">
      <c r="A288" s="14">
        <v>50253</v>
      </c>
      <c r="B288" s="8">
        <f>CHOOSE( CONTROL!$C$32, 7.4625, 7.4589) * CHOOSE(CONTROL!$C$15, $D$11, 100%, $F$11)</f>
        <v>7.4625000000000004</v>
      </c>
      <c r="C288" s="8">
        <f>CHOOSE( CONTROL!$C$32, 7.4705, 7.4669) * CHOOSE(CONTROL!$C$15, $D$11, 100%, $F$11)</f>
        <v>7.4705000000000004</v>
      </c>
      <c r="D288" s="8">
        <f>CHOOSE( CONTROL!$C$32, 7.4772, 7.4736) * CHOOSE( CONTROL!$C$15, $D$11, 100%, $F$11)</f>
        <v>7.4771999999999998</v>
      </c>
      <c r="E288" s="12">
        <f>CHOOSE( CONTROL!$C$32, 7.4736, 7.47) * CHOOSE( CONTROL!$C$15, $D$11, 100%, $F$11)</f>
        <v>7.4736000000000002</v>
      </c>
      <c r="F288" s="4">
        <f>CHOOSE( CONTROL!$C$32, 8.1508, 8.1472) * CHOOSE(CONTROL!$C$15, $D$11, 100%, $F$11)</f>
        <v>8.1508000000000003</v>
      </c>
      <c r="G288" s="8">
        <f>CHOOSE( CONTROL!$C$32, 7.3075, 7.304) * CHOOSE( CONTROL!$C$15, $D$11, 100%, $F$11)</f>
        <v>7.3075000000000001</v>
      </c>
      <c r="H288" s="4">
        <f>CHOOSE( CONTROL!$C$32, 8.2444, 8.2409) * CHOOSE(CONTROL!$C$15, $D$11, 100%, $F$11)</f>
        <v>8.2444000000000006</v>
      </c>
      <c r="I288" s="8">
        <f>CHOOSE( CONTROL!$C$32, 7.2797, 7.2762) * CHOOSE(CONTROL!$C$15, $D$11, 100%, $F$11)</f>
        <v>7.2797000000000001</v>
      </c>
      <c r="J288" s="4">
        <f>CHOOSE( CONTROL!$C$32, 7.1828, 7.1793) * CHOOSE(CONTROL!$C$15, $D$11, 100%, $F$11)</f>
        <v>7.1828000000000003</v>
      </c>
      <c r="K288" s="4"/>
      <c r="L288" s="9">
        <v>30.7165</v>
      </c>
      <c r="M288" s="9">
        <v>12.063700000000001</v>
      </c>
      <c r="N288" s="9">
        <v>4.9444999999999997</v>
      </c>
      <c r="O288" s="9">
        <v>0.37409999999999999</v>
      </c>
      <c r="P288" s="9">
        <v>1.2183999999999999</v>
      </c>
      <c r="Q288" s="9">
        <v>30.5152</v>
      </c>
      <c r="R288" s="9"/>
      <c r="S288" s="11"/>
    </row>
    <row r="289" spans="1:19" ht="15.75">
      <c r="A289" s="14">
        <v>50284</v>
      </c>
      <c r="B289" s="8">
        <f>CHOOSE( CONTROL!$C$32, 7.3069, 7.3034) * CHOOSE(CONTROL!$C$15, $D$11, 100%, $F$11)</f>
        <v>7.3068999999999997</v>
      </c>
      <c r="C289" s="8">
        <f>CHOOSE( CONTROL!$C$32, 7.3149, 7.3114) * CHOOSE(CONTROL!$C$15, $D$11, 100%, $F$11)</f>
        <v>7.3148999999999997</v>
      </c>
      <c r="D289" s="8">
        <f>CHOOSE( CONTROL!$C$32, 7.3216, 7.3181) * CHOOSE( CONTROL!$C$15, $D$11, 100%, $F$11)</f>
        <v>7.3216000000000001</v>
      </c>
      <c r="E289" s="12">
        <f>CHOOSE( CONTROL!$C$32, 7.318, 7.3145) * CHOOSE( CONTROL!$C$15, $D$11, 100%, $F$11)</f>
        <v>7.3179999999999996</v>
      </c>
      <c r="F289" s="4">
        <f>CHOOSE( CONTROL!$C$32, 7.9952, 7.9916) * CHOOSE(CONTROL!$C$15, $D$11, 100%, $F$11)</f>
        <v>7.9951999999999996</v>
      </c>
      <c r="G289" s="8">
        <f>CHOOSE( CONTROL!$C$32, 7.1545, 7.151) * CHOOSE( CONTROL!$C$15, $D$11, 100%, $F$11)</f>
        <v>7.1544999999999996</v>
      </c>
      <c r="H289" s="4">
        <f>CHOOSE( CONTROL!$C$32, 8.0914, 8.0879) * CHOOSE(CONTROL!$C$15, $D$11, 100%, $F$11)</f>
        <v>8.0914000000000001</v>
      </c>
      <c r="I289" s="8">
        <f>CHOOSE( CONTROL!$C$32, 7.1292, 7.1257) * CHOOSE(CONTROL!$C$15, $D$11, 100%, $F$11)</f>
        <v>7.1292</v>
      </c>
      <c r="J289" s="4">
        <f>CHOOSE( CONTROL!$C$32, 7.0324, 7.0289) * CHOOSE(CONTROL!$C$15, $D$11, 100%, $F$11)</f>
        <v>7.0324</v>
      </c>
      <c r="K289" s="4"/>
      <c r="L289" s="9">
        <v>29.7257</v>
      </c>
      <c r="M289" s="9">
        <v>11.6745</v>
      </c>
      <c r="N289" s="9">
        <v>4.7850000000000001</v>
      </c>
      <c r="O289" s="9">
        <v>0.36199999999999999</v>
      </c>
      <c r="P289" s="9">
        <v>1.1791</v>
      </c>
      <c r="Q289" s="9">
        <v>29.530799999999999</v>
      </c>
      <c r="R289" s="9"/>
      <c r="S289" s="11"/>
    </row>
    <row r="290" spans="1:19" ht="15.75">
      <c r="A290" s="14">
        <v>50314</v>
      </c>
      <c r="B290" s="8">
        <f>7.6246 * CHOOSE(CONTROL!$C$15, $D$11, 100%, $F$11)</f>
        <v>7.6246</v>
      </c>
      <c r="C290" s="8">
        <f>7.63 * CHOOSE(CONTROL!$C$15, $D$11, 100%, $F$11)</f>
        <v>7.63</v>
      </c>
      <c r="D290" s="8">
        <f>7.6415 * CHOOSE( CONTROL!$C$15, $D$11, 100%, $F$11)</f>
        <v>7.6414999999999997</v>
      </c>
      <c r="E290" s="12">
        <f>7.6371 * CHOOSE( CONTROL!$C$15, $D$11, 100%, $F$11)</f>
        <v>7.6371000000000002</v>
      </c>
      <c r="F290" s="4">
        <f>8.3146 * CHOOSE(CONTROL!$C$15, $D$11, 100%, $F$11)</f>
        <v>8.3146000000000004</v>
      </c>
      <c r="G290" s="8">
        <f>7.4682 * CHOOSE( CONTROL!$C$15, $D$11, 100%, $F$11)</f>
        <v>7.4682000000000004</v>
      </c>
      <c r="H290" s="4">
        <f>8.4055 * CHOOSE(CONTROL!$C$15, $D$11, 100%, $F$11)</f>
        <v>8.4055</v>
      </c>
      <c r="I290" s="8">
        <f>7.4389 * CHOOSE(CONTROL!$C$15, $D$11, 100%, $F$11)</f>
        <v>7.4389000000000003</v>
      </c>
      <c r="J290" s="4">
        <f>7.3412 * CHOOSE(CONTROL!$C$15, $D$11, 100%, $F$11)</f>
        <v>7.3411999999999997</v>
      </c>
      <c r="K290" s="4"/>
      <c r="L290" s="9">
        <v>31.095300000000002</v>
      </c>
      <c r="M290" s="9">
        <v>12.063700000000001</v>
      </c>
      <c r="N290" s="9">
        <v>4.9444999999999997</v>
      </c>
      <c r="O290" s="9">
        <v>0.37409999999999999</v>
      </c>
      <c r="P290" s="9">
        <v>1.2183999999999999</v>
      </c>
      <c r="Q290" s="9">
        <v>30.5152</v>
      </c>
      <c r="R290" s="9"/>
      <c r="S290" s="11"/>
    </row>
    <row r="291" spans="1:19" ht="15.75">
      <c r="A291" s="14">
        <v>50345</v>
      </c>
      <c r="B291" s="8">
        <f>8.2204 * CHOOSE(CONTROL!$C$15, $D$11, 100%, $F$11)</f>
        <v>8.2203999999999997</v>
      </c>
      <c r="C291" s="8">
        <f>8.2256 * CHOOSE(CONTROL!$C$15, $D$11, 100%, $F$11)</f>
        <v>8.2256</v>
      </c>
      <c r="D291" s="8">
        <f>8.2025 * CHOOSE( CONTROL!$C$15, $D$11, 100%, $F$11)</f>
        <v>8.2025000000000006</v>
      </c>
      <c r="E291" s="12">
        <f>8.2104 * CHOOSE( CONTROL!$C$15, $D$11, 100%, $F$11)</f>
        <v>8.2103999999999999</v>
      </c>
      <c r="F291" s="4">
        <f>8.8653 * CHOOSE(CONTROL!$C$15, $D$11, 100%, $F$11)</f>
        <v>8.8652999999999995</v>
      </c>
      <c r="G291" s="8">
        <f>8.0653 * CHOOSE( CONTROL!$C$15, $D$11, 100%, $F$11)</f>
        <v>8.0653000000000006</v>
      </c>
      <c r="H291" s="4">
        <f>8.9471 * CHOOSE(CONTROL!$C$15, $D$11, 100%, $F$11)</f>
        <v>8.9471000000000007</v>
      </c>
      <c r="I291" s="8">
        <f>8.0402 * CHOOSE(CONTROL!$C$15, $D$11, 100%, $F$11)</f>
        <v>8.0402000000000005</v>
      </c>
      <c r="J291" s="4">
        <f>7.9175 * CHOOSE(CONTROL!$C$15, $D$11, 100%, $F$11)</f>
        <v>7.9175000000000004</v>
      </c>
      <c r="K291" s="4"/>
      <c r="L291" s="9">
        <v>28.360600000000002</v>
      </c>
      <c r="M291" s="9">
        <v>11.6745</v>
      </c>
      <c r="N291" s="9">
        <v>4.7850000000000001</v>
      </c>
      <c r="O291" s="9">
        <v>0.36199999999999999</v>
      </c>
      <c r="P291" s="9">
        <v>1.2509999999999999</v>
      </c>
      <c r="Q291" s="9">
        <v>29.530799999999999</v>
      </c>
      <c r="R291" s="9"/>
      <c r="S291" s="11"/>
    </row>
    <row r="292" spans="1:19" ht="15.75">
      <c r="A292" s="14">
        <v>50375</v>
      </c>
      <c r="B292" s="8">
        <f>8.2055 * CHOOSE(CONTROL!$C$15, $D$11, 100%, $F$11)</f>
        <v>8.2055000000000007</v>
      </c>
      <c r="C292" s="8">
        <f>8.2107 * CHOOSE(CONTROL!$C$15, $D$11, 100%, $F$11)</f>
        <v>8.2106999999999992</v>
      </c>
      <c r="D292" s="8">
        <f>8.189 * CHOOSE( CONTROL!$C$15, $D$11, 100%, $F$11)</f>
        <v>8.1890000000000001</v>
      </c>
      <c r="E292" s="12">
        <f>8.1964 * CHOOSE( CONTROL!$C$15, $D$11, 100%, $F$11)</f>
        <v>8.1964000000000006</v>
      </c>
      <c r="F292" s="4">
        <f>8.8504 * CHOOSE(CONTROL!$C$15, $D$11, 100%, $F$11)</f>
        <v>8.8504000000000005</v>
      </c>
      <c r="G292" s="8">
        <f>8.0516 * CHOOSE( CONTROL!$C$15, $D$11, 100%, $F$11)</f>
        <v>8.0516000000000005</v>
      </c>
      <c r="H292" s="4">
        <f>8.9324 * CHOOSE(CONTROL!$C$15, $D$11, 100%, $F$11)</f>
        <v>8.9323999999999995</v>
      </c>
      <c r="I292" s="8">
        <f>8.0301 * CHOOSE(CONTROL!$C$15, $D$11, 100%, $F$11)</f>
        <v>8.0300999999999991</v>
      </c>
      <c r="J292" s="4">
        <f>7.9031 * CHOOSE(CONTROL!$C$15, $D$11, 100%, $F$11)</f>
        <v>7.9031000000000002</v>
      </c>
      <c r="K292" s="4"/>
      <c r="L292" s="9">
        <v>29.306000000000001</v>
      </c>
      <c r="M292" s="9">
        <v>12.063700000000001</v>
      </c>
      <c r="N292" s="9">
        <v>4.9444999999999997</v>
      </c>
      <c r="O292" s="9">
        <v>0.37409999999999999</v>
      </c>
      <c r="P292" s="9">
        <v>1.2927</v>
      </c>
      <c r="Q292" s="9">
        <v>30.5152</v>
      </c>
      <c r="R292" s="9"/>
      <c r="S292" s="11"/>
    </row>
    <row r="293" spans="1:19" ht="15.75">
      <c r="A293" s="13">
        <v>50436</v>
      </c>
      <c r="B293" s="8">
        <f>8.518 * CHOOSE(CONTROL!$C$15, $D$11, 100%, $F$11)</f>
        <v>8.5180000000000007</v>
      </c>
      <c r="C293" s="8">
        <f>8.5231 * CHOOSE(CONTROL!$C$15, $D$11, 100%, $F$11)</f>
        <v>8.5230999999999995</v>
      </c>
      <c r="D293" s="8">
        <f>8.4973 * CHOOSE( CONTROL!$C$15, $D$11, 100%, $F$11)</f>
        <v>8.4972999999999992</v>
      </c>
      <c r="E293" s="12">
        <f>8.5062 * CHOOSE( CONTROL!$C$15, $D$11, 100%, $F$11)</f>
        <v>8.5061999999999998</v>
      </c>
      <c r="F293" s="4">
        <f>9.162 * CHOOSE(CONTROL!$C$15, $D$11, 100%, $F$11)</f>
        <v>9.1620000000000008</v>
      </c>
      <c r="G293" s="8">
        <f>8.3526 * CHOOSE( CONTROL!$C$15, $D$11, 100%, $F$11)</f>
        <v>8.3526000000000007</v>
      </c>
      <c r="H293" s="4">
        <f>9.2389 * CHOOSE(CONTROL!$C$15, $D$11, 100%, $F$11)</f>
        <v>9.2388999999999992</v>
      </c>
      <c r="I293" s="8">
        <f>8.3029 * CHOOSE(CONTROL!$C$15, $D$11, 100%, $F$11)</f>
        <v>8.3028999999999993</v>
      </c>
      <c r="J293" s="4">
        <f>8.2052 * CHOOSE(CONTROL!$C$15, $D$11, 100%, $F$11)</f>
        <v>8.2051999999999996</v>
      </c>
      <c r="K293" s="4"/>
      <c r="L293" s="9">
        <v>29.306000000000001</v>
      </c>
      <c r="M293" s="9">
        <v>12.063700000000001</v>
      </c>
      <c r="N293" s="9">
        <v>4.9444999999999997</v>
      </c>
      <c r="O293" s="9">
        <v>0.37409999999999999</v>
      </c>
      <c r="P293" s="9">
        <v>1.2927</v>
      </c>
      <c r="Q293" s="9">
        <v>30.451899999999998</v>
      </c>
      <c r="R293" s="9"/>
      <c r="S293" s="11"/>
    </row>
    <row r="294" spans="1:19" ht="15.75">
      <c r="A294" s="13">
        <v>50464</v>
      </c>
      <c r="B294" s="8">
        <f>7.9693 * CHOOSE(CONTROL!$C$15, $D$11, 100%, $F$11)</f>
        <v>7.9692999999999996</v>
      </c>
      <c r="C294" s="8">
        <f>7.9744 * CHOOSE(CONTROL!$C$15, $D$11, 100%, $F$11)</f>
        <v>7.9744000000000002</v>
      </c>
      <c r="D294" s="8">
        <f>7.9488 * CHOOSE( CONTROL!$C$15, $D$11, 100%, $F$11)</f>
        <v>7.9488000000000003</v>
      </c>
      <c r="E294" s="12">
        <f>7.9576 * CHOOSE( CONTROL!$C$15, $D$11, 100%, $F$11)</f>
        <v>7.9576000000000002</v>
      </c>
      <c r="F294" s="4">
        <f>8.6133 * CHOOSE(CONTROL!$C$15, $D$11, 100%, $F$11)</f>
        <v>8.6133000000000006</v>
      </c>
      <c r="G294" s="8">
        <f>7.8132 * CHOOSE( CONTROL!$C$15, $D$11, 100%, $F$11)</f>
        <v>7.8132000000000001</v>
      </c>
      <c r="H294" s="4">
        <f>8.6992 * CHOOSE(CONTROL!$C$15, $D$11, 100%, $F$11)</f>
        <v>8.6991999999999994</v>
      </c>
      <c r="I294" s="8">
        <f>7.7729 * CHOOSE(CONTROL!$C$15, $D$11, 100%, $F$11)</f>
        <v>7.7728999999999999</v>
      </c>
      <c r="J294" s="4">
        <f>7.6747 * CHOOSE(CONTROL!$C$15, $D$11, 100%, $F$11)</f>
        <v>7.6746999999999996</v>
      </c>
      <c r="K294" s="4"/>
      <c r="L294" s="9">
        <v>26.469899999999999</v>
      </c>
      <c r="M294" s="9">
        <v>10.8962</v>
      </c>
      <c r="N294" s="9">
        <v>4.4660000000000002</v>
      </c>
      <c r="O294" s="9">
        <v>0.33789999999999998</v>
      </c>
      <c r="P294" s="9">
        <v>1.1676</v>
      </c>
      <c r="Q294" s="9">
        <v>27.504999999999999</v>
      </c>
      <c r="R294" s="9"/>
      <c r="S294" s="11"/>
    </row>
    <row r="295" spans="1:19" ht="15.75">
      <c r="A295" s="13">
        <v>50495</v>
      </c>
      <c r="B295" s="8">
        <f>7.8003 * CHOOSE(CONTROL!$C$15, $D$11, 100%, $F$11)</f>
        <v>7.8003</v>
      </c>
      <c r="C295" s="8">
        <f>7.8054 * CHOOSE(CONTROL!$C$15, $D$11, 100%, $F$11)</f>
        <v>7.8053999999999997</v>
      </c>
      <c r="D295" s="8">
        <f>7.7797 * CHOOSE( CONTROL!$C$15, $D$11, 100%, $F$11)</f>
        <v>7.7797000000000001</v>
      </c>
      <c r="E295" s="12">
        <f>7.7886 * CHOOSE( CONTROL!$C$15, $D$11, 100%, $F$11)</f>
        <v>7.7885999999999997</v>
      </c>
      <c r="F295" s="4">
        <f>8.4443 * CHOOSE(CONTROL!$C$15, $D$11, 100%, $F$11)</f>
        <v>8.4443000000000001</v>
      </c>
      <c r="G295" s="8">
        <f>7.6469 * CHOOSE( CONTROL!$C$15, $D$11, 100%, $F$11)</f>
        <v>7.6468999999999996</v>
      </c>
      <c r="H295" s="4">
        <f>8.533 * CHOOSE(CONTROL!$C$15, $D$11, 100%, $F$11)</f>
        <v>8.5329999999999995</v>
      </c>
      <c r="I295" s="8">
        <f>7.6092 * CHOOSE(CONTROL!$C$15, $D$11, 100%, $F$11)</f>
        <v>7.6092000000000004</v>
      </c>
      <c r="J295" s="4">
        <f>7.5113 * CHOOSE(CONTROL!$C$15, $D$11, 100%, $F$11)</f>
        <v>7.5113000000000003</v>
      </c>
      <c r="K295" s="4"/>
      <c r="L295" s="9">
        <v>29.306000000000001</v>
      </c>
      <c r="M295" s="9">
        <v>12.063700000000001</v>
      </c>
      <c r="N295" s="9">
        <v>4.9444999999999997</v>
      </c>
      <c r="O295" s="9">
        <v>0.37409999999999999</v>
      </c>
      <c r="P295" s="9">
        <v>1.2927</v>
      </c>
      <c r="Q295" s="9">
        <v>30.451899999999998</v>
      </c>
      <c r="R295" s="9"/>
      <c r="S295" s="11"/>
    </row>
    <row r="296" spans="1:19" ht="15.75">
      <c r="A296" s="13">
        <v>50525</v>
      </c>
      <c r="B296" s="8">
        <f>7.9191 * CHOOSE(CONTROL!$C$15, $D$11, 100%, $F$11)</f>
        <v>7.9191000000000003</v>
      </c>
      <c r="C296" s="8">
        <f>7.9237 * CHOOSE(CONTROL!$C$15, $D$11, 100%, $F$11)</f>
        <v>7.9237000000000002</v>
      </c>
      <c r="D296" s="8">
        <f>7.9347 * CHOOSE( CONTROL!$C$15, $D$11, 100%, $F$11)</f>
        <v>7.9347000000000003</v>
      </c>
      <c r="E296" s="12">
        <f>7.9305 * CHOOSE( CONTROL!$C$15, $D$11, 100%, $F$11)</f>
        <v>7.9305000000000003</v>
      </c>
      <c r="F296" s="4">
        <f>8.6088 * CHOOSE(CONTROL!$C$15, $D$11, 100%, $F$11)</f>
        <v>8.6088000000000005</v>
      </c>
      <c r="G296" s="8">
        <f>7.7559 * CHOOSE( CONTROL!$C$15, $D$11, 100%, $F$11)</f>
        <v>7.7558999999999996</v>
      </c>
      <c r="H296" s="4">
        <f>8.6948 * CHOOSE(CONTROL!$C$15, $D$11, 100%, $F$11)</f>
        <v>8.6948000000000008</v>
      </c>
      <c r="I296" s="8">
        <f>7.7185 * CHOOSE(CONTROL!$C$15, $D$11, 100%, $F$11)</f>
        <v>7.7184999999999997</v>
      </c>
      <c r="J296" s="4">
        <f>7.6255 * CHOOSE(CONTROL!$C$15, $D$11, 100%, $F$11)</f>
        <v>7.6254999999999997</v>
      </c>
      <c r="K296" s="4"/>
      <c r="L296" s="9">
        <v>30.092199999999998</v>
      </c>
      <c r="M296" s="9">
        <v>11.6745</v>
      </c>
      <c r="N296" s="9">
        <v>4.7850000000000001</v>
      </c>
      <c r="O296" s="9">
        <v>0.36199999999999999</v>
      </c>
      <c r="P296" s="9">
        <v>1.1791</v>
      </c>
      <c r="Q296" s="9">
        <v>29.4696</v>
      </c>
      <c r="R296" s="9"/>
      <c r="S296" s="11"/>
    </row>
    <row r="297" spans="1:19" ht="15.75">
      <c r="A297" s="13">
        <v>50556</v>
      </c>
      <c r="B297" s="8">
        <f>CHOOSE( CONTROL!$C$32, 8.1342, 8.1307) * CHOOSE(CONTROL!$C$15, $D$11, 100%, $F$11)</f>
        <v>8.1341999999999999</v>
      </c>
      <c r="C297" s="8">
        <f>CHOOSE( CONTROL!$C$32, 8.1423, 8.1387) * CHOOSE(CONTROL!$C$15, $D$11, 100%, $F$11)</f>
        <v>8.1423000000000005</v>
      </c>
      <c r="D297" s="8">
        <f>CHOOSE( CONTROL!$C$32, 8.1483, 8.1447) * CHOOSE( CONTROL!$C$15, $D$11, 100%, $F$11)</f>
        <v>8.1483000000000008</v>
      </c>
      <c r="E297" s="12">
        <f>CHOOSE( CONTROL!$C$32, 8.1449, 8.1413) * CHOOSE( CONTROL!$C$15, $D$11, 100%, $F$11)</f>
        <v>8.1448999999999998</v>
      </c>
      <c r="F297" s="4">
        <f>CHOOSE( CONTROL!$C$32, 8.8225, 8.819) * CHOOSE(CONTROL!$C$15, $D$11, 100%, $F$11)</f>
        <v>8.8224999999999998</v>
      </c>
      <c r="G297" s="8">
        <f>CHOOSE( CONTROL!$C$32, 7.9671, 7.9636) * CHOOSE( CONTROL!$C$15, $D$11, 100%, $F$11)</f>
        <v>7.9671000000000003</v>
      </c>
      <c r="H297" s="4">
        <f>CHOOSE( CONTROL!$C$32, 8.905, 8.9015) * CHOOSE(CONTROL!$C$15, $D$11, 100%, $F$11)</f>
        <v>8.9049999999999994</v>
      </c>
      <c r="I297" s="8">
        <f>CHOOSE( CONTROL!$C$32, 7.9261, 7.9227) * CHOOSE(CONTROL!$C$15, $D$11, 100%, $F$11)</f>
        <v>7.9260999999999999</v>
      </c>
      <c r="J297" s="4">
        <f>CHOOSE( CONTROL!$C$32, 7.8321, 7.8287) * CHOOSE(CONTROL!$C$15, $D$11, 100%, $F$11)</f>
        <v>7.8320999999999996</v>
      </c>
      <c r="K297" s="4"/>
      <c r="L297" s="9">
        <v>30.7165</v>
      </c>
      <c r="M297" s="9">
        <v>12.063700000000001</v>
      </c>
      <c r="N297" s="9">
        <v>4.9444999999999997</v>
      </c>
      <c r="O297" s="9">
        <v>0.37409999999999999</v>
      </c>
      <c r="P297" s="9">
        <v>1.2183999999999999</v>
      </c>
      <c r="Q297" s="9">
        <v>30.451899999999998</v>
      </c>
      <c r="R297" s="9"/>
      <c r="S297" s="11"/>
    </row>
    <row r="298" spans="1:19" ht="15.75">
      <c r="A298" s="13">
        <v>50586</v>
      </c>
      <c r="B298" s="8">
        <f>CHOOSE( CONTROL!$C$32, 8.004, 8.0005) * CHOOSE(CONTROL!$C$15, $D$11, 100%, $F$11)</f>
        <v>8.0039999999999996</v>
      </c>
      <c r="C298" s="8">
        <f>CHOOSE( CONTROL!$C$32, 8.0121, 8.0085) * CHOOSE(CONTROL!$C$15, $D$11, 100%, $F$11)</f>
        <v>8.0121000000000002</v>
      </c>
      <c r="D298" s="8">
        <f>CHOOSE( CONTROL!$C$32, 8.0183, 8.0148) * CHOOSE( CONTROL!$C$15, $D$11, 100%, $F$11)</f>
        <v>8.0183</v>
      </c>
      <c r="E298" s="12">
        <f>CHOOSE( CONTROL!$C$32, 8.0148, 8.0113) * CHOOSE( CONTROL!$C$15, $D$11, 100%, $F$11)</f>
        <v>8.0147999999999993</v>
      </c>
      <c r="F298" s="4">
        <f>CHOOSE( CONTROL!$C$32, 8.6923, 8.6888) * CHOOSE(CONTROL!$C$15, $D$11, 100%, $F$11)</f>
        <v>8.6922999999999995</v>
      </c>
      <c r="G298" s="8">
        <f>CHOOSE( CONTROL!$C$32, 7.8395, 7.836) * CHOOSE( CONTROL!$C$15, $D$11, 100%, $F$11)</f>
        <v>7.8395000000000001</v>
      </c>
      <c r="H298" s="4">
        <f>CHOOSE( CONTROL!$C$32, 8.7769, 8.7734) * CHOOSE(CONTROL!$C$15, $D$11, 100%, $F$11)</f>
        <v>8.7768999999999995</v>
      </c>
      <c r="I298" s="8">
        <f>CHOOSE( CONTROL!$C$32, 7.8015, 7.7981) * CHOOSE(CONTROL!$C$15, $D$11, 100%, $F$11)</f>
        <v>7.8014999999999999</v>
      </c>
      <c r="J298" s="4">
        <f>CHOOSE( CONTROL!$C$32, 7.7063, 7.7028) * CHOOSE(CONTROL!$C$15, $D$11, 100%, $F$11)</f>
        <v>7.7062999999999997</v>
      </c>
      <c r="K298" s="4"/>
      <c r="L298" s="9">
        <v>29.7257</v>
      </c>
      <c r="M298" s="9">
        <v>11.6745</v>
      </c>
      <c r="N298" s="9">
        <v>4.7850000000000001</v>
      </c>
      <c r="O298" s="9">
        <v>0.36199999999999999</v>
      </c>
      <c r="P298" s="9">
        <v>1.1791</v>
      </c>
      <c r="Q298" s="9">
        <v>29.4696</v>
      </c>
      <c r="R298" s="9"/>
      <c r="S298" s="11"/>
    </row>
    <row r="299" spans="1:19" ht="15.75">
      <c r="A299" s="13">
        <v>50617</v>
      </c>
      <c r="B299" s="8">
        <f>CHOOSE( CONTROL!$C$32, 8.3469, 8.3434) * CHOOSE(CONTROL!$C$15, $D$11, 100%, $F$11)</f>
        <v>8.3468999999999998</v>
      </c>
      <c r="C299" s="8">
        <f>CHOOSE( CONTROL!$C$32, 8.3549, 8.3514) * CHOOSE(CONTROL!$C$15, $D$11, 100%, $F$11)</f>
        <v>8.3549000000000007</v>
      </c>
      <c r="D299" s="8">
        <f>CHOOSE( CONTROL!$C$32, 8.3615, 8.358) * CHOOSE( CONTROL!$C$15, $D$11, 100%, $F$11)</f>
        <v>8.3614999999999995</v>
      </c>
      <c r="E299" s="12">
        <f>CHOOSE( CONTROL!$C$32, 8.3579, 8.3544) * CHOOSE( CONTROL!$C$15, $D$11, 100%, $F$11)</f>
        <v>8.3579000000000008</v>
      </c>
      <c r="F299" s="4">
        <f>CHOOSE( CONTROL!$C$32, 9.0352, 9.0316) * CHOOSE(CONTROL!$C$15, $D$11, 100%, $F$11)</f>
        <v>9.0351999999999997</v>
      </c>
      <c r="G299" s="8">
        <f>CHOOSE( CONTROL!$C$32, 8.1771, 8.1736) * CHOOSE( CONTROL!$C$15, $D$11, 100%, $F$11)</f>
        <v>8.1770999999999994</v>
      </c>
      <c r="H299" s="4">
        <f>CHOOSE( CONTROL!$C$32, 9.1141, 9.1106) * CHOOSE(CONTROL!$C$15, $D$11, 100%, $F$11)</f>
        <v>9.1141000000000005</v>
      </c>
      <c r="I299" s="8">
        <f>CHOOSE( CONTROL!$C$32, 8.1346, 8.1312) * CHOOSE(CONTROL!$C$15, $D$11, 100%, $F$11)</f>
        <v>8.1346000000000007</v>
      </c>
      <c r="J299" s="4">
        <f>CHOOSE( CONTROL!$C$32, 8.0377, 8.0343) * CHOOSE(CONTROL!$C$15, $D$11, 100%, $F$11)</f>
        <v>8.0376999999999992</v>
      </c>
      <c r="K299" s="4"/>
      <c r="L299" s="9">
        <v>30.7165</v>
      </c>
      <c r="M299" s="9">
        <v>12.063700000000001</v>
      </c>
      <c r="N299" s="9">
        <v>4.9444999999999997</v>
      </c>
      <c r="O299" s="9">
        <v>0.37409999999999999</v>
      </c>
      <c r="P299" s="9">
        <v>1.2183999999999999</v>
      </c>
      <c r="Q299" s="9">
        <v>30.451899999999998</v>
      </c>
      <c r="R299" s="9"/>
      <c r="S299" s="11"/>
    </row>
    <row r="300" spans="1:19" ht="15.75">
      <c r="A300" s="13">
        <v>50648</v>
      </c>
      <c r="B300" s="8">
        <f>CHOOSE( CONTROL!$C$32, 7.7054, 7.7018) * CHOOSE(CONTROL!$C$15, $D$11, 100%, $F$11)</f>
        <v>7.7054</v>
      </c>
      <c r="C300" s="8">
        <f>CHOOSE( CONTROL!$C$32, 7.7134, 7.7098) * CHOOSE(CONTROL!$C$15, $D$11, 100%, $F$11)</f>
        <v>7.7134</v>
      </c>
      <c r="D300" s="8">
        <f>CHOOSE( CONTROL!$C$32, 7.7201, 7.7165) * CHOOSE( CONTROL!$C$15, $D$11, 100%, $F$11)</f>
        <v>7.7201000000000004</v>
      </c>
      <c r="E300" s="12">
        <f>CHOOSE( CONTROL!$C$32, 7.7165, 7.7129) * CHOOSE( CONTROL!$C$15, $D$11, 100%, $F$11)</f>
        <v>7.7164999999999999</v>
      </c>
      <c r="F300" s="4">
        <f>CHOOSE( CONTROL!$C$32, 8.3936, 8.3901) * CHOOSE(CONTROL!$C$15, $D$11, 100%, $F$11)</f>
        <v>8.3935999999999993</v>
      </c>
      <c r="G300" s="8">
        <f>CHOOSE( CONTROL!$C$32, 7.5464, 7.5429) * CHOOSE( CONTROL!$C$15, $D$11, 100%, $F$11)</f>
        <v>7.5464000000000002</v>
      </c>
      <c r="H300" s="4">
        <f>CHOOSE( CONTROL!$C$32, 8.4832, 8.4797) * CHOOSE(CONTROL!$C$15, $D$11, 100%, $F$11)</f>
        <v>8.4832000000000001</v>
      </c>
      <c r="I300" s="8">
        <f>CHOOSE( CONTROL!$C$32, 7.5146, 7.5111) * CHOOSE(CONTROL!$C$15, $D$11, 100%, $F$11)</f>
        <v>7.5145999999999997</v>
      </c>
      <c r="J300" s="4">
        <f>CHOOSE( CONTROL!$C$32, 7.4175, 7.4141) * CHOOSE(CONTROL!$C$15, $D$11, 100%, $F$11)</f>
        <v>7.4175000000000004</v>
      </c>
      <c r="K300" s="4"/>
      <c r="L300" s="9">
        <v>30.7165</v>
      </c>
      <c r="M300" s="9">
        <v>12.063700000000001</v>
      </c>
      <c r="N300" s="9">
        <v>4.9444999999999997</v>
      </c>
      <c r="O300" s="9">
        <v>0.37409999999999999</v>
      </c>
      <c r="P300" s="9">
        <v>1.2183999999999999</v>
      </c>
      <c r="Q300" s="9">
        <v>30.451899999999998</v>
      </c>
      <c r="R300" s="9"/>
      <c r="S300" s="11"/>
    </row>
    <row r="301" spans="1:19" ht="15.75">
      <c r="A301" s="13">
        <v>50678</v>
      </c>
      <c r="B301" s="8">
        <f>CHOOSE( CONTROL!$C$32, 7.5447, 7.5411) * CHOOSE(CONTROL!$C$15, $D$11, 100%, $F$11)</f>
        <v>7.5446999999999997</v>
      </c>
      <c r="C301" s="8">
        <f>CHOOSE( CONTROL!$C$32, 7.5527, 7.5492) * CHOOSE(CONTROL!$C$15, $D$11, 100%, $F$11)</f>
        <v>7.5526999999999997</v>
      </c>
      <c r="D301" s="8">
        <f>CHOOSE( CONTROL!$C$32, 7.5594, 7.5559) * CHOOSE( CONTROL!$C$15, $D$11, 100%, $F$11)</f>
        <v>7.5594000000000001</v>
      </c>
      <c r="E301" s="12">
        <f>CHOOSE( CONTROL!$C$32, 7.5558, 7.5522) * CHOOSE( CONTROL!$C$15, $D$11, 100%, $F$11)</f>
        <v>7.5557999999999996</v>
      </c>
      <c r="F301" s="4">
        <f>CHOOSE( CONTROL!$C$32, 8.233, 8.2294) * CHOOSE(CONTROL!$C$15, $D$11, 100%, $F$11)</f>
        <v>8.2330000000000005</v>
      </c>
      <c r="G301" s="8">
        <f>CHOOSE( CONTROL!$C$32, 7.3884, 7.3849) * CHOOSE( CONTROL!$C$15, $D$11, 100%, $F$11)</f>
        <v>7.3883999999999999</v>
      </c>
      <c r="H301" s="4">
        <f>CHOOSE( CONTROL!$C$32, 8.3252, 8.3217) * CHOOSE(CONTROL!$C$15, $D$11, 100%, $F$11)</f>
        <v>8.3252000000000006</v>
      </c>
      <c r="I301" s="8">
        <f>CHOOSE( CONTROL!$C$32, 7.3592, 7.3557) * CHOOSE(CONTROL!$C$15, $D$11, 100%, $F$11)</f>
        <v>7.3592000000000004</v>
      </c>
      <c r="J301" s="4">
        <f>CHOOSE( CONTROL!$C$32, 7.2622, 7.2588) * CHOOSE(CONTROL!$C$15, $D$11, 100%, $F$11)</f>
        <v>7.2622</v>
      </c>
      <c r="K301" s="4"/>
      <c r="L301" s="9">
        <v>29.7257</v>
      </c>
      <c r="M301" s="9">
        <v>11.6745</v>
      </c>
      <c r="N301" s="9">
        <v>4.7850000000000001</v>
      </c>
      <c r="O301" s="9">
        <v>0.36199999999999999</v>
      </c>
      <c r="P301" s="9">
        <v>1.1791</v>
      </c>
      <c r="Q301" s="9">
        <v>29.4696</v>
      </c>
      <c r="R301" s="9"/>
      <c r="S301" s="11"/>
    </row>
    <row r="302" spans="1:19" ht="15.75">
      <c r="A302" s="13">
        <v>50709</v>
      </c>
      <c r="B302" s="8">
        <f>7.873 * CHOOSE(CONTROL!$C$15, $D$11, 100%, $F$11)</f>
        <v>7.8730000000000002</v>
      </c>
      <c r="C302" s="8">
        <f>7.8784 * CHOOSE(CONTROL!$C$15, $D$11, 100%, $F$11)</f>
        <v>7.8784000000000001</v>
      </c>
      <c r="D302" s="8">
        <f>7.8899 * CHOOSE( CONTROL!$C$15, $D$11, 100%, $F$11)</f>
        <v>7.8898999999999999</v>
      </c>
      <c r="E302" s="12">
        <f>7.8855 * CHOOSE( CONTROL!$C$15, $D$11, 100%, $F$11)</f>
        <v>7.8855000000000004</v>
      </c>
      <c r="F302" s="4">
        <f>8.563 * CHOOSE(CONTROL!$C$15, $D$11, 100%, $F$11)</f>
        <v>8.5630000000000006</v>
      </c>
      <c r="G302" s="8">
        <f>7.7124 * CHOOSE( CONTROL!$C$15, $D$11, 100%, $F$11)</f>
        <v>7.7123999999999997</v>
      </c>
      <c r="H302" s="4">
        <f>8.6498 * CHOOSE(CONTROL!$C$15, $D$11, 100%, $F$11)</f>
        <v>8.6498000000000008</v>
      </c>
      <c r="I302" s="8">
        <f>7.6791 * CHOOSE(CONTROL!$C$15, $D$11, 100%, $F$11)</f>
        <v>7.6791</v>
      </c>
      <c r="J302" s="4">
        <f>7.5813 * CHOOSE(CONTROL!$C$15, $D$11, 100%, $F$11)</f>
        <v>7.5812999999999997</v>
      </c>
      <c r="K302" s="4"/>
      <c r="L302" s="9">
        <v>31.095300000000002</v>
      </c>
      <c r="M302" s="9">
        <v>12.063700000000001</v>
      </c>
      <c r="N302" s="9">
        <v>4.9444999999999997</v>
      </c>
      <c r="O302" s="9">
        <v>0.37409999999999999</v>
      </c>
      <c r="P302" s="9">
        <v>1.2183999999999999</v>
      </c>
      <c r="Q302" s="9">
        <v>30.451899999999998</v>
      </c>
      <c r="R302" s="9"/>
      <c r="S302" s="11"/>
    </row>
    <row r="303" spans="1:19" ht="15.75">
      <c r="A303" s="13">
        <v>50739</v>
      </c>
      <c r="B303" s="8">
        <f>8.4883 * CHOOSE(CONTROL!$C$15, $D$11, 100%, $F$11)</f>
        <v>8.4883000000000006</v>
      </c>
      <c r="C303" s="8">
        <f>8.4934 * CHOOSE(CONTROL!$C$15, $D$11, 100%, $F$11)</f>
        <v>8.4933999999999994</v>
      </c>
      <c r="D303" s="8">
        <f>8.4704 * CHOOSE( CONTROL!$C$15, $D$11, 100%, $F$11)</f>
        <v>8.4703999999999997</v>
      </c>
      <c r="E303" s="12">
        <f>8.4783 * CHOOSE( CONTROL!$C$15, $D$11, 100%, $F$11)</f>
        <v>8.4783000000000008</v>
      </c>
      <c r="F303" s="4">
        <f>9.1332 * CHOOSE(CONTROL!$C$15, $D$11, 100%, $F$11)</f>
        <v>9.1332000000000004</v>
      </c>
      <c r="G303" s="8">
        <f>8.3287 * CHOOSE( CONTROL!$C$15, $D$11, 100%, $F$11)</f>
        <v>8.3286999999999995</v>
      </c>
      <c r="H303" s="4">
        <f>9.2105 * CHOOSE(CONTROL!$C$15, $D$11, 100%, $F$11)</f>
        <v>9.2104999999999997</v>
      </c>
      <c r="I303" s="8">
        <f>8.2992 * CHOOSE(CONTROL!$C$15, $D$11, 100%, $F$11)</f>
        <v>8.2992000000000008</v>
      </c>
      <c r="J303" s="4">
        <f>8.1765 * CHOOSE(CONTROL!$C$15, $D$11, 100%, $F$11)</f>
        <v>8.1765000000000008</v>
      </c>
      <c r="K303" s="4"/>
      <c r="L303" s="9">
        <v>28.360600000000002</v>
      </c>
      <c r="M303" s="9">
        <v>11.6745</v>
      </c>
      <c r="N303" s="9">
        <v>4.7850000000000001</v>
      </c>
      <c r="O303" s="9">
        <v>0.36199999999999999</v>
      </c>
      <c r="P303" s="9">
        <v>1.2509999999999999</v>
      </c>
      <c r="Q303" s="9">
        <v>29.4696</v>
      </c>
      <c r="R303" s="9"/>
      <c r="S303" s="11"/>
    </row>
    <row r="304" spans="1:19" ht="15.75">
      <c r="A304" s="13">
        <v>50770</v>
      </c>
      <c r="B304" s="8">
        <f>8.4729 * CHOOSE(CONTROL!$C$15, $D$11, 100%, $F$11)</f>
        <v>8.4728999999999992</v>
      </c>
      <c r="C304" s="8">
        <f>8.478 * CHOOSE(CONTROL!$C$15, $D$11, 100%, $F$11)</f>
        <v>8.4779999999999998</v>
      </c>
      <c r="D304" s="8">
        <f>8.4563 * CHOOSE( CONTROL!$C$15, $D$11, 100%, $F$11)</f>
        <v>8.4563000000000006</v>
      </c>
      <c r="E304" s="12">
        <f>8.4637 * CHOOSE( CONTROL!$C$15, $D$11, 100%, $F$11)</f>
        <v>8.4636999999999993</v>
      </c>
      <c r="F304" s="4">
        <f>9.1178 * CHOOSE(CONTROL!$C$15, $D$11, 100%, $F$11)</f>
        <v>9.1178000000000008</v>
      </c>
      <c r="G304" s="8">
        <f>8.3146 * CHOOSE( CONTROL!$C$15, $D$11, 100%, $F$11)</f>
        <v>8.3146000000000004</v>
      </c>
      <c r="H304" s="4">
        <f>9.1954 * CHOOSE(CONTROL!$C$15, $D$11, 100%, $F$11)</f>
        <v>9.1953999999999994</v>
      </c>
      <c r="I304" s="8">
        <f>8.2887 * CHOOSE(CONTROL!$C$15, $D$11, 100%, $F$11)</f>
        <v>8.2887000000000004</v>
      </c>
      <c r="J304" s="4">
        <f>8.1616 * CHOOSE(CONTROL!$C$15, $D$11, 100%, $F$11)</f>
        <v>8.1616</v>
      </c>
      <c r="K304" s="4"/>
      <c r="L304" s="9">
        <v>29.306000000000001</v>
      </c>
      <c r="M304" s="9">
        <v>12.063700000000001</v>
      </c>
      <c r="N304" s="9">
        <v>4.9444999999999997</v>
      </c>
      <c r="O304" s="9">
        <v>0.37409999999999999</v>
      </c>
      <c r="P304" s="9">
        <v>1.2927</v>
      </c>
      <c r="Q304" s="9">
        <v>30.451899999999998</v>
      </c>
      <c r="R304" s="9"/>
      <c r="S304" s="11"/>
    </row>
    <row r="305" spans="1:19" ht="15.75">
      <c r="A305" s="13">
        <v>50801</v>
      </c>
      <c r="B305" s="8">
        <f>8.7956 * CHOOSE(CONTROL!$C$15, $D$11, 100%, $F$11)</f>
        <v>8.7956000000000003</v>
      </c>
      <c r="C305" s="8">
        <f>8.8007 * CHOOSE(CONTROL!$C$15, $D$11, 100%, $F$11)</f>
        <v>8.8007000000000009</v>
      </c>
      <c r="D305" s="8">
        <f>8.7749 * CHOOSE( CONTROL!$C$15, $D$11, 100%, $F$11)</f>
        <v>8.7749000000000006</v>
      </c>
      <c r="E305" s="12">
        <f>8.7838 * CHOOSE( CONTROL!$C$15, $D$11, 100%, $F$11)</f>
        <v>8.7837999999999994</v>
      </c>
      <c r="F305" s="4">
        <f>9.4396 * CHOOSE(CONTROL!$C$15, $D$11, 100%, $F$11)</f>
        <v>9.4396000000000004</v>
      </c>
      <c r="G305" s="8">
        <f>8.6256 * CHOOSE( CONTROL!$C$15, $D$11, 100%, $F$11)</f>
        <v>8.6256000000000004</v>
      </c>
      <c r="H305" s="4">
        <f>9.5118 * CHOOSE(CONTROL!$C$15, $D$11, 100%, $F$11)</f>
        <v>9.5117999999999991</v>
      </c>
      <c r="I305" s="8">
        <f>8.5714 * CHOOSE(CONTROL!$C$15, $D$11, 100%, $F$11)</f>
        <v>8.5714000000000006</v>
      </c>
      <c r="J305" s="4">
        <f>8.4735 * CHOOSE(CONTROL!$C$15, $D$11, 100%, $F$11)</f>
        <v>8.4734999999999996</v>
      </c>
      <c r="K305" s="4"/>
      <c r="L305" s="9">
        <v>29.306000000000001</v>
      </c>
      <c r="M305" s="9">
        <v>12.063700000000001</v>
      </c>
      <c r="N305" s="9">
        <v>4.9444999999999997</v>
      </c>
      <c r="O305" s="9">
        <v>0.37409999999999999</v>
      </c>
      <c r="P305" s="9">
        <v>1.2927</v>
      </c>
      <c r="Q305" s="9">
        <v>30.386800000000001</v>
      </c>
      <c r="R305" s="9"/>
      <c r="S305" s="11"/>
    </row>
    <row r="306" spans="1:19" ht="15.75">
      <c r="A306" s="13">
        <v>50829</v>
      </c>
      <c r="B306" s="8">
        <f>8.2289 * CHOOSE(CONTROL!$C$15, $D$11, 100%, $F$11)</f>
        <v>8.2288999999999994</v>
      </c>
      <c r="C306" s="8">
        <f>8.234 * CHOOSE(CONTROL!$C$15, $D$11, 100%, $F$11)</f>
        <v>8.234</v>
      </c>
      <c r="D306" s="8">
        <f>8.2084 * CHOOSE( CONTROL!$C$15, $D$11, 100%, $F$11)</f>
        <v>8.2083999999999993</v>
      </c>
      <c r="E306" s="12">
        <f>8.2172 * CHOOSE( CONTROL!$C$15, $D$11, 100%, $F$11)</f>
        <v>8.2172000000000001</v>
      </c>
      <c r="F306" s="4">
        <f>8.8729 * CHOOSE(CONTROL!$C$15, $D$11, 100%, $F$11)</f>
        <v>8.8728999999999996</v>
      </c>
      <c r="G306" s="8">
        <f>8.0685 * CHOOSE( CONTROL!$C$15, $D$11, 100%, $F$11)</f>
        <v>8.0685000000000002</v>
      </c>
      <c r="H306" s="4">
        <f>8.9546 * CHOOSE(CONTROL!$C$15, $D$11, 100%, $F$11)</f>
        <v>8.9545999999999992</v>
      </c>
      <c r="I306" s="8">
        <f>8.0241 * CHOOSE(CONTROL!$C$15, $D$11, 100%, $F$11)</f>
        <v>8.0241000000000007</v>
      </c>
      <c r="J306" s="4">
        <f>7.9257 * CHOOSE(CONTROL!$C$15, $D$11, 100%, $F$11)</f>
        <v>7.9257</v>
      </c>
      <c r="K306" s="4"/>
      <c r="L306" s="9">
        <v>26.469899999999999</v>
      </c>
      <c r="M306" s="9">
        <v>10.8962</v>
      </c>
      <c r="N306" s="9">
        <v>4.4660000000000002</v>
      </c>
      <c r="O306" s="9">
        <v>0.33789999999999998</v>
      </c>
      <c r="P306" s="9">
        <v>1.1676</v>
      </c>
      <c r="Q306" s="9">
        <v>27.446200000000001</v>
      </c>
      <c r="R306" s="9"/>
      <c r="S306" s="11"/>
    </row>
    <row r="307" spans="1:19" ht="15.75">
      <c r="A307" s="13">
        <v>50860</v>
      </c>
      <c r="B307" s="8">
        <f>8.0544 * CHOOSE(CONTROL!$C$15, $D$11, 100%, $F$11)</f>
        <v>8.0543999999999993</v>
      </c>
      <c r="C307" s="8">
        <f>8.0595 * CHOOSE(CONTROL!$C$15, $D$11, 100%, $F$11)</f>
        <v>8.0594999999999999</v>
      </c>
      <c r="D307" s="8">
        <f>8.0338 * CHOOSE( CONTROL!$C$15, $D$11, 100%, $F$11)</f>
        <v>8.0337999999999994</v>
      </c>
      <c r="E307" s="12">
        <f>8.0427 * CHOOSE( CONTROL!$C$15, $D$11, 100%, $F$11)</f>
        <v>8.0427</v>
      </c>
      <c r="F307" s="4">
        <f>8.6984 * CHOOSE(CONTROL!$C$15, $D$11, 100%, $F$11)</f>
        <v>8.6983999999999995</v>
      </c>
      <c r="G307" s="8">
        <f>7.8968 * CHOOSE( CONTROL!$C$15, $D$11, 100%, $F$11)</f>
        <v>7.8967999999999998</v>
      </c>
      <c r="H307" s="4">
        <f>8.7829 * CHOOSE(CONTROL!$C$15, $D$11, 100%, $F$11)</f>
        <v>8.7828999999999997</v>
      </c>
      <c r="I307" s="8">
        <f>7.855 * CHOOSE(CONTROL!$C$15, $D$11, 100%, $F$11)</f>
        <v>7.8550000000000004</v>
      </c>
      <c r="J307" s="4">
        <f>7.757 * CHOOSE(CONTROL!$C$15, $D$11, 100%, $F$11)</f>
        <v>7.7569999999999997</v>
      </c>
      <c r="K307" s="4"/>
      <c r="L307" s="9">
        <v>29.306000000000001</v>
      </c>
      <c r="M307" s="9">
        <v>12.063700000000001</v>
      </c>
      <c r="N307" s="9">
        <v>4.9444999999999997</v>
      </c>
      <c r="O307" s="9">
        <v>0.37409999999999999</v>
      </c>
      <c r="P307" s="9">
        <v>1.2927</v>
      </c>
      <c r="Q307" s="9">
        <v>30.386800000000001</v>
      </c>
      <c r="R307" s="9"/>
      <c r="S307" s="11"/>
    </row>
    <row r="308" spans="1:19" ht="15.75">
      <c r="A308" s="13">
        <v>50890</v>
      </c>
      <c r="B308" s="8">
        <f>8.1771 * CHOOSE(CONTROL!$C$15, $D$11, 100%, $F$11)</f>
        <v>8.1770999999999994</v>
      </c>
      <c r="C308" s="8">
        <f>8.1817 * CHOOSE(CONTROL!$C$15, $D$11, 100%, $F$11)</f>
        <v>8.1816999999999993</v>
      </c>
      <c r="D308" s="8">
        <f>8.1927 * CHOOSE( CONTROL!$C$15, $D$11, 100%, $F$11)</f>
        <v>8.1927000000000003</v>
      </c>
      <c r="E308" s="12">
        <f>8.1885 * CHOOSE( CONTROL!$C$15, $D$11, 100%, $F$11)</f>
        <v>8.1884999999999994</v>
      </c>
      <c r="F308" s="4">
        <f>8.8667 * CHOOSE(CONTROL!$C$15, $D$11, 100%, $F$11)</f>
        <v>8.8666999999999998</v>
      </c>
      <c r="G308" s="8">
        <f>8.0096 * CHOOSE( CONTROL!$C$15, $D$11, 100%, $F$11)</f>
        <v>8.0096000000000007</v>
      </c>
      <c r="H308" s="4">
        <f>8.9485 * CHOOSE(CONTROL!$C$15, $D$11, 100%, $F$11)</f>
        <v>8.9484999999999992</v>
      </c>
      <c r="I308" s="8">
        <f>7.968 * CHOOSE(CONTROL!$C$15, $D$11, 100%, $F$11)</f>
        <v>7.968</v>
      </c>
      <c r="J308" s="4">
        <f>7.8749 * CHOOSE(CONTROL!$C$15, $D$11, 100%, $F$11)</f>
        <v>7.8749000000000002</v>
      </c>
      <c r="K308" s="4"/>
      <c r="L308" s="9">
        <v>30.092199999999998</v>
      </c>
      <c r="M308" s="9">
        <v>11.6745</v>
      </c>
      <c r="N308" s="9">
        <v>4.7850000000000001</v>
      </c>
      <c r="O308" s="9">
        <v>0.36199999999999999</v>
      </c>
      <c r="P308" s="9">
        <v>1.1791</v>
      </c>
      <c r="Q308" s="9">
        <v>29.406600000000001</v>
      </c>
      <c r="R308" s="9"/>
      <c r="S308" s="11"/>
    </row>
    <row r="309" spans="1:19" ht="15.75">
      <c r="A309" s="13">
        <v>50921</v>
      </c>
      <c r="B309" s="8">
        <f>CHOOSE( CONTROL!$C$32, 8.3991, 8.3955) * CHOOSE(CONTROL!$C$15, $D$11, 100%, $F$11)</f>
        <v>8.3991000000000007</v>
      </c>
      <c r="C309" s="8">
        <f>CHOOSE( CONTROL!$C$32, 8.4071, 8.4035) * CHOOSE(CONTROL!$C$15, $D$11, 100%, $F$11)</f>
        <v>8.4070999999999998</v>
      </c>
      <c r="D309" s="8">
        <f>CHOOSE( CONTROL!$C$32, 8.4131, 8.4096) * CHOOSE( CONTROL!$C$15, $D$11, 100%, $F$11)</f>
        <v>8.4131</v>
      </c>
      <c r="E309" s="12">
        <f>CHOOSE( CONTROL!$C$32, 8.4097, 8.4062) * CHOOSE( CONTROL!$C$15, $D$11, 100%, $F$11)</f>
        <v>8.4097000000000008</v>
      </c>
      <c r="F309" s="4">
        <f>CHOOSE( CONTROL!$C$32, 9.0874, 9.0838) * CHOOSE(CONTROL!$C$15, $D$11, 100%, $F$11)</f>
        <v>9.0874000000000006</v>
      </c>
      <c r="G309" s="8">
        <f>CHOOSE( CONTROL!$C$32, 8.2276, 8.2241) * CHOOSE( CONTROL!$C$15, $D$11, 100%, $F$11)</f>
        <v>8.2276000000000007</v>
      </c>
      <c r="H309" s="4">
        <f>CHOOSE( CONTROL!$C$32, 9.1654, 9.1619) * CHOOSE(CONTROL!$C$15, $D$11, 100%, $F$11)</f>
        <v>9.1654</v>
      </c>
      <c r="I309" s="8">
        <f>CHOOSE( CONTROL!$C$32, 8.1823, 8.1788) * CHOOSE(CONTROL!$C$15, $D$11, 100%, $F$11)</f>
        <v>8.1822999999999997</v>
      </c>
      <c r="J309" s="4">
        <f>CHOOSE( CONTROL!$C$32, 8.0882, 8.0847) * CHOOSE(CONTROL!$C$15, $D$11, 100%, $F$11)</f>
        <v>8.0882000000000005</v>
      </c>
      <c r="K309" s="4"/>
      <c r="L309" s="9">
        <v>30.7165</v>
      </c>
      <c r="M309" s="9">
        <v>12.063700000000001</v>
      </c>
      <c r="N309" s="9">
        <v>4.9444999999999997</v>
      </c>
      <c r="O309" s="9">
        <v>0.37409999999999999</v>
      </c>
      <c r="P309" s="9">
        <v>1.2183999999999999</v>
      </c>
      <c r="Q309" s="9">
        <v>30.386800000000001</v>
      </c>
      <c r="R309" s="9"/>
      <c r="S309" s="11"/>
    </row>
    <row r="310" spans="1:19" ht="15.75">
      <c r="A310" s="13">
        <v>50951</v>
      </c>
      <c r="B310" s="8">
        <f>CHOOSE( CONTROL!$C$32, 8.2646, 8.2611) * CHOOSE(CONTROL!$C$15, $D$11, 100%, $F$11)</f>
        <v>8.2645999999999997</v>
      </c>
      <c r="C310" s="8">
        <f>CHOOSE( CONTROL!$C$32, 8.2726, 8.2691) * CHOOSE(CONTROL!$C$15, $D$11, 100%, $F$11)</f>
        <v>8.2726000000000006</v>
      </c>
      <c r="D310" s="8">
        <f>CHOOSE( CONTROL!$C$32, 8.2789, 8.2754) * CHOOSE( CONTROL!$C$15, $D$11, 100%, $F$11)</f>
        <v>8.2789000000000001</v>
      </c>
      <c r="E310" s="12">
        <f>CHOOSE( CONTROL!$C$32, 8.2754, 8.2719) * CHOOSE( CONTROL!$C$15, $D$11, 100%, $F$11)</f>
        <v>8.2753999999999994</v>
      </c>
      <c r="F310" s="4">
        <f>CHOOSE( CONTROL!$C$32, 8.9529, 8.9493) * CHOOSE(CONTROL!$C$15, $D$11, 100%, $F$11)</f>
        <v>8.9528999999999996</v>
      </c>
      <c r="G310" s="8">
        <f>CHOOSE( CONTROL!$C$32, 8.0958, 8.0923) * CHOOSE( CONTROL!$C$15, $D$11, 100%, $F$11)</f>
        <v>8.0958000000000006</v>
      </c>
      <c r="H310" s="4">
        <f>CHOOSE( CONTROL!$C$32, 9.0332, 9.0297) * CHOOSE(CONTROL!$C$15, $D$11, 100%, $F$11)</f>
        <v>9.0332000000000008</v>
      </c>
      <c r="I310" s="8">
        <f>CHOOSE( CONTROL!$C$32, 8.0535, 8.0501) * CHOOSE(CONTROL!$C$15, $D$11, 100%, $F$11)</f>
        <v>8.0534999999999997</v>
      </c>
      <c r="J310" s="4">
        <f>CHOOSE( CONTROL!$C$32, 7.9582, 7.9547) * CHOOSE(CONTROL!$C$15, $D$11, 100%, $F$11)</f>
        <v>7.9581999999999997</v>
      </c>
      <c r="K310" s="4"/>
      <c r="L310" s="9">
        <v>29.7257</v>
      </c>
      <c r="M310" s="9">
        <v>11.6745</v>
      </c>
      <c r="N310" s="9">
        <v>4.7850000000000001</v>
      </c>
      <c r="O310" s="9">
        <v>0.36199999999999999</v>
      </c>
      <c r="P310" s="9">
        <v>1.1791</v>
      </c>
      <c r="Q310" s="9">
        <v>29.406600000000001</v>
      </c>
      <c r="R310" s="9"/>
      <c r="S310" s="11"/>
    </row>
    <row r="311" spans="1:19" ht="15.75">
      <c r="A311" s="13">
        <v>50982</v>
      </c>
      <c r="B311" s="8">
        <f>CHOOSE( CONTROL!$C$32, 8.6187, 8.6152) * CHOOSE(CONTROL!$C$15, $D$11, 100%, $F$11)</f>
        <v>8.6187000000000005</v>
      </c>
      <c r="C311" s="8">
        <f>CHOOSE( CONTROL!$C$32, 8.6267, 8.6232) * CHOOSE(CONTROL!$C$15, $D$11, 100%, $F$11)</f>
        <v>8.6266999999999996</v>
      </c>
      <c r="D311" s="8">
        <f>CHOOSE( CONTROL!$C$32, 8.6333, 8.6298) * CHOOSE( CONTROL!$C$15, $D$11, 100%, $F$11)</f>
        <v>8.6333000000000002</v>
      </c>
      <c r="E311" s="12">
        <f>CHOOSE( CONTROL!$C$32, 8.6297, 8.6262) * CHOOSE( CONTROL!$C$15, $D$11, 100%, $F$11)</f>
        <v>8.6296999999999997</v>
      </c>
      <c r="F311" s="4">
        <f>CHOOSE( CONTROL!$C$32, 9.307, 9.3034) * CHOOSE(CONTROL!$C$15, $D$11, 100%, $F$11)</f>
        <v>9.3070000000000004</v>
      </c>
      <c r="G311" s="8">
        <f>CHOOSE( CONTROL!$C$32, 8.4444, 8.4409) * CHOOSE( CONTROL!$C$15, $D$11, 100%, $F$11)</f>
        <v>8.4443999999999999</v>
      </c>
      <c r="H311" s="4">
        <f>CHOOSE( CONTROL!$C$32, 9.3814, 9.3779) * CHOOSE(CONTROL!$C$15, $D$11, 100%, $F$11)</f>
        <v>9.3813999999999993</v>
      </c>
      <c r="I311" s="8">
        <f>CHOOSE( CONTROL!$C$32, 8.3975, 8.394) * CHOOSE(CONTROL!$C$15, $D$11, 100%, $F$11)</f>
        <v>8.3975000000000009</v>
      </c>
      <c r="J311" s="4">
        <f>CHOOSE( CONTROL!$C$32, 8.3005, 8.297) * CHOOSE(CONTROL!$C$15, $D$11, 100%, $F$11)</f>
        <v>8.3004999999999995</v>
      </c>
      <c r="K311" s="4"/>
      <c r="L311" s="9">
        <v>30.7165</v>
      </c>
      <c r="M311" s="9">
        <v>12.063700000000001</v>
      </c>
      <c r="N311" s="9">
        <v>4.9444999999999997</v>
      </c>
      <c r="O311" s="9">
        <v>0.37409999999999999</v>
      </c>
      <c r="P311" s="9">
        <v>1.2183999999999999</v>
      </c>
      <c r="Q311" s="9">
        <v>30.386800000000001</v>
      </c>
      <c r="R311" s="9"/>
      <c r="S311" s="11"/>
    </row>
    <row r="312" spans="1:19" ht="15.75">
      <c r="A312" s="13">
        <v>51013</v>
      </c>
      <c r="B312" s="8">
        <f>CHOOSE( CONTROL!$C$32, 7.9562, 7.9526) * CHOOSE(CONTROL!$C$15, $D$11, 100%, $F$11)</f>
        <v>7.9561999999999999</v>
      </c>
      <c r="C312" s="8">
        <f>CHOOSE( CONTROL!$C$32, 7.9642, 7.9606) * CHOOSE(CONTROL!$C$15, $D$11, 100%, $F$11)</f>
        <v>7.9641999999999999</v>
      </c>
      <c r="D312" s="8">
        <f>CHOOSE( CONTROL!$C$32, 7.9709, 7.9673) * CHOOSE( CONTROL!$C$15, $D$11, 100%, $F$11)</f>
        <v>7.9709000000000003</v>
      </c>
      <c r="E312" s="12">
        <f>CHOOSE( CONTROL!$C$32, 7.9673, 7.9637) * CHOOSE( CONTROL!$C$15, $D$11, 100%, $F$11)</f>
        <v>7.9672999999999998</v>
      </c>
      <c r="F312" s="4">
        <f>CHOOSE( CONTROL!$C$32, 8.6445, 8.6409) * CHOOSE(CONTROL!$C$15, $D$11, 100%, $F$11)</f>
        <v>8.6445000000000007</v>
      </c>
      <c r="G312" s="8">
        <f>CHOOSE( CONTROL!$C$32, 7.793, 7.7895) * CHOOSE( CONTROL!$C$15, $D$11, 100%, $F$11)</f>
        <v>7.7930000000000001</v>
      </c>
      <c r="H312" s="4">
        <f>CHOOSE( CONTROL!$C$32, 8.7299, 8.7264) * CHOOSE(CONTROL!$C$15, $D$11, 100%, $F$11)</f>
        <v>8.7299000000000007</v>
      </c>
      <c r="I312" s="8">
        <f>CHOOSE( CONTROL!$C$32, 7.7572, 7.7537) * CHOOSE(CONTROL!$C$15, $D$11, 100%, $F$11)</f>
        <v>7.7572000000000001</v>
      </c>
      <c r="J312" s="4">
        <f>CHOOSE( CONTROL!$C$32, 7.66, 7.6566) * CHOOSE(CONTROL!$C$15, $D$11, 100%, $F$11)</f>
        <v>7.66</v>
      </c>
      <c r="K312" s="4"/>
      <c r="L312" s="9">
        <v>30.7165</v>
      </c>
      <c r="M312" s="9">
        <v>12.063700000000001</v>
      </c>
      <c r="N312" s="9">
        <v>4.9444999999999997</v>
      </c>
      <c r="O312" s="9">
        <v>0.37409999999999999</v>
      </c>
      <c r="P312" s="9">
        <v>1.2183999999999999</v>
      </c>
      <c r="Q312" s="9">
        <v>30.386800000000001</v>
      </c>
      <c r="R312" s="9"/>
      <c r="S312" s="11"/>
    </row>
    <row r="313" spans="1:19" ht="15.75">
      <c r="A313" s="13">
        <v>51043</v>
      </c>
      <c r="B313" s="8">
        <f>CHOOSE( CONTROL!$C$32, 7.7903, 7.7867) * CHOOSE(CONTROL!$C$15, $D$11, 100%, $F$11)</f>
        <v>7.7903000000000002</v>
      </c>
      <c r="C313" s="8">
        <f>CHOOSE( CONTROL!$C$32, 7.7983, 7.7947) * CHOOSE(CONTROL!$C$15, $D$11, 100%, $F$11)</f>
        <v>7.7983000000000002</v>
      </c>
      <c r="D313" s="8">
        <f>CHOOSE( CONTROL!$C$32, 7.805, 7.8014) * CHOOSE( CONTROL!$C$15, $D$11, 100%, $F$11)</f>
        <v>7.8049999999999997</v>
      </c>
      <c r="E313" s="12">
        <f>CHOOSE( CONTROL!$C$32, 7.8014, 7.7978) * CHOOSE( CONTROL!$C$15, $D$11, 100%, $F$11)</f>
        <v>7.8014000000000001</v>
      </c>
      <c r="F313" s="4">
        <f>CHOOSE( CONTROL!$C$32, 8.4786, 8.475) * CHOOSE(CONTROL!$C$15, $D$11, 100%, $F$11)</f>
        <v>8.4786000000000001</v>
      </c>
      <c r="G313" s="8">
        <f>CHOOSE( CONTROL!$C$32, 7.6299, 7.6264) * CHOOSE( CONTROL!$C$15, $D$11, 100%, $F$11)</f>
        <v>7.6299000000000001</v>
      </c>
      <c r="H313" s="4">
        <f>CHOOSE( CONTROL!$C$32, 8.5667, 8.5632) * CHOOSE(CONTROL!$C$15, $D$11, 100%, $F$11)</f>
        <v>8.5667000000000009</v>
      </c>
      <c r="I313" s="8">
        <f>CHOOSE( CONTROL!$C$32, 7.5967, 7.5932) * CHOOSE(CONTROL!$C$15, $D$11, 100%, $F$11)</f>
        <v>7.5967000000000002</v>
      </c>
      <c r="J313" s="4">
        <f>CHOOSE( CONTROL!$C$32, 7.4996, 7.4962) * CHOOSE(CONTROL!$C$15, $D$11, 100%, $F$11)</f>
        <v>7.4996</v>
      </c>
      <c r="K313" s="4"/>
      <c r="L313" s="9">
        <v>29.7257</v>
      </c>
      <c r="M313" s="9">
        <v>11.6745</v>
      </c>
      <c r="N313" s="9">
        <v>4.7850000000000001</v>
      </c>
      <c r="O313" s="9">
        <v>0.36199999999999999</v>
      </c>
      <c r="P313" s="9">
        <v>1.1791</v>
      </c>
      <c r="Q313" s="9">
        <v>29.406600000000001</v>
      </c>
      <c r="R313" s="9"/>
      <c r="S313" s="11"/>
    </row>
    <row r="314" spans="1:19" ht="15.75">
      <c r="A314" s="13">
        <v>51074</v>
      </c>
      <c r="B314" s="8">
        <f>8.1295 * CHOOSE(CONTROL!$C$15, $D$11, 100%, $F$11)</f>
        <v>8.1295000000000002</v>
      </c>
      <c r="C314" s="8">
        <f>8.1348 * CHOOSE(CONTROL!$C$15, $D$11, 100%, $F$11)</f>
        <v>8.1348000000000003</v>
      </c>
      <c r="D314" s="8">
        <f>8.1464 * CHOOSE( CONTROL!$C$15, $D$11, 100%, $F$11)</f>
        <v>8.1463999999999999</v>
      </c>
      <c r="E314" s="12">
        <f>8.142 * CHOOSE( CONTROL!$C$15, $D$11, 100%, $F$11)</f>
        <v>8.1419999999999995</v>
      </c>
      <c r="F314" s="4">
        <f>8.8195 * CHOOSE(CONTROL!$C$15, $D$11, 100%, $F$11)</f>
        <v>8.8194999999999997</v>
      </c>
      <c r="G314" s="8">
        <f>7.9646 * CHOOSE( CONTROL!$C$15, $D$11, 100%, $F$11)</f>
        <v>7.9645999999999999</v>
      </c>
      <c r="H314" s="4">
        <f>8.902 * CHOOSE(CONTROL!$C$15, $D$11, 100%, $F$11)</f>
        <v>8.9019999999999992</v>
      </c>
      <c r="I314" s="8">
        <f>7.9271 * CHOOSE(CONTROL!$C$15, $D$11, 100%, $F$11)</f>
        <v>7.9271000000000003</v>
      </c>
      <c r="J314" s="4">
        <f>7.8292 * CHOOSE(CONTROL!$C$15, $D$11, 100%, $F$11)</f>
        <v>7.8292000000000002</v>
      </c>
      <c r="K314" s="4"/>
      <c r="L314" s="9">
        <v>31.095300000000002</v>
      </c>
      <c r="M314" s="9">
        <v>12.063700000000001</v>
      </c>
      <c r="N314" s="9">
        <v>4.9444999999999997</v>
      </c>
      <c r="O314" s="9">
        <v>0.37409999999999999</v>
      </c>
      <c r="P314" s="9">
        <v>1.2183999999999999</v>
      </c>
      <c r="Q314" s="9">
        <v>30.386800000000001</v>
      </c>
      <c r="R314" s="9"/>
      <c r="S314" s="11"/>
    </row>
    <row r="315" spans="1:19" ht="15.75">
      <c r="A315" s="13">
        <v>51104</v>
      </c>
      <c r="B315" s="8">
        <f>8.7649 * CHOOSE(CONTROL!$C$15, $D$11, 100%, $F$11)</f>
        <v>8.7649000000000008</v>
      </c>
      <c r="C315" s="8">
        <f>8.77 * CHOOSE(CONTROL!$C$15, $D$11, 100%, $F$11)</f>
        <v>8.77</v>
      </c>
      <c r="D315" s="8">
        <f>8.747 * CHOOSE( CONTROL!$C$15, $D$11, 100%, $F$11)</f>
        <v>8.7469999999999999</v>
      </c>
      <c r="E315" s="12">
        <f>8.7549 * CHOOSE( CONTROL!$C$15, $D$11, 100%, $F$11)</f>
        <v>8.7548999999999992</v>
      </c>
      <c r="F315" s="4">
        <f>9.4098 * CHOOSE(CONTROL!$C$15, $D$11, 100%, $F$11)</f>
        <v>9.4098000000000006</v>
      </c>
      <c r="G315" s="8">
        <f>8.6007 * CHOOSE( CONTROL!$C$15, $D$11, 100%, $F$11)</f>
        <v>8.6006999999999998</v>
      </c>
      <c r="H315" s="4">
        <f>9.4825 * CHOOSE(CONTROL!$C$15, $D$11, 100%, $F$11)</f>
        <v>9.4824999999999999</v>
      </c>
      <c r="I315" s="8">
        <f>8.5668 * CHOOSE(CONTROL!$C$15, $D$11, 100%, $F$11)</f>
        <v>8.5668000000000006</v>
      </c>
      <c r="J315" s="4">
        <f>8.4439 * CHOOSE(CONTROL!$C$15, $D$11, 100%, $F$11)</f>
        <v>8.4438999999999993</v>
      </c>
      <c r="K315" s="4"/>
      <c r="L315" s="9">
        <v>28.360600000000002</v>
      </c>
      <c r="M315" s="9">
        <v>11.6745</v>
      </c>
      <c r="N315" s="9">
        <v>4.7850000000000001</v>
      </c>
      <c r="O315" s="9">
        <v>0.36199999999999999</v>
      </c>
      <c r="P315" s="9">
        <v>1.2509999999999999</v>
      </c>
      <c r="Q315" s="9">
        <v>29.406600000000001</v>
      </c>
      <c r="R315" s="9"/>
      <c r="S315" s="11"/>
    </row>
    <row r="316" spans="1:19" ht="15.75">
      <c r="A316" s="13">
        <v>51135</v>
      </c>
      <c r="B316" s="8">
        <f>8.749 * CHOOSE(CONTROL!$C$15, $D$11, 100%, $F$11)</f>
        <v>8.7490000000000006</v>
      </c>
      <c r="C316" s="8">
        <f>8.7541 * CHOOSE(CONTROL!$C$15, $D$11, 100%, $F$11)</f>
        <v>8.7540999999999993</v>
      </c>
      <c r="D316" s="8">
        <f>8.7324 * CHOOSE( CONTROL!$C$15, $D$11, 100%, $F$11)</f>
        <v>8.7324000000000002</v>
      </c>
      <c r="E316" s="12">
        <f>8.7398 * CHOOSE( CONTROL!$C$15, $D$11, 100%, $F$11)</f>
        <v>8.7398000000000007</v>
      </c>
      <c r="F316" s="4">
        <f>9.3939 * CHOOSE(CONTROL!$C$15, $D$11, 100%, $F$11)</f>
        <v>9.3939000000000004</v>
      </c>
      <c r="G316" s="8">
        <f>8.5861 * CHOOSE( CONTROL!$C$15, $D$11, 100%, $F$11)</f>
        <v>8.5861000000000001</v>
      </c>
      <c r="H316" s="4">
        <f>9.4669 * CHOOSE(CONTROL!$C$15, $D$11, 100%, $F$11)</f>
        <v>9.4669000000000008</v>
      </c>
      <c r="I316" s="8">
        <f>8.5558 * CHOOSE(CONTROL!$C$15, $D$11, 100%, $F$11)</f>
        <v>8.5557999999999996</v>
      </c>
      <c r="J316" s="4">
        <f>8.4285 * CHOOSE(CONTROL!$C$15, $D$11, 100%, $F$11)</f>
        <v>8.4284999999999997</v>
      </c>
      <c r="K316" s="4"/>
      <c r="L316" s="9">
        <v>29.306000000000001</v>
      </c>
      <c r="M316" s="9">
        <v>12.063700000000001</v>
      </c>
      <c r="N316" s="9">
        <v>4.9444999999999997</v>
      </c>
      <c r="O316" s="9">
        <v>0.37409999999999999</v>
      </c>
      <c r="P316" s="9">
        <v>1.2927</v>
      </c>
      <c r="Q316" s="9">
        <v>30.386800000000001</v>
      </c>
      <c r="R316" s="9"/>
      <c r="S316" s="11"/>
    </row>
    <row r="317" spans="1:19" ht="15.75">
      <c r="A317" s="13">
        <v>51166</v>
      </c>
      <c r="B317" s="8">
        <f>9.0822 * CHOOSE(CONTROL!$C$15, $D$11, 100%, $F$11)</f>
        <v>9.0822000000000003</v>
      </c>
      <c r="C317" s="8">
        <f>9.0874 * CHOOSE(CONTROL!$C$15, $D$11, 100%, $F$11)</f>
        <v>9.0874000000000006</v>
      </c>
      <c r="D317" s="8">
        <f>9.0615 * CHOOSE( CONTROL!$C$15, $D$11, 100%, $F$11)</f>
        <v>9.0615000000000006</v>
      </c>
      <c r="E317" s="12">
        <f>9.0704 * CHOOSE( CONTROL!$C$15, $D$11, 100%, $F$11)</f>
        <v>9.0703999999999994</v>
      </c>
      <c r="F317" s="4">
        <f>9.7263 * CHOOSE(CONTROL!$C$15, $D$11, 100%, $F$11)</f>
        <v>9.7263000000000002</v>
      </c>
      <c r="G317" s="8">
        <f>8.9075 * CHOOSE( CONTROL!$C$15, $D$11, 100%, $F$11)</f>
        <v>8.9075000000000006</v>
      </c>
      <c r="H317" s="4">
        <f>9.7938 * CHOOSE(CONTROL!$C$15, $D$11, 100%, $F$11)</f>
        <v>9.7937999999999992</v>
      </c>
      <c r="I317" s="8">
        <f>8.8486 * CHOOSE(CONTROL!$C$15, $D$11, 100%, $F$11)</f>
        <v>8.8485999999999994</v>
      </c>
      <c r="J317" s="4">
        <f>8.7506 * CHOOSE(CONTROL!$C$15, $D$11, 100%, $F$11)</f>
        <v>8.7506000000000004</v>
      </c>
      <c r="K317" s="4"/>
      <c r="L317" s="9">
        <v>29.306000000000001</v>
      </c>
      <c r="M317" s="9">
        <v>12.063700000000001</v>
      </c>
      <c r="N317" s="9">
        <v>4.9444999999999997</v>
      </c>
      <c r="O317" s="9">
        <v>0.37409999999999999</v>
      </c>
      <c r="P317" s="9">
        <v>1.2927</v>
      </c>
      <c r="Q317" s="9">
        <v>30.3217</v>
      </c>
      <c r="R317" s="9"/>
      <c r="S317" s="11"/>
    </row>
    <row r="318" spans="1:19" ht="15.75">
      <c r="A318" s="13">
        <v>51194</v>
      </c>
      <c r="B318" s="8">
        <f>8.497 * CHOOSE(CONTROL!$C$15, $D$11, 100%, $F$11)</f>
        <v>8.4969999999999999</v>
      </c>
      <c r="C318" s="8">
        <f>8.5022 * CHOOSE(CONTROL!$C$15, $D$11, 100%, $F$11)</f>
        <v>8.5022000000000002</v>
      </c>
      <c r="D318" s="8">
        <f>8.4766 * CHOOSE( CONTROL!$C$15, $D$11, 100%, $F$11)</f>
        <v>8.4765999999999995</v>
      </c>
      <c r="E318" s="12">
        <f>8.4854 * CHOOSE( CONTROL!$C$15, $D$11, 100%, $F$11)</f>
        <v>8.4854000000000003</v>
      </c>
      <c r="F318" s="4">
        <f>9.1411 * CHOOSE(CONTROL!$C$15, $D$11, 100%, $F$11)</f>
        <v>9.1410999999999998</v>
      </c>
      <c r="G318" s="8">
        <f>8.3322 * CHOOSE( CONTROL!$C$15, $D$11, 100%, $F$11)</f>
        <v>8.3322000000000003</v>
      </c>
      <c r="H318" s="4">
        <f>9.2183 * CHOOSE(CONTROL!$C$15, $D$11, 100%, $F$11)</f>
        <v>9.2182999999999993</v>
      </c>
      <c r="I318" s="8">
        <f>8.2834 * CHOOSE(CONTROL!$C$15, $D$11, 100%, $F$11)</f>
        <v>8.2834000000000003</v>
      </c>
      <c r="J318" s="4">
        <f>8.1849 * CHOOSE(CONTROL!$C$15, $D$11, 100%, $F$11)</f>
        <v>8.1849000000000007</v>
      </c>
      <c r="K318" s="4"/>
      <c r="L318" s="9">
        <v>27.415299999999998</v>
      </c>
      <c r="M318" s="9">
        <v>11.285299999999999</v>
      </c>
      <c r="N318" s="9">
        <v>4.6254999999999997</v>
      </c>
      <c r="O318" s="9">
        <v>0.34989999999999999</v>
      </c>
      <c r="P318" s="9">
        <v>1.2093</v>
      </c>
      <c r="Q318" s="9">
        <v>28.365500000000001</v>
      </c>
      <c r="R318" s="9"/>
      <c r="S318" s="11"/>
    </row>
    <row r="319" spans="1:19" ht="15.75">
      <c r="A319" s="13">
        <v>51226</v>
      </c>
      <c r="B319" s="8">
        <f>8.3168 * CHOOSE(CONTROL!$C$15, $D$11, 100%, $F$11)</f>
        <v>8.3168000000000006</v>
      </c>
      <c r="C319" s="8">
        <f>8.3219 * CHOOSE(CONTROL!$C$15, $D$11, 100%, $F$11)</f>
        <v>8.3218999999999994</v>
      </c>
      <c r="D319" s="8">
        <f>8.2962 * CHOOSE( CONTROL!$C$15, $D$11, 100%, $F$11)</f>
        <v>8.2962000000000007</v>
      </c>
      <c r="E319" s="12">
        <f>8.3051 * CHOOSE( CONTROL!$C$15, $D$11, 100%, $F$11)</f>
        <v>8.3050999999999995</v>
      </c>
      <c r="F319" s="4">
        <f>8.9608 * CHOOSE(CONTROL!$C$15, $D$11, 100%, $F$11)</f>
        <v>8.9608000000000008</v>
      </c>
      <c r="G319" s="8">
        <f>8.1549 * CHOOSE( CONTROL!$C$15, $D$11, 100%, $F$11)</f>
        <v>8.1548999999999996</v>
      </c>
      <c r="H319" s="4">
        <f>9.041 * CHOOSE(CONTROL!$C$15, $D$11, 100%, $F$11)</f>
        <v>9.0410000000000004</v>
      </c>
      <c r="I319" s="8">
        <f>8.1088 * CHOOSE(CONTROL!$C$15, $D$11, 100%, $F$11)</f>
        <v>8.1088000000000005</v>
      </c>
      <c r="J319" s="4">
        <f>8.0107 * CHOOSE(CONTROL!$C$15, $D$11, 100%, $F$11)</f>
        <v>8.0106999999999999</v>
      </c>
      <c r="K319" s="4"/>
      <c r="L319" s="9">
        <v>29.306000000000001</v>
      </c>
      <c r="M319" s="9">
        <v>12.063700000000001</v>
      </c>
      <c r="N319" s="9">
        <v>4.9444999999999997</v>
      </c>
      <c r="O319" s="9">
        <v>0.37409999999999999</v>
      </c>
      <c r="P319" s="9">
        <v>1.2927</v>
      </c>
      <c r="Q319" s="9">
        <v>30.3217</v>
      </c>
      <c r="R319" s="9"/>
      <c r="S319" s="11"/>
    </row>
    <row r="320" spans="1:19" ht="15.75">
      <c r="A320" s="13">
        <v>51256</v>
      </c>
      <c r="B320" s="8">
        <f>8.4435 * CHOOSE(CONTROL!$C$15, $D$11, 100%, $F$11)</f>
        <v>8.4435000000000002</v>
      </c>
      <c r="C320" s="8">
        <f>8.4481 * CHOOSE(CONTROL!$C$15, $D$11, 100%, $F$11)</f>
        <v>8.4481000000000002</v>
      </c>
      <c r="D320" s="8">
        <f>8.4591 * CHOOSE( CONTROL!$C$15, $D$11, 100%, $F$11)</f>
        <v>8.4590999999999994</v>
      </c>
      <c r="E320" s="12">
        <f>8.4549 * CHOOSE( CONTROL!$C$15, $D$11, 100%, $F$11)</f>
        <v>8.4549000000000003</v>
      </c>
      <c r="F320" s="4">
        <f>9.1332 * CHOOSE(CONTROL!$C$15, $D$11, 100%, $F$11)</f>
        <v>9.1332000000000004</v>
      </c>
      <c r="G320" s="8">
        <f>8.2716 * CHOOSE( CONTROL!$C$15, $D$11, 100%, $F$11)</f>
        <v>8.2715999999999994</v>
      </c>
      <c r="H320" s="4">
        <f>9.2105 * CHOOSE(CONTROL!$C$15, $D$11, 100%, $F$11)</f>
        <v>9.2104999999999997</v>
      </c>
      <c r="I320" s="8">
        <f>8.2257 * CHOOSE(CONTROL!$C$15, $D$11, 100%, $F$11)</f>
        <v>8.2256999999999998</v>
      </c>
      <c r="J320" s="4">
        <f>8.1324 * CHOOSE(CONTROL!$C$15, $D$11, 100%, $F$11)</f>
        <v>8.1324000000000005</v>
      </c>
      <c r="K320" s="4"/>
      <c r="L320" s="9">
        <v>30.092199999999998</v>
      </c>
      <c r="M320" s="9">
        <v>11.6745</v>
      </c>
      <c r="N320" s="9">
        <v>4.7850000000000001</v>
      </c>
      <c r="O320" s="9">
        <v>0.36199999999999999</v>
      </c>
      <c r="P320" s="9">
        <v>1.1791</v>
      </c>
      <c r="Q320" s="9">
        <v>29.343599999999999</v>
      </c>
      <c r="R320" s="9"/>
      <c r="S320" s="11"/>
    </row>
    <row r="321" spans="1:19" ht="15.75">
      <c r="A321" s="13">
        <v>51287</v>
      </c>
      <c r="B321" s="8">
        <f>CHOOSE( CONTROL!$C$32, 8.6726, 8.669) * CHOOSE(CONTROL!$C$15, $D$11, 100%, $F$11)</f>
        <v>8.6725999999999992</v>
      </c>
      <c r="C321" s="8">
        <f>CHOOSE( CONTROL!$C$32, 8.6806, 8.6771) * CHOOSE(CONTROL!$C$15, $D$11, 100%, $F$11)</f>
        <v>8.6806000000000001</v>
      </c>
      <c r="D321" s="8">
        <f>CHOOSE( CONTROL!$C$32, 8.6866, 8.6831) * CHOOSE( CONTROL!$C$15, $D$11, 100%, $F$11)</f>
        <v>8.6866000000000003</v>
      </c>
      <c r="E321" s="12">
        <f>CHOOSE( CONTROL!$C$32, 8.6832, 8.6797) * CHOOSE( CONTROL!$C$15, $D$11, 100%, $F$11)</f>
        <v>8.6831999999999994</v>
      </c>
      <c r="F321" s="4">
        <f>CHOOSE( CONTROL!$C$32, 9.3609, 9.3573) * CHOOSE(CONTROL!$C$15, $D$11, 100%, $F$11)</f>
        <v>9.3609000000000009</v>
      </c>
      <c r="G321" s="8">
        <f>CHOOSE( CONTROL!$C$32, 8.4966, 8.4931) * CHOOSE( CONTROL!$C$15, $D$11, 100%, $F$11)</f>
        <v>8.4966000000000008</v>
      </c>
      <c r="H321" s="4">
        <f>CHOOSE( CONTROL!$C$32, 9.4344, 9.4309) * CHOOSE(CONTROL!$C$15, $D$11, 100%, $F$11)</f>
        <v>9.4344000000000001</v>
      </c>
      <c r="I321" s="8">
        <f>CHOOSE( CONTROL!$C$32, 8.4468, 8.4434) * CHOOSE(CONTROL!$C$15, $D$11, 100%, $F$11)</f>
        <v>8.4467999999999996</v>
      </c>
      <c r="J321" s="4">
        <f>CHOOSE( CONTROL!$C$32, 8.3526, 8.3491) * CHOOSE(CONTROL!$C$15, $D$11, 100%, $F$11)</f>
        <v>8.3526000000000007</v>
      </c>
      <c r="K321" s="4"/>
      <c r="L321" s="9">
        <v>30.7165</v>
      </c>
      <c r="M321" s="9">
        <v>12.063700000000001</v>
      </c>
      <c r="N321" s="9">
        <v>4.9444999999999997</v>
      </c>
      <c r="O321" s="9">
        <v>0.37409999999999999</v>
      </c>
      <c r="P321" s="9">
        <v>1.2183999999999999</v>
      </c>
      <c r="Q321" s="9">
        <v>30.3217</v>
      </c>
      <c r="R321" s="9"/>
      <c r="S321" s="11"/>
    </row>
    <row r="322" spans="1:19" ht="15.75">
      <c r="A322" s="13">
        <v>51317</v>
      </c>
      <c r="B322" s="8">
        <f>CHOOSE( CONTROL!$C$32, 8.5337, 8.5302) * CHOOSE(CONTROL!$C$15, $D$11, 100%, $F$11)</f>
        <v>8.5336999999999996</v>
      </c>
      <c r="C322" s="8">
        <f>CHOOSE( CONTROL!$C$32, 8.5418, 8.5382) * CHOOSE(CONTROL!$C$15, $D$11, 100%, $F$11)</f>
        <v>8.5418000000000003</v>
      </c>
      <c r="D322" s="8">
        <f>CHOOSE( CONTROL!$C$32, 8.548, 8.5445) * CHOOSE( CONTROL!$C$15, $D$11, 100%, $F$11)</f>
        <v>8.548</v>
      </c>
      <c r="E322" s="12">
        <f>CHOOSE( CONTROL!$C$32, 8.5445, 8.541) * CHOOSE( CONTROL!$C$15, $D$11, 100%, $F$11)</f>
        <v>8.5444999999999993</v>
      </c>
      <c r="F322" s="4">
        <f>CHOOSE( CONTROL!$C$32, 9.222, 9.2185) * CHOOSE(CONTROL!$C$15, $D$11, 100%, $F$11)</f>
        <v>9.2219999999999995</v>
      </c>
      <c r="G322" s="8">
        <f>CHOOSE( CONTROL!$C$32, 8.3604, 8.3569) * CHOOSE( CONTROL!$C$15, $D$11, 100%, $F$11)</f>
        <v>8.3604000000000003</v>
      </c>
      <c r="H322" s="4">
        <f>CHOOSE( CONTROL!$C$32, 9.2979, 9.2944) * CHOOSE(CONTROL!$C$15, $D$11, 100%, $F$11)</f>
        <v>9.2979000000000003</v>
      </c>
      <c r="I322" s="8">
        <f>CHOOSE( CONTROL!$C$32, 8.3138, 8.3104) * CHOOSE(CONTROL!$C$15, $D$11, 100%, $F$11)</f>
        <v>8.3138000000000005</v>
      </c>
      <c r="J322" s="4">
        <f>CHOOSE( CONTROL!$C$32, 8.2183, 8.2149) * CHOOSE(CONTROL!$C$15, $D$11, 100%, $F$11)</f>
        <v>8.2182999999999993</v>
      </c>
      <c r="K322" s="4"/>
      <c r="L322" s="9">
        <v>29.7257</v>
      </c>
      <c r="M322" s="9">
        <v>11.6745</v>
      </c>
      <c r="N322" s="9">
        <v>4.7850000000000001</v>
      </c>
      <c r="O322" s="9">
        <v>0.36199999999999999</v>
      </c>
      <c r="P322" s="9">
        <v>1.1791</v>
      </c>
      <c r="Q322" s="9">
        <v>29.343599999999999</v>
      </c>
      <c r="R322" s="9"/>
      <c r="S322" s="11"/>
    </row>
    <row r="323" spans="1:19" ht="15.75">
      <c r="A323" s="13">
        <v>51348</v>
      </c>
      <c r="B323" s="8">
        <f>CHOOSE( CONTROL!$C$32, 8.8994, 8.8958) * CHOOSE(CONTROL!$C$15, $D$11, 100%, $F$11)</f>
        <v>8.8994</v>
      </c>
      <c r="C323" s="8">
        <f>CHOOSE( CONTROL!$C$32, 8.9074, 8.9039) * CHOOSE(CONTROL!$C$15, $D$11, 100%, $F$11)</f>
        <v>8.9074000000000009</v>
      </c>
      <c r="D323" s="8">
        <f>CHOOSE( CONTROL!$C$32, 8.914, 8.9105) * CHOOSE( CONTROL!$C$15, $D$11, 100%, $F$11)</f>
        <v>8.9139999999999997</v>
      </c>
      <c r="E323" s="12">
        <f>CHOOSE( CONTROL!$C$32, 8.9104, 8.9069) * CHOOSE( CONTROL!$C$15, $D$11, 100%, $F$11)</f>
        <v>8.9103999999999992</v>
      </c>
      <c r="F323" s="4">
        <f>CHOOSE( CONTROL!$C$32, 9.5877, 9.5841) * CHOOSE(CONTROL!$C$15, $D$11, 100%, $F$11)</f>
        <v>9.5876999999999999</v>
      </c>
      <c r="G323" s="8">
        <f>CHOOSE( CONTROL!$C$32, 8.7205, 8.717) * CHOOSE( CONTROL!$C$15, $D$11, 100%, $F$11)</f>
        <v>8.7204999999999995</v>
      </c>
      <c r="H323" s="4">
        <f>CHOOSE( CONTROL!$C$32, 9.6575, 9.654) * CHOOSE(CONTROL!$C$15, $D$11, 100%, $F$11)</f>
        <v>9.6575000000000006</v>
      </c>
      <c r="I323" s="8">
        <f>CHOOSE( CONTROL!$C$32, 8.669, 8.6655) * CHOOSE(CONTROL!$C$15, $D$11, 100%, $F$11)</f>
        <v>8.6690000000000005</v>
      </c>
      <c r="J323" s="4">
        <f>CHOOSE( CONTROL!$C$32, 8.5718, 8.5684) * CHOOSE(CONTROL!$C$15, $D$11, 100%, $F$11)</f>
        <v>8.5717999999999996</v>
      </c>
      <c r="K323" s="4"/>
      <c r="L323" s="9">
        <v>30.7165</v>
      </c>
      <c r="M323" s="9">
        <v>12.063700000000001</v>
      </c>
      <c r="N323" s="9">
        <v>4.9444999999999997</v>
      </c>
      <c r="O323" s="9">
        <v>0.37409999999999999</v>
      </c>
      <c r="P323" s="9">
        <v>1.2183999999999999</v>
      </c>
      <c r="Q323" s="9">
        <v>30.3217</v>
      </c>
      <c r="R323" s="9"/>
      <c r="S323" s="11"/>
    </row>
    <row r="324" spans="1:19" ht="15.75">
      <c r="A324" s="13">
        <v>51379</v>
      </c>
      <c r="B324" s="8">
        <f>CHOOSE( CONTROL!$C$32, 8.2152, 8.2116) * CHOOSE(CONTROL!$C$15, $D$11, 100%, $F$11)</f>
        <v>8.2151999999999994</v>
      </c>
      <c r="C324" s="8">
        <f>CHOOSE( CONTROL!$C$32, 8.2232, 8.2197) * CHOOSE(CONTROL!$C$15, $D$11, 100%, $F$11)</f>
        <v>8.2232000000000003</v>
      </c>
      <c r="D324" s="8">
        <f>CHOOSE( CONTROL!$C$32, 8.2299, 8.2263) * CHOOSE( CONTROL!$C$15, $D$11, 100%, $F$11)</f>
        <v>8.2299000000000007</v>
      </c>
      <c r="E324" s="12">
        <f>CHOOSE( CONTROL!$C$32, 8.2263, 8.2227) * CHOOSE( CONTROL!$C$15, $D$11, 100%, $F$11)</f>
        <v>8.2263000000000002</v>
      </c>
      <c r="F324" s="4">
        <f>CHOOSE( CONTROL!$C$32, 8.9035, 8.8999) * CHOOSE(CONTROL!$C$15, $D$11, 100%, $F$11)</f>
        <v>8.9034999999999993</v>
      </c>
      <c r="G324" s="8">
        <f>CHOOSE( CONTROL!$C$32, 8.0478, 8.0443) * CHOOSE( CONTROL!$C$15, $D$11, 100%, $F$11)</f>
        <v>8.0478000000000005</v>
      </c>
      <c r="H324" s="4">
        <f>CHOOSE( CONTROL!$C$32, 8.9846, 8.9811) * CHOOSE(CONTROL!$C$15, $D$11, 100%, $F$11)</f>
        <v>8.9846000000000004</v>
      </c>
      <c r="I324" s="8">
        <f>CHOOSE( CONTROL!$C$32, 8.0077, 8.0042) * CHOOSE(CONTROL!$C$15, $D$11, 100%, $F$11)</f>
        <v>8.0076999999999998</v>
      </c>
      <c r="J324" s="4">
        <f>CHOOSE( CONTROL!$C$32, 7.9104, 7.907) * CHOOSE(CONTROL!$C$15, $D$11, 100%, $F$11)</f>
        <v>7.9104000000000001</v>
      </c>
      <c r="K324" s="4"/>
      <c r="L324" s="9">
        <v>30.7165</v>
      </c>
      <c r="M324" s="9">
        <v>12.063700000000001</v>
      </c>
      <c r="N324" s="9">
        <v>4.9444999999999997</v>
      </c>
      <c r="O324" s="9">
        <v>0.37409999999999999</v>
      </c>
      <c r="P324" s="9">
        <v>1.2183999999999999</v>
      </c>
      <c r="Q324" s="9">
        <v>30.3217</v>
      </c>
      <c r="R324" s="9"/>
      <c r="S324" s="11"/>
    </row>
    <row r="325" spans="1:19" ht="15.75">
      <c r="A325" s="13">
        <v>51409</v>
      </c>
      <c r="B325" s="8">
        <f>CHOOSE( CONTROL!$C$32, 8.0439, 8.0403) * CHOOSE(CONTROL!$C$15, $D$11, 100%, $F$11)</f>
        <v>8.0439000000000007</v>
      </c>
      <c r="C325" s="8">
        <f>CHOOSE( CONTROL!$C$32, 8.0519, 8.0483) * CHOOSE(CONTROL!$C$15, $D$11, 100%, $F$11)</f>
        <v>8.0518999999999998</v>
      </c>
      <c r="D325" s="8">
        <f>CHOOSE( CONTROL!$C$32, 8.0586, 8.055) * CHOOSE( CONTROL!$C$15, $D$11, 100%, $F$11)</f>
        <v>8.0586000000000002</v>
      </c>
      <c r="E325" s="12">
        <f>CHOOSE( CONTROL!$C$32, 8.055, 8.0514) * CHOOSE( CONTROL!$C$15, $D$11, 100%, $F$11)</f>
        <v>8.0549999999999997</v>
      </c>
      <c r="F325" s="4">
        <f>CHOOSE( CONTROL!$C$32, 8.7321, 8.7286) * CHOOSE(CONTROL!$C$15, $D$11, 100%, $F$11)</f>
        <v>8.7321000000000009</v>
      </c>
      <c r="G325" s="8">
        <f>CHOOSE( CONTROL!$C$32, 7.8793, 7.8758) * CHOOSE( CONTROL!$C$15, $D$11, 100%, $F$11)</f>
        <v>7.8792999999999997</v>
      </c>
      <c r="H325" s="4">
        <f>CHOOSE( CONTROL!$C$32, 8.8161, 8.8126) * CHOOSE(CONTROL!$C$15, $D$11, 100%, $F$11)</f>
        <v>8.8161000000000005</v>
      </c>
      <c r="I325" s="8">
        <f>CHOOSE( CONTROL!$C$32, 7.842, 7.8385) * CHOOSE(CONTROL!$C$15, $D$11, 100%, $F$11)</f>
        <v>7.8419999999999996</v>
      </c>
      <c r="J325" s="4">
        <f>CHOOSE( CONTROL!$C$32, 7.7448, 7.7413) * CHOOSE(CONTROL!$C$15, $D$11, 100%, $F$11)</f>
        <v>7.7447999999999997</v>
      </c>
      <c r="K325" s="4"/>
      <c r="L325" s="9">
        <v>29.7257</v>
      </c>
      <c r="M325" s="9">
        <v>11.6745</v>
      </c>
      <c r="N325" s="9">
        <v>4.7850000000000001</v>
      </c>
      <c r="O325" s="9">
        <v>0.36199999999999999</v>
      </c>
      <c r="P325" s="9">
        <v>1.1791</v>
      </c>
      <c r="Q325" s="9">
        <v>29.343599999999999</v>
      </c>
      <c r="R325" s="9"/>
      <c r="S325" s="11"/>
    </row>
    <row r="326" spans="1:19" ht="15.75">
      <c r="A326" s="13">
        <v>51440</v>
      </c>
      <c r="B326" s="8">
        <f>8.3943 * CHOOSE(CONTROL!$C$15, $D$11, 100%, $F$11)</f>
        <v>8.3942999999999994</v>
      </c>
      <c r="C326" s="8">
        <f>8.3997 * CHOOSE(CONTROL!$C$15, $D$11, 100%, $F$11)</f>
        <v>8.3996999999999993</v>
      </c>
      <c r="D326" s="8">
        <f>8.4112 * CHOOSE( CONTROL!$C$15, $D$11, 100%, $F$11)</f>
        <v>8.4111999999999991</v>
      </c>
      <c r="E326" s="12">
        <f>8.4068 * CHOOSE( CONTROL!$C$15, $D$11, 100%, $F$11)</f>
        <v>8.4068000000000005</v>
      </c>
      <c r="F326" s="4">
        <f>9.0843 * CHOOSE(CONTROL!$C$15, $D$11, 100%, $F$11)</f>
        <v>9.0843000000000007</v>
      </c>
      <c r="G326" s="8">
        <f>8.2251 * CHOOSE( CONTROL!$C$15, $D$11, 100%, $F$11)</f>
        <v>8.2250999999999994</v>
      </c>
      <c r="H326" s="4">
        <f>9.1625 * CHOOSE(CONTROL!$C$15, $D$11, 100%, $F$11)</f>
        <v>9.1624999999999996</v>
      </c>
      <c r="I326" s="8">
        <f>8.1833 * CHOOSE(CONTROL!$C$15, $D$11, 100%, $F$11)</f>
        <v>8.1832999999999991</v>
      </c>
      <c r="J326" s="4">
        <f>8.0852 * CHOOSE(CONTROL!$C$15, $D$11, 100%, $F$11)</f>
        <v>8.0852000000000004</v>
      </c>
      <c r="K326" s="4"/>
      <c r="L326" s="9">
        <v>31.095300000000002</v>
      </c>
      <c r="M326" s="9">
        <v>12.063700000000001</v>
      </c>
      <c r="N326" s="9">
        <v>4.9444999999999997</v>
      </c>
      <c r="O326" s="9">
        <v>0.37409999999999999</v>
      </c>
      <c r="P326" s="9">
        <v>1.2183999999999999</v>
      </c>
      <c r="Q326" s="9">
        <v>30.3217</v>
      </c>
      <c r="R326" s="9"/>
      <c r="S326" s="11"/>
    </row>
    <row r="327" spans="1:19" ht="15.75">
      <c r="A327" s="13">
        <v>51470</v>
      </c>
      <c r="B327" s="8">
        <f>9.0506 * CHOOSE(CONTROL!$C$15, $D$11, 100%, $F$11)</f>
        <v>9.0505999999999993</v>
      </c>
      <c r="C327" s="8">
        <f>9.0557 * CHOOSE(CONTROL!$C$15, $D$11, 100%, $F$11)</f>
        <v>9.0556999999999999</v>
      </c>
      <c r="D327" s="8">
        <f>9.0326 * CHOOSE( CONTROL!$C$15, $D$11, 100%, $F$11)</f>
        <v>9.0326000000000004</v>
      </c>
      <c r="E327" s="12">
        <f>9.0405 * CHOOSE( CONTROL!$C$15, $D$11, 100%, $F$11)</f>
        <v>9.0404999999999998</v>
      </c>
      <c r="F327" s="4">
        <f>9.6954 * CHOOSE(CONTROL!$C$15, $D$11, 100%, $F$11)</f>
        <v>9.6953999999999994</v>
      </c>
      <c r="G327" s="8">
        <f>8.8816 * CHOOSE( CONTROL!$C$15, $D$11, 100%, $F$11)</f>
        <v>8.8816000000000006</v>
      </c>
      <c r="H327" s="4">
        <f>9.7634 * CHOOSE(CONTROL!$C$15, $D$11, 100%, $F$11)</f>
        <v>9.7634000000000007</v>
      </c>
      <c r="I327" s="8">
        <f>8.8431 * CHOOSE(CONTROL!$C$15, $D$11, 100%, $F$11)</f>
        <v>8.8430999999999997</v>
      </c>
      <c r="J327" s="4">
        <f>8.72 * CHOOSE(CONTROL!$C$15, $D$11, 100%, $F$11)</f>
        <v>8.7200000000000006</v>
      </c>
      <c r="K327" s="4"/>
      <c r="L327" s="9">
        <v>28.360600000000002</v>
      </c>
      <c r="M327" s="9">
        <v>11.6745</v>
      </c>
      <c r="N327" s="9">
        <v>4.7850000000000001</v>
      </c>
      <c r="O327" s="9">
        <v>0.36199999999999999</v>
      </c>
      <c r="P327" s="9">
        <v>1.2509999999999999</v>
      </c>
      <c r="Q327" s="9">
        <v>29.343599999999999</v>
      </c>
      <c r="R327" s="9"/>
      <c r="S327" s="11"/>
    </row>
    <row r="328" spans="1:19" ht="15.75">
      <c r="A328" s="13">
        <v>51501</v>
      </c>
      <c r="B328" s="8">
        <f>9.0342 * CHOOSE(CONTROL!$C$15, $D$11, 100%, $F$11)</f>
        <v>9.0342000000000002</v>
      </c>
      <c r="C328" s="8">
        <f>9.0393 * CHOOSE(CONTROL!$C$15, $D$11, 100%, $F$11)</f>
        <v>9.0393000000000008</v>
      </c>
      <c r="D328" s="8">
        <f>9.0176 * CHOOSE( CONTROL!$C$15, $D$11, 100%, $F$11)</f>
        <v>9.0175999999999998</v>
      </c>
      <c r="E328" s="12">
        <f>9.025 * CHOOSE( CONTROL!$C$15, $D$11, 100%, $F$11)</f>
        <v>9.0250000000000004</v>
      </c>
      <c r="F328" s="4">
        <f>9.679 * CHOOSE(CONTROL!$C$15, $D$11, 100%, $F$11)</f>
        <v>9.6790000000000003</v>
      </c>
      <c r="G328" s="8">
        <f>8.8665 * CHOOSE( CONTROL!$C$15, $D$11, 100%, $F$11)</f>
        <v>8.8665000000000003</v>
      </c>
      <c r="H328" s="4">
        <f>9.7473 * CHOOSE(CONTROL!$C$15, $D$11, 100%, $F$11)</f>
        <v>9.7472999999999992</v>
      </c>
      <c r="I328" s="8">
        <f>8.8315 * CHOOSE(CONTROL!$C$15, $D$11, 100%, $F$11)</f>
        <v>8.8315000000000001</v>
      </c>
      <c r="J328" s="4">
        <f>8.7041 * CHOOSE(CONTROL!$C$15, $D$11, 100%, $F$11)</f>
        <v>8.7041000000000004</v>
      </c>
      <c r="K328" s="4"/>
      <c r="L328" s="9">
        <v>29.306000000000001</v>
      </c>
      <c r="M328" s="9">
        <v>12.063700000000001</v>
      </c>
      <c r="N328" s="9">
        <v>4.9444999999999997</v>
      </c>
      <c r="O328" s="9">
        <v>0.37409999999999999</v>
      </c>
      <c r="P328" s="9">
        <v>1.2927</v>
      </c>
      <c r="Q328" s="9">
        <v>30.3217</v>
      </c>
      <c r="R328" s="9"/>
      <c r="S328" s="11"/>
    </row>
    <row r="329" spans="1:19" ht="15.75">
      <c r="A329" s="13">
        <v>51532</v>
      </c>
      <c r="B329" s="8">
        <f>9.3783 * CHOOSE(CONTROL!$C$15, $D$11, 100%, $F$11)</f>
        <v>9.3782999999999994</v>
      </c>
      <c r="C329" s="8">
        <f>9.3834 * CHOOSE(CONTROL!$C$15, $D$11, 100%, $F$11)</f>
        <v>9.3834</v>
      </c>
      <c r="D329" s="8">
        <f>9.3576 * CHOOSE( CONTROL!$C$15, $D$11, 100%, $F$11)</f>
        <v>9.3575999999999997</v>
      </c>
      <c r="E329" s="12">
        <f>9.3665 * CHOOSE( CONTROL!$C$15, $D$11, 100%, $F$11)</f>
        <v>9.3665000000000003</v>
      </c>
      <c r="F329" s="4">
        <f>10.0223 * CHOOSE(CONTROL!$C$15, $D$11, 100%, $F$11)</f>
        <v>10.0223</v>
      </c>
      <c r="G329" s="8">
        <f>9.1986 * CHOOSE( CONTROL!$C$15, $D$11, 100%, $F$11)</f>
        <v>9.1986000000000008</v>
      </c>
      <c r="H329" s="4">
        <f>10.0849 * CHOOSE(CONTROL!$C$15, $D$11, 100%, $F$11)</f>
        <v>10.084899999999999</v>
      </c>
      <c r="I329" s="8">
        <f>9.1349 * CHOOSE(CONTROL!$C$15, $D$11, 100%, $F$11)</f>
        <v>9.1349</v>
      </c>
      <c r="J329" s="4">
        <f>9.0368 * CHOOSE(CONTROL!$C$15, $D$11, 100%, $F$11)</f>
        <v>9.0367999999999995</v>
      </c>
      <c r="K329" s="4"/>
      <c r="L329" s="9">
        <v>29.306000000000001</v>
      </c>
      <c r="M329" s="9">
        <v>12.063700000000001</v>
      </c>
      <c r="N329" s="9">
        <v>4.9444999999999997</v>
      </c>
      <c r="O329" s="9">
        <v>0.37409999999999999</v>
      </c>
      <c r="P329" s="9">
        <v>1.2927</v>
      </c>
      <c r="Q329" s="9">
        <v>30.258500000000002</v>
      </c>
      <c r="R329" s="9"/>
      <c r="S329" s="11"/>
    </row>
    <row r="330" spans="1:19" ht="15.75">
      <c r="A330" s="13">
        <v>51560</v>
      </c>
      <c r="B330" s="8">
        <f>8.7739 * CHOOSE(CONTROL!$C$15, $D$11, 100%, $F$11)</f>
        <v>8.7738999999999994</v>
      </c>
      <c r="C330" s="8">
        <f>8.7791 * CHOOSE(CONTROL!$C$15, $D$11, 100%, $F$11)</f>
        <v>8.7790999999999997</v>
      </c>
      <c r="D330" s="8">
        <f>8.7534 * CHOOSE( CONTROL!$C$15, $D$11, 100%, $F$11)</f>
        <v>8.7533999999999992</v>
      </c>
      <c r="E330" s="12">
        <f>8.7622 * CHOOSE( CONTROL!$C$15, $D$11, 100%, $F$11)</f>
        <v>8.7622</v>
      </c>
      <c r="F330" s="4">
        <f>9.418 * CHOOSE(CONTROL!$C$15, $D$11, 100%, $F$11)</f>
        <v>9.4179999999999993</v>
      </c>
      <c r="G330" s="8">
        <f>8.6045 * CHOOSE( CONTROL!$C$15, $D$11, 100%, $F$11)</f>
        <v>8.6044999999999998</v>
      </c>
      <c r="H330" s="4">
        <f>9.4906 * CHOOSE(CONTROL!$C$15, $D$11, 100%, $F$11)</f>
        <v>9.4906000000000006</v>
      </c>
      <c r="I330" s="8">
        <f>8.5512 * CHOOSE(CONTROL!$C$15, $D$11, 100%, $F$11)</f>
        <v>8.5511999999999997</v>
      </c>
      <c r="J330" s="4">
        <f>8.4526 * CHOOSE(CONTROL!$C$15, $D$11, 100%, $F$11)</f>
        <v>8.4526000000000003</v>
      </c>
      <c r="K330" s="4"/>
      <c r="L330" s="9">
        <v>26.469899999999999</v>
      </c>
      <c r="M330" s="9">
        <v>10.8962</v>
      </c>
      <c r="N330" s="9">
        <v>4.4660000000000002</v>
      </c>
      <c r="O330" s="9">
        <v>0.33789999999999998</v>
      </c>
      <c r="P330" s="9">
        <v>1.1676</v>
      </c>
      <c r="Q330" s="9">
        <v>27.330200000000001</v>
      </c>
      <c r="R330" s="9"/>
      <c r="S330" s="11"/>
    </row>
    <row r="331" spans="1:19" ht="15.75">
      <c r="A331" s="13">
        <v>51591</v>
      </c>
      <c r="B331" s="8">
        <f>8.5878 * CHOOSE(CONTROL!$C$15, $D$11, 100%, $F$11)</f>
        <v>8.5877999999999997</v>
      </c>
      <c r="C331" s="8">
        <f>8.5929 * CHOOSE(CONTROL!$C$15, $D$11, 100%, $F$11)</f>
        <v>8.5929000000000002</v>
      </c>
      <c r="D331" s="8">
        <f>8.5672 * CHOOSE( CONTROL!$C$15, $D$11, 100%, $F$11)</f>
        <v>8.5671999999999997</v>
      </c>
      <c r="E331" s="12">
        <f>8.5761 * CHOOSE( CONTROL!$C$15, $D$11, 100%, $F$11)</f>
        <v>8.5761000000000003</v>
      </c>
      <c r="F331" s="4">
        <f>9.2318 * CHOOSE(CONTROL!$C$15, $D$11, 100%, $F$11)</f>
        <v>9.2317999999999998</v>
      </c>
      <c r="G331" s="8">
        <f>8.4214 * CHOOSE( CONTROL!$C$15, $D$11, 100%, $F$11)</f>
        <v>8.4214000000000002</v>
      </c>
      <c r="H331" s="4">
        <f>9.3075 * CHOOSE(CONTROL!$C$15, $D$11, 100%, $F$11)</f>
        <v>9.3074999999999992</v>
      </c>
      <c r="I331" s="8">
        <f>8.3709 * CHOOSE(CONTROL!$C$15, $D$11, 100%, $F$11)</f>
        <v>8.3709000000000007</v>
      </c>
      <c r="J331" s="4">
        <f>8.2727 * CHOOSE(CONTROL!$C$15, $D$11, 100%, $F$11)</f>
        <v>8.2727000000000004</v>
      </c>
      <c r="K331" s="4"/>
      <c r="L331" s="9">
        <v>29.306000000000001</v>
      </c>
      <c r="M331" s="9">
        <v>12.063700000000001</v>
      </c>
      <c r="N331" s="9">
        <v>4.9444999999999997</v>
      </c>
      <c r="O331" s="9">
        <v>0.37409999999999999</v>
      </c>
      <c r="P331" s="9">
        <v>1.2927</v>
      </c>
      <c r="Q331" s="9">
        <v>30.258500000000002</v>
      </c>
      <c r="R331" s="9"/>
      <c r="S331" s="11"/>
    </row>
    <row r="332" spans="1:19" ht="15.75">
      <c r="A332" s="13">
        <v>51621</v>
      </c>
      <c r="B332" s="8">
        <f>8.7186 * CHOOSE(CONTROL!$C$15, $D$11, 100%, $F$11)</f>
        <v>8.7186000000000003</v>
      </c>
      <c r="C332" s="8">
        <f>8.7232 * CHOOSE(CONTROL!$C$15, $D$11, 100%, $F$11)</f>
        <v>8.7232000000000003</v>
      </c>
      <c r="D332" s="8">
        <f>8.7342 * CHOOSE( CONTROL!$C$15, $D$11, 100%, $F$11)</f>
        <v>8.7341999999999995</v>
      </c>
      <c r="E332" s="12">
        <f>8.73 * CHOOSE( CONTROL!$C$15, $D$11, 100%, $F$11)</f>
        <v>8.73</v>
      </c>
      <c r="F332" s="4">
        <f>9.4083 * CHOOSE(CONTROL!$C$15, $D$11, 100%, $F$11)</f>
        <v>9.4083000000000006</v>
      </c>
      <c r="G332" s="8">
        <f>8.5422 * CHOOSE( CONTROL!$C$15, $D$11, 100%, $F$11)</f>
        <v>8.5421999999999993</v>
      </c>
      <c r="H332" s="4">
        <f>9.481 * CHOOSE(CONTROL!$C$15, $D$11, 100%, $F$11)</f>
        <v>9.4809999999999999</v>
      </c>
      <c r="I332" s="8">
        <f>8.4918 * CHOOSE(CONTROL!$C$15, $D$11, 100%, $F$11)</f>
        <v>8.4917999999999996</v>
      </c>
      <c r="J332" s="4">
        <f>8.3984 * CHOOSE(CONTROL!$C$15, $D$11, 100%, $F$11)</f>
        <v>8.3984000000000005</v>
      </c>
      <c r="K332" s="4"/>
      <c r="L332" s="9">
        <v>30.092199999999998</v>
      </c>
      <c r="M332" s="9">
        <v>11.6745</v>
      </c>
      <c r="N332" s="9">
        <v>4.7850000000000001</v>
      </c>
      <c r="O332" s="9">
        <v>0.36199999999999999</v>
      </c>
      <c r="P332" s="9">
        <v>1.1791</v>
      </c>
      <c r="Q332" s="9">
        <v>29.282399999999999</v>
      </c>
      <c r="R332" s="9"/>
      <c r="S332" s="11"/>
    </row>
    <row r="333" spans="1:19" ht="15.75">
      <c r="A333" s="13">
        <v>51652</v>
      </c>
      <c r="B333" s="8">
        <f>CHOOSE( CONTROL!$C$32, 8.9551, 8.9515) * CHOOSE(CONTROL!$C$15, $D$11, 100%, $F$11)</f>
        <v>8.9550999999999998</v>
      </c>
      <c r="C333" s="8">
        <f>CHOOSE( CONTROL!$C$32, 8.9631, 8.9595) * CHOOSE(CONTROL!$C$15, $D$11, 100%, $F$11)</f>
        <v>8.9631000000000007</v>
      </c>
      <c r="D333" s="8">
        <f>CHOOSE( CONTROL!$C$32, 8.9691, 8.9655) * CHOOSE( CONTROL!$C$15, $D$11, 100%, $F$11)</f>
        <v>8.9690999999999992</v>
      </c>
      <c r="E333" s="12">
        <f>CHOOSE( CONTROL!$C$32, 8.9657, 8.9621) * CHOOSE( CONTROL!$C$15, $D$11, 100%, $F$11)</f>
        <v>8.9657</v>
      </c>
      <c r="F333" s="4">
        <f>CHOOSE( CONTROL!$C$32, 9.6433, 9.6398) * CHOOSE(CONTROL!$C$15, $D$11, 100%, $F$11)</f>
        <v>9.6433</v>
      </c>
      <c r="G333" s="8">
        <f>CHOOSE( CONTROL!$C$32, 8.7743, 8.7708) * CHOOSE( CONTROL!$C$15, $D$11, 100%, $F$11)</f>
        <v>8.7743000000000002</v>
      </c>
      <c r="H333" s="4">
        <f>CHOOSE( CONTROL!$C$32, 9.7122, 9.7087) * CHOOSE(CONTROL!$C$15, $D$11, 100%, $F$11)</f>
        <v>9.7121999999999993</v>
      </c>
      <c r="I333" s="8">
        <f>CHOOSE( CONTROL!$C$32, 8.72, 8.7165) * CHOOSE(CONTROL!$C$15, $D$11, 100%, $F$11)</f>
        <v>8.7200000000000006</v>
      </c>
      <c r="J333" s="4">
        <f>CHOOSE( CONTROL!$C$32, 8.6256, 8.6222) * CHOOSE(CONTROL!$C$15, $D$11, 100%, $F$11)</f>
        <v>8.6256000000000004</v>
      </c>
      <c r="K333" s="4"/>
      <c r="L333" s="9">
        <v>30.7165</v>
      </c>
      <c r="M333" s="9">
        <v>12.063700000000001</v>
      </c>
      <c r="N333" s="9">
        <v>4.9444999999999997</v>
      </c>
      <c r="O333" s="9">
        <v>0.37409999999999999</v>
      </c>
      <c r="P333" s="9">
        <v>1.2183999999999999</v>
      </c>
      <c r="Q333" s="9">
        <v>30.258500000000002</v>
      </c>
      <c r="R333" s="9"/>
      <c r="S333" s="11"/>
    </row>
    <row r="334" spans="1:19" ht="15.75">
      <c r="A334" s="13">
        <v>51682</v>
      </c>
      <c r="B334" s="8">
        <f>CHOOSE( CONTROL!$C$32, 8.8117, 8.8081) * CHOOSE(CONTROL!$C$15, $D$11, 100%, $F$11)</f>
        <v>8.8117000000000001</v>
      </c>
      <c r="C334" s="8">
        <f>CHOOSE( CONTROL!$C$32, 8.8197, 8.8161) * CHOOSE(CONTROL!$C$15, $D$11, 100%, $F$11)</f>
        <v>8.8196999999999992</v>
      </c>
      <c r="D334" s="8">
        <f>CHOOSE( CONTROL!$C$32, 8.826, 8.8224) * CHOOSE( CONTROL!$C$15, $D$11, 100%, $F$11)</f>
        <v>8.8260000000000005</v>
      </c>
      <c r="E334" s="12">
        <f>CHOOSE( CONTROL!$C$32, 8.8225, 8.8189) * CHOOSE( CONTROL!$C$15, $D$11, 100%, $F$11)</f>
        <v>8.8224999999999998</v>
      </c>
      <c r="F334" s="4">
        <f>CHOOSE( CONTROL!$C$32, 9.4999, 9.4964) * CHOOSE(CONTROL!$C$15, $D$11, 100%, $F$11)</f>
        <v>9.4999000000000002</v>
      </c>
      <c r="G334" s="8">
        <f>CHOOSE( CONTROL!$C$32, 8.6337, 8.6302) * CHOOSE( CONTROL!$C$15, $D$11, 100%, $F$11)</f>
        <v>8.6336999999999993</v>
      </c>
      <c r="H334" s="4">
        <f>CHOOSE( CONTROL!$C$32, 9.5712, 9.5677) * CHOOSE(CONTROL!$C$15, $D$11, 100%, $F$11)</f>
        <v>9.5711999999999993</v>
      </c>
      <c r="I334" s="8">
        <f>CHOOSE( CONTROL!$C$32, 8.5826, 8.5792) * CHOOSE(CONTROL!$C$15, $D$11, 100%, $F$11)</f>
        <v>8.5825999999999993</v>
      </c>
      <c r="J334" s="4">
        <f>CHOOSE( CONTROL!$C$32, 8.487, 8.4835) * CHOOSE(CONTROL!$C$15, $D$11, 100%, $F$11)</f>
        <v>8.4870000000000001</v>
      </c>
      <c r="K334" s="4"/>
      <c r="L334" s="9">
        <v>29.7257</v>
      </c>
      <c r="M334" s="9">
        <v>11.6745</v>
      </c>
      <c r="N334" s="9">
        <v>4.7850000000000001</v>
      </c>
      <c r="O334" s="9">
        <v>0.36199999999999999</v>
      </c>
      <c r="P334" s="9">
        <v>1.1791</v>
      </c>
      <c r="Q334" s="9">
        <v>29.282399999999999</v>
      </c>
      <c r="R334" s="9"/>
      <c r="S334" s="11"/>
    </row>
    <row r="335" spans="1:19" ht="15.75">
      <c r="A335" s="13">
        <v>51713</v>
      </c>
      <c r="B335" s="8">
        <f>CHOOSE( CONTROL!$C$32, 9.1893, 9.1857) * CHOOSE(CONTROL!$C$15, $D$11, 100%, $F$11)</f>
        <v>9.1892999999999994</v>
      </c>
      <c r="C335" s="8">
        <f>CHOOSE( CONTROL!$C$32, 9.1973, 9.1937) * CHOOSE(CONTROL!$C$15, $D$11, 100%, $F$11)</f>
        <v>9.1973000000000003</v>
      </c>
      <c r="D335" s="8">
        <f>CHOOSE( CONTROL!$C$32, 9.2039, 9.2003) * CHOOSE( CONTROL!$C$15, $D$11, 100%, $F$11)</f>
        <v>9.2039000000000009</v>
      </c>
      <c r="E335" s="12">
        <f>CHOOSE( CONTROL!$C$32, 9.2003, 9.1967) * CHOOSE( CONTROL!$C$15, $D$11, 100%, $F$11)</f>
        <v>9.2003000000000004</v>
      </c>
      <c r="F335" s="4">
        <f>CHOOSE( CONTROL!$C$32, 9.8776, 9.874) * CHOOSE(CONTROL!$C$15, $D$11, 100%, $F$11)</f>
        <v>9.8775999999999993</v>
      </c>
      <c r="G335" s="8">
        <f>CHOOSE( CONTROL!$C$32, 9.0055, 9.002) * CHOOSE( CONTROL!$C$15, $D$11, 100%, $F$11)</f>
        <v>9.0054999999999996</v>
      </c>
      <c r="H335" s="4">
        <f>CHOOSE( CONTROL!$C$32, 9.9425, 9.939) * CHOOSE(CONTROL!$C$15, $D$11, 100%, $F$11)</f>
        <v>9.9425000000000008</v>
      </c>
      <c r="I335" s="8">
        <f>CHOOSE( CONTROL!$C$32, 8.9493, 8.9459) * CHOOSE(CONTROL!$C$15, $D$11, 100%, $F$11)</f>
        <v>8.9492999999999991</v>
      </c>
      <c r="J335" s="4">
        <f>CHOOSE( CONTROL!$C$32, 8.852, 8.8486) * CHOOSE(CONTROL!$C$15, $D$11, 100%, $F$11)</f>
        <v>8.8520000000000003</v>
      </c>
      <c r="K335" s="4"/>
      <c r="L335" s="9">
        <v>30.7165</v>
      </c>
      <c r="M335" s="9">
        <v>12.063700000000001</v>
      </c>
      <c r="N335" s="9">
        <v>4.9444999999999997</v>
      </c>
      <c r="O335" s="9">
        <v>0.37409999999999999</v>
      </c>
      <c r="P335" s="9">
        <v>1.2183999999999999</v>
      </c>
      <c r="Q335" s="9">
        <v>30.258500000000002</v>
      </c>
      <c r="R335" s="9"/>
      <c r="S335" s="11"/>
    </row>
    <row r="336" spans="1:19" ht="15.75">
      <c r="A336" s="13">
        <v>51744</v>
      </c>
      <c r="B336" s="8">
        <f>CHOOSE( CONTROL!$C$32, 8.4827, 8.4791) * CHOOSE(CONTROL!$C$15, $D$11, 100%, $F$11)</f>
        <v>8.4826999999999995</v>
      </c>
      <c r="C336" s="8">
        <f>CHOOSE( CONTROL!$C$32, 8.4907, 8.4872) * CHOOSE(CONTROL!$C$15, $D$11, 100%, $F$11)</f>
        <v>8.4907000000000004</v>
      </c>
      <c r="D336" s="8">
        <f>CHOOSE( CONTROL!$C$32, 8.4974, 8.4938) * CHOOSE( CONTROL!$C$15, $D$11, 100%, $F$11)</f>
        <v>8.4974000000000007</v>
      </c>
      <c r="E336" s="12">
        <f>CHOOSE( CONTROL!$C$32, 8.4938, 8.4902) * CHOOSE( CONTROL!$C$15, $D$11, 100%, $F$11)</f>
        <v>8.4938000000000002</v>
      </c>
      <c r="F336" s="4">
        <f>CHOOSE( CONTROL!$C$32, 9.171, 9.1674) * CHOOSE(CONTROL!$C$15, $D$11, 100%, $F$11)</f>
        <v>9.1709999999999994</v>
      </c>
      <c r="G336" s="8">
        <f>CHOOSE( CONTROL!$C$32, 8.3108, 8.3073) * CHOOSE( CONTROL!$C$15, $D$11, 100%, $F$11)</f>
        <v>8.3108000000000004</v>
      </c>
      <c r="H336" s="4">
        <f>CHOOSE( CONTROL!$C$32, 9.2477, 9.2442) * CHOOSE(CONTROL!$C$15, $D$11, 100%, $F$11)</f>
        <v>9.2477</v>
      </c>
      <c r="I336" s="8">
        <f>CHOOSE( CONTROL!$C$32, 8.2664, 8.2629) * CHOOSE(CONTROL!$C$15, $D$11, 100%, $F$11)</f>
        <v>8.2664000000000009</v>
      </c>
      <c r="J336" s="4">
        <f>CHOOSE( CONTROL!$C$32, 8.169, 8.1656) * CHOOSE(CONTROL!$C$15, $D$11, 100%, $F$11)</f>
        <v>8.1690000000000005</v>
      </c>
      <c r="K336" s="4"/>
      <c r="L336" s="9">
        <v>30.7165</v>
      </c>
      <c r="M336" s="9">
        <v>12.063700000000001</v>
      </c>
      <c r="N336" s="9">
        <v>4.9444999999999997</v>
      </c>
      <c r="O336" s="9">
        <v>0.37409999999999999</v>
      </c>
      <c r="P336" s="9">
        <v>1.2183999999999999</v>
      </c>
      <c r="Q336" s="9">
        <v>30.258500000000002</v>
      </c>
      <c r="R336" s="9"/>
      <c r="S336" s="11"/>
    </row>
    <row r="337" spans="1:19" ht="15.75">
      <c r="A337" s="13">
        <v>51774</v>
      </c>
      <c r="B337" s="8">
        <f>CHOOSE( CONTROL!$C$32, 8.3058, 8.3022) * CHOOSE(CONTROL!$C$15, $D$11, 100%, $F$11)</f>
        <v>8.3057999999999996</v>
      </c>
      <c r="C337" s="8">
        <f>CHOOSE( CONTROL!$C$32, 8.3138, 8.3102) * CHOOSE(CONTROL!$C$15, $D$11, 100%, $F$11)</f>
        <v>8.3138000000000005</v>
      </c>
      <c r="D337" s="8">
        <f>CHOOSE( CONTROL!$C$32, 8.3205, 8.3169) * CHOOSE( CONTROL!$C$15, $D$11, 100%, $F$11)</f>
        <v>8.3204999999999991</v>
      </c>
      <c r="E337" s="12">
        <f>CHOOSE( CONTROL!$C$32, 8.3169, 8.3133) * CHOOSE( CONTROL!$C$15, $D$11, 100%, $F$11)</f>
        <v>8.3169000000000004</v>
      </c>
      <c r="F337" s="4">
        <f>CHOOSE( CONTROL!$C$32, 8.994, 8.9905) * CHOOSE(CONTROL!$C$15, $D$11, 100%, $F$11)</f>
        <v>8.9939999999999998</v>
      </c>
      <c r="G337" s="8">
        <f>CHOOSE( CONTROL!$C$32, 8.1368, 8.1333) * CHOOSE( CONTROL!$C$15, $D$11, 100%, $F$11)</f>
        <v>8.1367999999999991</v>
      </c>
      <c r="H337" s="4">
        <f>CHOOSE( CONTROL!$C$32, 9.0737, 9.0702) * CHOOSE(CONTROL!$C$15, $D$11, 100%, $F$11)</f>
        <v>9.0737000000000005</v>
      </c>
      <c r="I337" s="8">
        <f>CHOOSE( CONTROL!$C$32, 8.0953, 8.0918) * CHOOSE(CONTROL!$C$15, $D$11, 100%, $F$11)</f>
        <v>8.0952999999999999</v>
      </c>
      <c r="J337" s="4">
        <f>CHOOSE( CONTROL!$C$32, 7.998, 7.9945) * CHOOSE(CONTROL!$C$15, $D$11, 100%, $F$11)</f>
        <v>7.9980000000000002</v>
      </c>
      <c r="K337" s="4"/>
      <c r="L337" s="9">
        <v>29.7257</v>
      </c>
      <c r="M337" s="9">
        <v>11.6745</v>
      </c>
      <c r="N337" s="9">
        <v>4.7850000000000001</v>
      </c>
      <c r="O337" s="9">
        <v>0.36199999999999999</v>
      </c>
      <c r="P337" s="9">
        <v>1.1791</v>
      </c>
      <c r="Q337" s="9">
        <v>29.282399999999999</v>
      </c>
      <c r="R337" s="9"/>
      <c r="S337" s="11"/>
    </row>
    <row r="338" spans="1:19" ht="15.75">
      <c r="A338" s="13">
        <v>51805</v>
      </c>
      <c r="B338" s="8">
        <f>8.6679 * CHOOSE(CONTROL!$C$15, $D$11, 100%, $F$11)</f>
        <v>8.6678999999999995</v>
      </c>
      <c r="C338" s="8">
        <f>8.6732 * CHOOSE(CONTROL!$C$15, $D$11, 100%, $F$11)</f>
        <v>8.6731999999999996</v>
      </c>
      <c r="D338" s="8">
        <f>8.6848 * CHOOSE( CONTROL!$C$15, $D$11, 100%, $F$11)</f>
        <v>8.6847999999999992</v>
      </c>
      <c r="E338" s="12">
        <f>8.6804 * CHOOSE( CONTROL!$C$15, $D$11, 100%, $F$11)</f>
        <v>8.6804000000000006</v>
      </c>
      <c r="F338" s="4">
        <f>9.3579 * CHOOSE(CONTROL!$C$15, $D$11, 100%, $F$11)</f>
        <v>9.3579000000000008</v>
      </c>
      <c r="G338" s="8">
        <f>8.4941 * CHOOSE( CONTROL!$C$15, $D$11, 100%, $F$11)</f>
        <v>8.4940999999999995</v>
      </c>
      <c r="H338" s="4">
        <f>9.4314 * CHOOSE(CONTROL!$C$15, $D$11, 100%, $F$11)</f>
        <v>9.4314</v>
      </c>
      <c r="I338" s="8">
        <f>8.4479 * CHOOSE(CONTROL!$C$15, $D$11, 100%, $F$11)</f>
        <v>8.4479000000000006</v>
      </c>
      <c r="J338" s="4">
        <f>8.3497 * CHOOSE(CONTROL!$C$15, $D$11, 100%, $F$11)</f>
        <v>8.3497000000000003</v>
      </c>
      <c r="K338" s="4"/>
      <c r="L338" s="9">
        <v>31.095300000000002</v>
      </c>
      <c r="M338" s="9">
        <v>12.063700000000001</v>
      </c>
      <c r="N338" s="9">
        <v>4.9444999999999997</v>
      </c>
      <c r="O338" s="9">
        <v>0.37409999999999999</v>
      </c>
      <c r="P338" s="9">
        <v>1.2183999999999999</v>
      </c>
      <c r="Q338" s="9">
        <v>30.258500000000002</v>
      </c>
      <c r="R338" s="9"/>
      <c r="S338" s="11"/>
    </row>
    <row r="339" spans="1:19" ht="15.75">
      <c r="A339" s="13">
        <v>51835</v>
      </c>
      <c r="B339" s="8">
        <f>9.3456 * CHOOSE(CONTROL!$C$15, $D$11, 100%, $F$11)</f>
        <v>9.3455999999999992</v>
      </c>
      <c r="C339" s="8">
        <f>9.3507 * CHOOSE(CONTROL!$C$15, $D$11, 100%, $F$11)</f>
        <v>9.3506999999999998</v>
      </c>
      <c r="D339" s="8">
        <f>9.3276 * CHOOSE( CONTROL!$C$15, $D$11, 100%, $F$11)</f>
        <v>9.3276000000000003</v>
      </c>
      <c r="E339" s="12">
        <f>9.3355 * CHOOSE( CONTROL!$C$15, $D$11, 100%, $F$11)</f>
        <v>9.3354999999999997</v>
      </c>
      <c r="F339" s="4">
        <f>9.9904 * CHOOSE(CONTROL!$C$15, $D$11, 100%, $F$11)</f>
        <v>9.9903999999999993</v>
      </c>
      <c r="G339" s="8">
        <f>9.1718 * CHOOSE( CONTROL!$C$15, $D$11, 100%, $F$11)</f>
        <v>9.1717999999999993</v>
      </c>
      <c r="H339" s="4">
        <f>10.0535 * CHOOSE(CONTROL!$C$15, $D$11, 100%, $F$11)</f>
        <v>10.0535</v>
      </c>
      <c r="I339" s="8">
        <f>9.1284 * CHOOSE(CONTROL!$C$15, $D$11, 100%, $F$11)</f>
        <v>9.1283999999999992</v>
      </c>
      <c r="J339" s="4">
        <f>9.0052 * CHOOSE(CONTROL!$C$15, $D$11, 100%, $F$11)</f>
        <v>9.0052000000000003</v>
      </c>
      <c r="K339" s="4"/>
      <c r="L339" s="9">
        <v>28.360600000000002</v>
      </c>
      <c r="M339" s="9">
        <v>11.6745</v>
      </c>
      <c r="N339" s="9">
        <v>4.7850000000000001</v>
      </c>
      <c r="O339" s="9">
        <v>0.36199999999999999</v>
      </c>
      <c r="P339" s="9">
        <v>1.2509999999999999</v>
      </c>
      <c r="Q339" s="9">
        <v>29.282399999999999</v>
      </c>
      <c r="R339" s="9"/>
      <c r="S339" s="11"/>
    </row>
    <row r="340" spans="1:19" ht="15.75">
      <c r="A340" s="13">
        <v>51866</v>
      </c>
      <c r="B340" s="8">
        <f>9.3286 * CHOOSE(CONTROL!$C$15, $D$11, 100%, $F$11)</f>
        <v>9.3285999999999998</v>
      </c>
      <c r="C340" s="8">
        <f>9.3337 * CHOOSE(CONTROL!$C$15, $D$11, 100%, $F$11)</f>
        <v>9.3337000000000003</v>
      </c>
      <c r="D340" s="8">
        <f>9.312 * CHOOSE( CONTROL!$C$15, $D$11, 100%, $F$11)</f>
        <v>9.3119999999999994</v>
      </c>
      <c r="E340" s="12">
        <f>9.3194 * CHOOSE( CONTROL!$C$15, $D$11, 100%, $F$11)</f>
        <v>9.3193999999999999</v>
      </c>
      <c r="F340" s="4">
        <f>9.9735 * CHOOSE(CONTROL!$C$15, $D$11, 100%, $F$11)</f>
        <v>9.9734999999999996</v>
      </c>
      <c r="G340" s="8">
        <f>9.1561 * CHOOSE( CONTROL!$C$15, $D$11, 100%, $F$11)</f>
        <v>9.1561000000000003</v>
      </c>
      <c r="H340" s="4">
        <f>10.0369 * CHOOSE(CONTROL!$C$15, $D$11, 100%, $F$11)</f>
        <v>10.036899999999999</v>
      </c>
      <c r="I340" s="8">
        <f>9.1163 * CHOOSE(CONTROL!$C$15, $D$11, 100%, $F$11)</f>
        <v>9.1163000000000007</v>
      </c>
      <c r="J340" s="4">
        <f>8.9888 * CHOOSE(CONTROL!$C$15, $D$11, 100%, $F$11)</f>
        <v>8.9887999999999995</v>
      </c>
      <c r="K340" s="4"/>
      <c r="L340" s="9">
        <v>29.306000000000001</v>
      </c>
      <c r="M340" s="9">
        <v>12.063700000000001</v>
      </c>
      <c r="N340" s="9">
        <v>4.9444999999999997</v>
      </c>
      <c r="O340" s="9">
        <v>0.37409999999999999</v>
      </c>
      <c r="P340" s="9">
        <v>1.2927</v>
      </c>
      <c r="Q340" s="9">
        <v>30.258500000000002</v>
      </c>
      <c r="R340" s="9"/>
      <c r="S340" s="11"/>
    </row>
    <row r="341" spans="1:19" ht="15.75">
      <c r="A341" s="13">
        <v>51897</v>
      </c>
      <c r="B341" s="8">
        <f>9.684 * CHOOSE(CONTROL!$C$15, $D$11, 100%, $F$11)</f>
        <v>9.6839999999999993</v>
      </c>
      <c r="C341" s="8">
        <f>9.6891 * CHOOSE(CONTROL!$C$15, $D$11, 100%, $F$11)</f>
        <v>9.6890999999999998</v>
      </c>
      <c r="D341" s="8">
        <f>9.6633 * CHOOSE( CONTROL!$C$15, $D$11, 100%, $F$11)</f>
        <v>9.6632999999999996</v>
      </c>
      <c r="E341" s="12">
        <f>9.6722 * CHOOSE( CONTROL!$C$15, $D$11, 100%, $F$11)</f>
        <v>9.6722000000000001</v>
      </c>
      <c r="F341" s="4">
        <f>10.328 * CHOOSE(CONTROL!$C$15, $D$11, 100%, $F$11)</f>
        <v>10.327999999999999</v>
      </c>
      <c r="G341" s="8">
        <f>9.4993 * CHOOSE( CONTROL!$C$15, $D$11, 100%, $F$11)</f>
        <v>9.4992999999999999</v>
      </c>
      <c r="H341" s="4">
        <f>10.3855 * CHOOSE(CONTROL!$C$15, $D$11, 100%, $F$11)</f>
        <v>10.3855</v>
      </c>
      <c r="I341" s="8">
        <f>9.4306 * CHOOSE(CONTROL!$C$15, $D$11, 100%, $F$11)</f>
        <v>9.4306000000000001</v>
      </c>
      <c r="J341" s="4">
        <f>9.3323 * CHOOSE(CONTROL!$C$15, $D$11, 100%, $F$11)</f>
        <v>9.3323</v>
      </c>
      <c r="K341" s="4"/>
      <c r="L341" s="9">
        <v>29.306000000000001</v>
      </c>
      <c r="M341" s="9">
        <v>12.063700000000001</v>
      </c>
      <c r="N341" s="9">
        <v>4.9444999999999997</v>
      </c>
      <c r="O341" s="9">
        <v>0.37409999999999999</v>
      </c>
      <c r="P341" s="9">
        <v>1.2927</v>
      </c>
      <c r="Q341" s="9">
        <v>20.593900000000001</v>
      </c>
      <c r="R341" s="9"/>
      <c r="S341" s="11"/>
    </row>
    <row r="342" spans="1:19" ht="15.75">
      <c r="A342" s="13">
        <v>51925</v>
      </c>
      <c r="B342" s="8">
        <f>9.0599 * CHOOSE(CONTROL!$C$15, $D$11, 100%, $F$11)</f>
        <v>9.0599000000000007</v>
      </c>
      <c r="C342" s="8">
        <f>9.065 * CHOOSE(CONTROL!$C$15, $D$11, 100%, $F$11)</f>
        <v>9.0649999999999995</v>
      </c>
      <c r="D342" s="8">
        <f>9.0394 * CHOOSE( CONTROL!$C$15, $D$11, 100%, $F$11)</f>
        <v>9.0394000000000005</v>
      </c>
      <c r="E342" s="12">
        <f>9.0482 * CHOOSE( CONTROL!$C$15, $D$11, 100%, $F$11)</f>
        <v>9.0481999999999996</v>
      </c>
      <c r="F342" s="4">
        <f>9.7039 * CHOOSE(CONTROL!$C$15, $D$11, 100%, $F$11)</f>
        <v>9.7039000000000009</v>
      </c>
      <c r="G342" s="8">
        <f>8.8857 * CHOOSE( CONTROL!$C$15, $D$11, 100%, $F$11)</f>
        <v>8.8856999999999999</v>
      </c>
      <c r="H342" s="4">
        <f>9.7718 * CHOOSE(CONTROL!$C$15, $D$11, 100%, $F$11)</f>
        <v>9.7718000000000007</v>
      </c>
      <c r="I342" s="8">
        <f>8.8278 * CHOOSE(CONTROL!$C$15, $D$11, 100%, $F$11)</f>
        <v>8.8277999999999999</v>
      </c>
      <c r="J342" s="4">
        <f>8.729 * CHOOSE(CONTROL!$C$15, $D$11, 100%, $F$11)</f>
        <v>8.7289999999999992</v>
      </c>
      <c r="K342" s="4"/>
      <c r="L342" s="9">
        <v>26.469899999999999</v>
      </c>
      <c r="M342" s="9">
        <v>10.8962</v>
      </c>
      <c r="N342" s="9">
        <v>4.4660000000000002</v>
      </c>
      <c r="O342" s="9">
        <v>0.33789999999999998</v>
      </c>
      <c r="P342" s="9">
        <v>1.1676</v>
      </c>
      <c r="Q342" s="9">
        <v>18.600999999999999</v>
      </c>
      <c r="R342" s="9"/>
      <c r="S342" s="11"/>
    </row>
    <row r="343" spans="1:19" ht="15.75">
      <c r="A343" s="13">
        <v>51956</v>
      </c>
      <c r="B343" s="8">
        <f>8.8677 * CHOOSE(CONTROL!$C$15, $D$11, 100%, $F$11)</f>
        <v>8.8676999999999992</v>
      </c>
      <c r="C343" s="8">
        <f>8.8728 * CHOOSE(CONTROL!$C$15, $D$11, 100%, $F$11)</f>
        <v>8.8727999999999998</v>
      </c>
      <c r="D343" s="8">
        <f>8.8471 * CHOOSE( CONTROL!$C$15, $D$11, 100%, $F$11)</f>
        <v>8.8470999999999993</v>
      </c>
      <c r="E343" s="12">
        <f>8.856 * CHOOSE( CONTROL!$C$15, $D$11, 100%, $F$11)</f>
        <v>8.8559999999999999</v>
      </c>
      <c r="F343" s="4">
        <f>9.5117 * CHOOSE(CONTROL!$C$15, $D$11, 100%, $F$11)</f>
        <v>9.5116999999999994</v>
      </c>
      <c r="G343" s="8">
        <f>8.6966 * CHOOSE( CONTROL!$C$15, $D$11, 100%, $F$11)</f>
        <v>8.6966000000000001</v>
      </c>
      <c r="H343" s="4">
        <f>9.5827 * CHOOSE(CONTROL!$C$15, $D$11, 100%, $F$11)</f>
        <v>9.5827000000000009</v>
      </c>
      <c r="I343" s="8">
        <f>8.6416 * CHOOSE(CONTROL!$C$15, $D$11, 100%, $F$11)</f>
        <v>8.6416000000000004</v>
      </c>
      <c r="J343" s="4">
        <f>8.5432 * CHOOSE(CONTROL!$C$15, $D$11, 100%, $F$11)</f>
        <v>8.5432000000000006</v>
      </c>
      <c r="K343" s="4"/>
      <c r="L343" s="9">
        <v>29.306000000000001</v>
      </c>
      <c r="M343" s="9">
        <v>12.063700000000001</v>
      </c>
      <c r="N343" s="9">
        <v>4.9444999999999997</v>
      </c>
      <c r="O343" s="9">
        <v>0.37409999999999999</v>
      </c>
      <c r="P343" s="9">
        <v>1.2927</v>
      </c>
      <c r="Q343" s="9">
        <v>20.593900000000001</v>
      </c>
      <c r="R343" s="9"/>
      <c r="S343" s="11"/>
    </row>
    <row r="344" spans="1:19" ht="15.75">
      <c r="A344" s="13">
        <v>51986</v>
      </c>
      <c r="B344" s="8">
        <f>9.0028 * CHOOSE(CONTROL!$C$15, $D$11, 100%, $F$11)</f>
        <v>9.0028000000000006</v>
      </c>
      <c r="C344" s="8">
        <f>9.0073 * CHOOSE(CONTROL!$C$15, $D$11, 100%, $F$11)</f>
        <v>9.0073000000000008</v>
      </c>
      <c r="D344" s="8">
        <f>9.0183 * CHOOSE( CONTROL!$C$15, $D$11, 100%, $F$11)</f>
        <v>9.0183</v>
      </c>
      <c r="E344" s="12">
        <f>9.0142 * CHOOSE( CONTROL!$C$15, $D$11, 100%, $F$11)</f>
        <v>9.0142000000000007</v>
      </c>
      <c r="F344" s="4">
        <f>9.6924 * CHOOSE(CONTROL!$C$15, $D$11, 100%, $F$11)</f>
        <v>9.6923999999999992</v>
      </c>
      <c r="G344" s="8">
        <f>8.8216 * CHOOSE( CONTROL!$C$15, $D$11, 100%, $F$11)</f>
        <v>8.8216000000000001</v>
      </c>
      <c r="H344" s="4">
        <f>9.7604 * CHOOSE(CONTROL!$C$15, $D$11, 100%, $F$11)</f>
        <v>9.7604000000000006</v>
      </c>
      <c r="I344" s="8">
        <f>8.7666 * CHOOSE(CONTROL!$C$15, $D$11, 100%, $F$11)</f>
        <v>8.7666000000000004</v>
      </c>
      <c r="J344" s="4">
        <f>8.6731 * CHOOSE(CONTROL!$C$15, $D$11, 100%, $F$11)</f>
        <v>8.6730999999999998</v>
      </c>
      <c r="K344" s="4"/>
      <c r="L344" s="9">
        <v>30.092199999999998</v>
      </c>
      <c r="M344" s="9">
        <v>11.6745</v>
      </c>
      <c r="N344" s="9">
        <v>4.7850000000000001</v>
      </c>
      <c r="O344" s="9">
        <v>0.36199999999999999</v>
      </c>
      <c r="P344" s="9">
        <v>1.1791</v>
      </c>
      <c r="Q344" s="9">
        <v>19.929600000000001</v>
      </c>
      <c r="R344" s="9"/>
      <c r="S344" s="11"/>
    </row>
    <row r="345" spans="1:19" ht="15.75">
      <c r="A345" s="13">
        <v>52017</v>
      </c>
      <c r="B345" s="8">
        <f>CHOOSE( CONTROL!$C$32, 9.2467, 9.2432) * CHOOSE(CONTROL!$C$15, $D$11, 100%, $F$11)</f>
        <v>9.2467000000000006</v>
      </c>
      <c r="C345" s="8">
        <f>CHOOSE( CONTROL!$C$32, 9.2548, 9.2512) * CHOOSE(CONTROL!$C$15, $D$11, 100%, $F$11)</f>
        <v>9.2547999999999995</v>
      </c>
      <c r="D345" s="8">
        <f>CHOOSE( CONTROL!$C$32, 9.2608, 9.2572) * CHOOSE( CONTROL!$C$15, $D$11, 100%, $F$11)</f>
        <v>9.2607999999999997</v>
      </c>
      <c r="E345" s="12">
        <f>CHOOSE( CONTROL!$C$32, 9.2574, 9.2538) * CHOOSE( CONTROL!$C$15, $D$11, 100%, $F$11)</f>
        <v>9.2574000000000005</v>
      </c>
      <c r="F345" s="4">
        <f>CHOOSE( CONTROL!$C$32, 9.935, 9.9315) * CHOOSE(CONTROL!$C$15, $D$11, 100%, $F$11)</f>
        <v>9.9350000000000005</v>
      </c>
      <c r="G345" s="8">
        <f>CHOOSE( CONTROL!$C$32, 9.0612, 9.0577) * CHOOSE( CONTROL!$C$15, $D$11, 100%, $F$11)</f>
        <v>9.0611999999999995</v>
      </c>
      <c r="H345" s="4">
        <f>CHOOSE( CONTROL!$C$32, 9.999, 9.9955) * CHOOSE(CONTROL!$C$15, $D$11, 100%, $F$11)</f>
        <v>9.9990000000000006</v>
      </c>
      <c r="I345" s="8">
        <f>CHOOSE( CONTROL!$C$32, 9.0021, 8.9987) * CHOOSE(CONTROL!$C$15, $D$11, 100%, $F$11)</f>
        <v>9.0021000000000004</v>
      </c>
      <c r="J345" s="4">
        <f>CHOOSE( CONTROL!$C$32, 8.9076, 8.9042) * CHOOSE(CONTROL!$C$15, $D$11, 100%, $F$11)</f>
        <v>8.9076000000000004</v>
      </c>
      <c r="K345" s="4"/>
      <c r="L345" s="9">
        <v>30.7165</v>
      </c>
      <c r="M345" s="9">
        <v>12.063700000000001</v>
      </c>
      <c r="N345" s="9">
        <v>4.9444999999999997</v>
      </c>
      <c r="O345" s="9">
        <v>0.37409999999999999</v>
      </c>
      <c r="P345" s="9">
        <v>1.2183999999999999</v>
      </c>
      <c r="Q345" s="9">
        <v>20.593900000000001</v>
      </c>
      <c r="R345" s="9"/>
      <c r="S345" s="11"/>
    </row>
    <row r="346" spans="1:19" ht="15.75">
      <c r="A346" s="13">
        <v>52047</v>
      </c>
      <c r="B346" s="8">
        <f>CHOOSE( CONTROL!$C$32, 9.0987, 9.0951) * CHOOSE(CONTROL!$C$15, $D$11, 100%, $F$11)</f>
        <v>9.0986999999999991</v>
      </c>
      <c r="C346" s="8">
        <f>CHOOSE( CONTROL!$C$32, 9.1067, 9.1031) * CHOOSE(CONTROL!$C$15, $D$11, 100%, $F$11)</f>
        <v>9.1067</v>
      </c>
      <c r="D346" s="8">
        <f>CHOOSE( CONTROL!$C$32, 9.113, 9.1094) * CHOOSE( CONTROL!$C$15, $D$11, 100%, $F$11)</f>
        <v>9.1129999999999995</v>
      </c>
      <c r="E346" s="12">
        <f>CHOOSE( CONTROL!$C$32, 9.1095, 9.1059) * CHOOSE( CONTROL!$C$15, $D$11, 100%, $F$11)</f>
        <v>9.1095000000000006</v>
      </c>
      <c r="F346" s="4">
        <f>CHOOSE( CONTROL!$C$32, 9.7869, 9.7834) * CHOOSE(CONTROL!$C$15, $D$11, 100%, $F$11)</f>
        <v>9.7868999999999993</v>
      </c>
      <c r="G346" s="8">
        <f>CHOOSE( CONTROL!$C$32, 8.916, 8.9125) * CHOOSE( CONTROL!$C$15, $D$11, 100%, $F$11)</f>
        <v>8.9160000000000004</v>
      </c>
      <c r="H346" s="4">
        <f>CHOOSE( CONTROL!$C$32, 9.8534, 9.8499) * CHOOSE(CONTROL!$C$15, $D$11, 100%, $F$11)</f>
        <v>9.8534000000000006</v>
      </c>
      <c r="I346" s="8">
        <f>CHOOSE( CONTROL!$C$32, 8.8602, 8.8568) * CHOOSE(CONTROL!$C$15, $D$11, 100%, $F$11)</f>
        <v>8.8602000000000007</v>
      </c>
      <c r="J346" s="4">
        <f>CHOOSE( CONTROL!$C$32, 8.7644, 8.761) * CHOOSE(CONTROL!$C$15, $D$11, 100%, $F$11)</f>
        <v>8.7644000000000002</v>
      </c>
      <c r="K346" s="4"/>
      <c r="L346" s="9">
        <v>29.7257</v>
      </c>
      <c r="M346" s="9">
        <v>11.6745</v>
      </c>
      <c r="N346" s="9">
        <v>4.7850000000000001</v>
      </c>
      <c r="O346" s="9">
        <v>0.36199999999999999</v>
      </c>
      <c r="P346" s="9">
        <v>1.1791</v>
      </c>
      <c r="Q346" s="9">
        <v>19.929600000000001</v>
      </c>
      <c r="R346" s="9"/>
      <c r="S346" s="11"/>
    </row>
    <row r="347" spans="1:19" ht="15.75">
      <c r="A347" s="13">
        <v>52078</v>
      </c>
      <c r="B347" s="8">
        <f>CHOOSE( CONTROL!$C$32, 9.4886, 9.4851) * CHOOSE(CONTROL!$C$15, $D$11, 100%, $F$11)</f>
        <v>9.4885999999999999</v>
      </c>
      <c r="C347" s="8">
        <f>CHOOSE( CONTROL!$C$32, 9.4966, 9.4931) * CHOOSE(CONTROL!$C$15, $D$11, 100%, $F$11)</f>
        <v>9.4966000000000008</v>
      </c>
      <c r="D347" s="8">
        <f>CHOOSE( CONTROL!$C$32, 9.5032, 9.4997) * CHOOSE( CONTROL!$C$15, $D$11, 100%, $F$11)</f>
        <v>9.5031999999999996</v>
      </c>
      <c r="E347" s="12">
        <f>CHOOSE( CONTROL!$C$32, 9.4996, 9.4961) * CHOOSE( CONTROL!$C$15, $D$11, 100%, $F$11)</f>
        <v>9.4995999999999992</v>
      </c>
      <c r="F347" s="4">
        <f>CHOOSE( CONTROL!$C$32, 10.1769, 10.1733) * CHOOSE(CONTROL!$C$15, $D$11, 100%, $F$11)</f>
        <v>10.1769</v>
      </c>
      <c r="G347" s="8">
        <f>CHOOSE( CONTROL!$C$32, 9.2999, 9.2964) * CHOOSE( CONTROL!$C$15, $D$11, 100%, $F$11)</f>
        <v>9.2998999999999992</v>
      </c>
      <c r="H347" s="4">
        <f>CHOOSE( CONTROL!$C$32, 10.2369, 10.2334) * CHOOSE(CONTROL!$C$15, $D$11, 100%, $F$11)</f>
        <v>10.2369</v>
      </c>
      <c r="I347" s="8">
        <f>CHOOSE( CONTROL!$C$32, 9.2388, 9.2354) * CHOOSE(CONTROL!$C$15, $D$11, 100%, $F$11)</f>
        <v>9.2387999999999995</v>
      </c>
      <c r="J347" s="4">
        <f>CHOOSE( CONTROL!$C$32, 9.1414, 9.138) * CHOOSE(CONTROL!$C$15, $D$11, 100%, $F$11)</f>
        <v>9.1414000000000009</v>
      </c>
      <c r="K347" s="4"/>
      <c r="L347" s="9">
        <v>30.7165</v>
      </c>
      <c r="M347" s="9">
        <v>12.063700000000001</v>
      </c>
      <c r="N347" s="9">
        <v>4.9444999999999997</v>
      </c>
      <c r="O347" s="9">
        <v>0.37409999999999999</v>
      </c>
      <c r="P347" s="9">
        <v>1.2183999999999999</v>
      </c>
      <c r="Q347" s="9">
        <v>20.593900000000001</v>
      </c>
      <c r="R347" s="9"/>
      <c r="S347" s="11"/>
    </row>
    <row r="348" spans="1:19" ht="15.75">
      <c r="A348" s="13">
        <v>52109</v>
      </c>
      <c r="B348" s="8">
        <f>CHOOSE( CONTROL!$C$32, 8.7589, 8.7554) * CHOOSE(CONTROL!$C$15, $D$11, 100%, $F$11)</f>
        <v>8.7589000000000006</v>
      </c>
      <c r="C348" s="8">
        <f>CHOOSE( CONTROL!$C$32, 8.767, 8.7634) * CHOOSE(CONTROL!$C$15, $D$11, 100%, $F$11)</f>
        <v>8.7669999999999995</v>
      </c>
      <c r="D348" s="8">
        <f>CHOOSE( CONTROL!$C$32, 8.7737, 8.7701) * CHOOSE( CONTROL!$C$15, $D$11, 100%, $F$11)</f>
        <v>8.7736999999999998</v>
      </c>
      <c r="E348" s="12">
        <f>CHOOSE( CONTROL!$C$32, 8.77, 8.7665) * CHOOSE( CONTROL!$C$15, $D$11, 100%, $F$11)</f>
        <v>8.77</v>
      </c>
      <c r="F348" s="4">
        <f>CHOOSE( CONTROL!$C$32, 9.4472, 9.4437) * CHOOSE(CONTROL!$C$15, $D$11, 100%, $F$11)</f>
        <v>9.4472000000000005</v>
      </c>
      <c r="G348" s="8">
        <f>CHOOSE( CONTROL!$C$32, 8.5825, 8.579) * CHOOSE( CONTROL!$C$15, $D$11, 100%, $F$11)</f>
        <v>8.5824999999999996</v>
      </c>
      <c r="H348" s="4">
        <f>CHOOSE( CONTROL!$C$32, 9.5193, 9.5158) * CHOOSE(CONTROL!$C$15, $D$11, 100%, $F$11)</f>
        <v>9.5192999999999994</v>
      </c>
      <c r="I348" s="8">
        <f>CHOOSE( CONTROL!$C$32, 8.5336, 8.5301) * CHOOSE(CONTROL!$C$15, $D$11, 100%, $F$11)</f>
        <v>8.5335999999999999</v>
      </c>
      <c r="J348" s="4">
        <f>CHOOSE( CONTROL!$C$32, 8.436, 8.4326) * CHOOSE(CONTROL!$C$15, $D$11, 100%, $F$11)</f>
        <v>8.4359999999999999</v>
      </c>
      <c r="K348" s="4"/>
      <c r="L348" s="9">
        <v>30.7165</v>
      </c>
      <c r="M348" s="9">
        <v>12.063700000000001</v>
      </c>
      <c r="N348" s="9">
        <v>4.9444999999999997</v>
      </c>
      <c r="O348" s="9">
        <v>0.37409999999999999</v>
      </c>
      <c r="P348" s="9">
        <v>1.2183999999999999</v>
      </c>
      <c r="Q348" s="9">
        <v>20.593900000000001</v>
      </c>
      <c r="R348" s="9"/>
      <c r="S348" s="11"/>
    </row>
    <row r="349" spans="1:19" ht="15.75">
      <c r="A349" s="13">
        <v>52139</v>
      </c>
      <c r="B349" s="8">
        <f>CHOOSE( CONTROL!$C$32, 8.5762, 8.5727) * CHOOSE(CONTROL!$C$15, $D$11, 100%, $F$11)</f>
        <v>8.5762</v>
      </c>
      <c r="C349" s="8">
        <f>CHOOSE( CONTROL!$C$32, 8.5842, 8.5807) * CHOOSE(CONTROL!$C$15, $D$11, 100%, $F$11)</f>
        <v>8.5841999999999992</v>
      </c>
      <c r="D349" s="8">
        <f>CHOOSE( CONTROL!$C$32, 8.5909, 8.5874) * CHOOSE( CONTROL!$C$15, $D$11, 100%, $F$11)</f>
        <v>8.5908999999999995</v>
      </c>
      <c r="E349" s="12">
        <f>CHOOSE( CONTROL!$C$32, 8.5873, 8.5838) * CHOOSE( CONTROL!$C$15, $D$11, 100%, $F$11)</f>
        <v>8.5873000000000008</v>
      </c>
      <c r="F349" s="4">
        <f>CHOOSE( CONTROL!$C$32, 9.2645, 9.2609) * CHOOSE(CONTROL!$C$15, $D$11, 100%, $F$11)</f>
        <v>9.2645</v>
      </c>
      <c r="G349" s="8">
        <f>CHOOSE( CONTROL!$C$32, 8.4028, 8.3993) * CHOOSE( CONTROL!$C$15, $D$11, 100%, $F$11)</f>
        <v>8.4027999999999992</v>
      </c>
      <c r="H349" s="4">
        <f>CHOOSE( CONTROL!$C$32, 9.3396, 9.3361) * CHOOSE(CONTROL!$C$15, $D$11, 100%, $F$11)</f>
        <v>9.3396000000000008</v>
      </c>
      <c r="I349" s="8">
        <f>CHOOSE( CONTROL!$C$32, 8.3568, 8.3534) * CHOOSE(CONTROL!$C$15, $D$11, 100%, $F$11)</f>
        <v>8.3567999999999998</v>
      </c>
      <c r="J349" s="4">
        <f>CHOOSE( CONTROL!$C$32, 8.2594, 8.256) * CHOOSE(CONTROL!$C$15, $D$11, 100%, $F$11)</f>
        <v>8.2593999999999994</v>
      </c>
      <c r="K349" s="4"/>
      <c r="L349" s="9">
        <v>29.7257</v>
      </c>
      <c r="M349" s="9">
        <v>11.6745</v>
      </c>
      <c r="N349" s="9">
        <v>4.7850000000000001</v>
      </c>
      <c r="O349" s="9">
        <v>0.36199999999999999</v>
      </c>
      <c r="P349" s="9">
        <v>1.1791</v>
      </c>
      <c r="Q349" s="9">
        <v>19.929600000000001</v>
      </c>
      <c r="R349" s="9"/>
      <c r="S349" s="11"/>
    </row>
    <row r="350" spans="1:19" ht="15.75">
      <c r="A350" s="13">
        <v>52170</v>
      </c>
      <c r="B350" s="8">
        <f>8.9503 * CHOOSE(CONTROL!$C$15, $D$11, 100%, $F$11)</f>
        <v>8.9503000000000004</v>
      </c>
      <c r="C350" s="8">
        <f>8.9557 * CHOOSE(CONTROL!$C$15, $D$11, 100%, $F$11)</f>
        <v>8.9557000000000002</v>
      </c>
      <c r="D350" s="8">
        <f>8.9672 * CHOOSE( CONTROL!$C$15, $D$11, 100%, $F$11)</f>
        <v>8.9672000000000001</v>
      </c>
      <c r="E350" s="12">
        <f>8.9628 * CHOOSE( CONTROL!$C$15, $D$11, 100%, $F$11)</f>
        <v>8.9627999999999997</v>
      </c>
      <c r="F350" s="4">
        <f>9.6403 * CHOOSE(CONTROL!$C$15, $D$11, 100%, $F$11)</f>
        <v>9.6402999999999999</v>
      </c>
      <c r="G350" s="8">
        <f>8.7719 * CHOOSE( CONTROL!$C$15, $D$11, 100%, $F$11)</f>
        <v>8.7719000000000005</v>
      </c>
      <c r="H350" s="4">
        <f>9.7092 * CHOOSE(CONTROL!$C$15, $D$11, 100%, $F$11)</f>
        <v>9.7091999999999992</v>
      </c>
      <c r="I350" s="8">
        <f>8.7211 * CHOOSE(CONTROL!$C$15, $D$11, 100%, $F$11)</f>
        <v>8.7210999999999999</v>
      </c>
      <c r="J350" s="4">
        <f>8.6227 * CHOOSE(CONTROL!$C$15, $D$11, 100%, $F$11)</f>
        <v>8.6227</v>
      </c>
      <c r="K350" s="4"/>
      <c r="L350" s="9">
        <v>31.095300000000002</v>
      </c>
      <c r="M350" s="9">
        <v>12.063700000000001</v>
      </c>
      <c r="N350" s="9">
        <v>4.9444999999999997</v>
      </c>
      <c r="O350" s="9">
        <v>0.37409999999999999</v>
      </c>
      <c r="P350" s="9">
        <v>1.2183999999999999</v>
      </c>
      <c r="Q350" s="9">
        <v>20.593900000000001</v>
      </c>
      <c r="R350" s="9"/>
      <c r="S350" s="11"/>
    </row>
    <row r="351" spans="1:19" ht="15.75">
      <c r="A351" s="13">
        <v>52200</v>
      </c>
      <c r="B351" s="8">
        <f>9.6502 * CHOOSE(CONTROL!$C$15, $D$11, 100%, $F$11)</f>
        <v>9.6501999999999999</v>
      </c>
      <c r="C351" s="8">
        <f>9.6553 * CHOOSE(CONTROL!$C$15, $D$11, 100%, $F$11)</f>
        <v>9.6553000000000004</v>
      </c>
      <c r="D351" s="8">
        <f>9.6323 * CHOOSE( CONTROL!$C$15, $D$11, 100%, $F$11)</f>
        <v>9.6323000000000008</v>
      </c>
      <c r="E351" s="12">
        <f>9.6402 * CHOOSE( CONTROL!$C$15, $D$11, 100%, $F$11)</f>
        <v>9.6402000000000001</v>
      </c>
      <c r="F351" s="4">
        <f>10.2951 * CHOOSE(CONTROL!$C$15, $D$11, 100%, $F$11)</f>
        <v>10.2951</v>
      </c>
      <c r="G351" s="8">
        <f>9.4713 * CHOOSE( CONTROL!$C$15, $D$11, 100%, $F$11)</f>
        <v>9.4712999999999994</v>
      </c>
      <c r="H351" s="4">
        <f>10.3531 * CHOOSE(CONTROL!$C$15, $D$11, 100%, $F$11)</f>
        <v>10.3531</v>
      </c>
      <c r="I351" s="8">
        <f>9.423 * CHOOSE(CONTROL!$C$15, $D$11, 100%, $F$11)</f>
        <v>9.423</v>
      </c>
      <c r="J351" s="4">
        <f>9.2997 * CHOOSE(CONTROL!$C$15, $D$11, 100%, $F$11)</f>
        <v>9.2996999999999996</v>
      </c>
      <c r="K351" s="4"/>
      <c r="L351" s="9">
        <v>28.360600000000002</v>
      </c>
      <c r="M351" s="9">
        <v>11.6745</v>
      </c>
      <c r="N351" s="9">
        <v>4.7850000000000001</v>
      </c>
      <c r="O351" s="9">
        <v>0.36199999999999999</v>
      </c>
      <c r="P351" s="9">
        <v>1.2509999999999999</v>
      </c>
      <c r="Q351" s="9">
        <v>19.929600000000001</v>
      </c>
      <c r="R351" s="9"/>
      <c r="S351" s="11"/>
    </row>
    <row r="352" spans="1:19" ht="15.75">
      <c r="A352" s="13">
        <v>52231</v>
      </c>
      <c r="B352" s="8">
        <f>9.6327 * CHOOSE(CONTROL!$C$15, $D$11, 100%, $F$11)</f>
        <v>9.6326999999999998</v>
      </c>
      <c r="C352" s="8">
        <f>9.6378 * CHOOSE(CONTROL!$C$15, $D$11, 100%, $F$11)</f>
        <v>9.6378000000000004</v>
      </c>
      <c r="D352" s="8">
        <f>9.6161 * CHOOSE( CONTROL!$C$15, $D$11, 100%, $F$11)</f>
        <v>9.6160999999999994</v>
      </c>
      <c r="E352" s="12">
        <f>9.6235 * CHOOSE( CONTROL!$C$15, $D$11, 100%, $F$11)</f>
        <v>9.6234999999999999</v>
      </c>
      <c r="F352" s="4">
        <f>10.2776 * CHOOSE(CONTROL!$C$15, $D$11, 100%, $F$11)</f>
        <v>10.2776</v>
      </c>
      <c r="G352" s="8">
        <f>9.4551 * CHOOSE( CONTROL!$C$15, $D$11, 100%, $F$11)</f>
        <v>9.4550999999999998</v>
      </c>
      <c r="H352" s="4">
        <f>10.3359 * CHOOSE(CONTROL!$C$15, $D$11, 100%, $F$11)</f>
        <v>10.335900000000001</v>
      </c>
      <c r="I352" s="8">
        <f>9.4105 * CHOOSE(CONTROL!$C$15, $D$11, 100%, $F$11)</f>
        <v>9.4105000000000008</v>
      </c>
      <c r="J352" s="4">
        <f>9.2828 * CHOOSE(CONTROL!$C$15, $D$11, 100%, $F$11)</f>
        <v>9.2827999999999999</v>
      </c>
      <c r="K352" s="4"/>
      <c r="L352" s="9">
        <v>29.306000000000001</v>
      </c>
      <c r="M352" s="9">
        <v>12.063700000000001</v>
      </c>
      <c r="N352" s="9">
        <v>4.9444999999999997</v>
      </c>
      <c r="O352" s="9">
        <v>0.37409999999999999</v>
      </c>
      <c r="P352" s="9">
        <v>1.2927</v>
      </c>
      <c r="Q352" s="9">
        <v>20.593900000000001</v>
      </c>
      <c r="R352" s="9"/>
      <c r="S352" s="11"/>
    </row>
    <row r="353" spans="1:19" ht="15.75">
      <c r="A353" s="13">
        <v>52262</v>
      </c>
      <c r="B353" s="8">
        <f>9.9997 * CHOOSE(CONTROL!$C$15, $D$11, 100%, $F$11)</f>
        <v>9.9997000000000007</v>
      </c>
      <c r="C353" s="8">
        <f>10.0048 * CHOOSE(CONTROL!$C$15, $D$11, 100%, $F$11)</f>
        <v>10.004799999999999</v>
      </c>
      <c r="D353" s="8">
        <f>9.979 * CHOOSE( CONTROL!$C$15, $D$11, 100%, $F$11)</f>
        <v>9.9789999999999992</v>
      </c>
      <c r="E353" s="12">
        <f>9.9879 * CHOOSE( CONTROL!$C$15, $D$11, 100%, $F$11)</f>
        <v>9.9878999999999998</v>
      </c>
      <c r="F353" s="4">
        <f>10.6437 * CHOOSE(CONTROL!$C$15, $D$11, 100%, $F$11)</f>
        <v>10.643700000000001</v>
      </c>
      <c r="G353" s="8">
        <f>9.8098 * CHOOSE( CONTROL!$C$15, $D$11, 100%, $F$11)</f>
        <v>9.8097999999999992</v>
      </c>
      <c r="H353" s="4">
        <f>10.696 * CHOOSE(CONTROL!$C$15, $D$11, 100%, $F$11)</f>
        <v>10.696</v>
      </c>
      <c r="I353" s="8">
        <f>9.736 * CHOOSE(CONTROL!$C$15, $D$11, 100%, $F$11)</f>
        <v>9.7360000000000007</v>
      </c>
      <c r="J353" s="4">
        <f>9.6375 * CHOOSE(CONTROL!$C$15, $D$11, 100%, $F$11)</f>
        <v>9.6374999999999993</v>
      </c>
      <c r="K353" s="4"/>
      <c r="L353" s="9">
        <v>29.306000000000001</v>
      </c>
      <c r="M353" s="9">
        <v>12.063700000000001</v>
      </c>
      <c r="N353" s="9">
        <v>4.9444999999999997</v>
      </c>
      <c r="O353" s="9">
        <v>0.37409999999999999</v>
      </c>
      <c r="P353" s="9">
        <v>1.2927</v>
      </c>
      <c r="Q353" s="9">
        <v>20.5288</v>
      </c>
      <c r="R353" s="9"/>
      <c r="S353" s="11"/>
    </row>
    <row r="354" spans="1:19" ht="15.75">
      <c r="A354" s="13">
        <v>52290</v>
      </c>
      <c r="B354" s="8">
        <f>9.3552 * CHOOSE(CONTROL!$C$15, $D$11, 100%, $F$11)</f>
        <v>9.3552</v>
      </c>
      <c r="C354" s="8">
        <f>9.3603 * CHOOSE(CONTROL!$C$15, $D$11, 100%, $F$11)</f>
        <v>9.3603000000000005</v>
      </c>
      <c r="D354" s="8">
        <f>9.3347 * CHOOSE( CONTROL!$C$15, $D$11, 100%, $F$11)</f>
        <v>9.3346999999999998</v>
      </c>
      <c r="E354" s="12">
        <f>9.3435 * CHOOSE( CONTROL!$C$15, $D$11, 100%, $F$11)</f>
        <v>9.3435000000000006</v>
      </c>
      <c r="F354" s="4">
        <f>9.9992 * CHOOSE(CONTROL!$C$15, $D$11, 100%, $F$11)</f>
        <v>9.9992000000000001</v>
      </c>
      <c r="G354" s="8">
        <f>9.1761 * CHOOSE( CONTROL!$C$15, $D$11, 100%, $F$11)</f>
        <v>9.1760999999999999</v>
      </c>
      <c r="H354" s="4">
        <f>10.0622 * CHOOSE(CONTROL!$C$15, $D$11, 100%, $F$11)</f>
        <v>10.062200000000001</v>
      </c>
      <c r="I354" s="8">
        <f>9.1134 * CHOOSE(CONTROL!$C$15, $D$11, 100%, $F$11)</f>
        <v>9.1134000000000004</v>
      </c>
      <c r="J354" s="4">
        <f>9.0145 * CHOOSE(CONTROL!$C$15, $D$11, 100%, $F$11)</f>
        <v>9.0145</v>
      </c>
      <c r="K354" s="4"/>
      <c r="L354" s="9">
        <v>26.469899999999999</v>
      </c>
      <c r="M354" s="9">
        <v>10.8962</v>
      </c>
      <c r="N354" s="9">
        <v>4.4660000000000002</v>
      </c>
      <c r="O354" s="9">
        <v>0.33789999999999998</v>
      </c>
      <c r="P354" s="9">
        <v>1.1676</v>
      </c>
      <c r="Q354" s="9">
        <v>18.542200000000001</v>
      </c>
      <c r="R354" s="9"/>
      <c r="S354" s="11"/>
    </row>
    <row r="355" spans="1:19" ht="15.75">
      <c r="A355" s="13">
        <v>52321</v>
      </c>
      <c r="B355" s="8">
        <f>9.1567 * CHOOSE(CONTROL!$C$15, $D$11, 100%, $F$11)</f>
        <v>9.1567000000000007</v>
      </c>
      <c r="C355" s="8">
        <f>9.1618 * CHOOSE(CONTROL!$C$15, $D$11, 100%, $F$11)</f>
        <v>9.1617999999999995</v>
      </c>
      <c r="D355" s="8">
        <f>9.1361 * CHOOSE( CONTROL!$C$15, $D$11, 100%, $F$11)</f>
        <v>9.1361000000000008</v>
      </c>
      <c r="E355" s="12">
        <f>9.145 * CHOOSE( CONTROL!$C$15, $D$11, 100%, $F$11)</f>
        <v>9.1449999999999996</v>
      </c>
      <c r="F355" s="4">
        <f>9.8007 * CHOOSE(CONTROL!$C$15, $D$11, 100%, $F$11)</f>
        <v>9.8007000000000009</v>
      </c>
      <c r="G355" s="8">
        <f>8.9809 * CHOOSE( CONTROL!$C$15, $D$11, 100%, $F$11)</f>
        <v>8.9809000000000001</v>
      </c>
      <c r="H355" s="4">
        <f>9.867 * CHOOSE(CONTROL!$C$15, $D$11, 100%, $F$11)</f>
        <v>9.8670000000000009</v>
      </c>
      <c r="I355" s="8">
        <f>8.9212 * CHOOSE(CONTROL!$C$15, $D$11, 100%, $F$11)</f>
        <v>8.9212000000000007</v>
      </c>
      <c r="J355" s="4">
        <f>8.8226 * CHOOSE(CONTROL!$C$15, $D$11, 100%, $F$11)</f>
        <v>8.8225999999999996</v>
      </c>
      <c r="K355" s="4"/>
      <c r="L355" s="9">
        <v>29.306000000000001</v>
      </c>
      <c r="M355" s="9">
        <v>12.063700000000001</v>
      </c>
      <c r="N355" s="9">
        <v>4.9444999999999997</v>
      </c>
      <c r="O355" s="9">
        <v>0.37409999999999999</v>
      </c>
      <c r="P355" s="9">
        <v>1.2927</v>
      </c>
      <c r="Q355" s="9">
        <v>20.5288</v>
      </c>
      <c r="R355" s="9"/>
      <c r="S355" s="11"/>
    </row>
    <row r="356" spans="1:19" ht="15.75">
      <c r="A356" s="13">
        <v>52351</v>
      </c>
      <c r="B356" s="8">
        <f>9.2962 * CHOOSE(CONTROL!$C$15, $D$11, 100%, $F$11)</f>
        <v>9.2962000000000007</v>
      </c>
      <c r="C356" s="8">
        <f>9.3007 * CHOOSE(CONTROL!$C$15, $D$11, 100%, $F$11)</f>
        <v>9.3007000000000009</v>
      </c>
      <c r="D356" s="8">
        <f>9.3117 * CHOOSE( CONTROL!$C$15, $D$11, 100%, $F$11)</f>
        <v>9.3117000000000001</v>
      </c>
      <c r="E356" s="12">
        <f>9.3076 * CHOOSE( CONTROL!$C$15, $D$11, 100%, $F$11)</f>
        <v>9.3076000000000008</v>
      </c>
      <c r="F356" s="4">
        <f>9.9858 * CHOOSE(CONTROL!$C$15, $D$11, 100%, $F$11)</f>
        <v>9.9857999999999993</v>
      </c>
      <c r="G356" s="8">
        <f>9.1101 * CHOOSE( CONTROL!$C$15, $D$11, 100%, $F$11)</f>
        <v>9.1100999999999992</v>
      </c>
      <c r="H356" s="4">
        <f>10.049 * CHOOSE(CONTROL!$C$15, $D$11, 100%, $F$11)</f>
        <v>10.048999999999999</v>
      </c>
      <c r="I356" s="8">
        <f>9.0504 * CHOOSE(CONTROL!$C$15, $D$11, 100%, $F$11)</f>
        <v>9.0503999999999998</v>
      </c>
      <c r="J356" s="4">
        <f>8.9567 * CHOOSE(CONTROL!$C$15, $D$11, 100%, $F$11)</f>
        <v>8.9566999999999997</v>
      </c>
      <c r="K356" s="4"/>
      <c r="L356" s="9">
        <v>30.092199999999998</v>
      </c>
      <c r="M356" s="9">
        <v>11.6745</v>
      </c>
      <c r="N356" s="9">
        <v>4.7850000000000001</v>
      </c>
      <c r="O356" s="9">
        <v>0.36199999999999999</v>
      </c>
      <c r="P356" s="9">
        <v>1.1791</v>
      </c>
      <c r="Q356" s="9">
        <v>19.866599999999998</v>
      </c>
      <c r="R356" s="9"/>
      <c r="S356" s="11"/>
    </row>
    <row r="357" spans="1:19" ht="15.75">
      <c r="A357" s="13">
        <v>52382</v>
      </c>
      <c r="B357" s="8">
        <f>CHOOSE( CONTROL!$C$32, 9.548, 9.5444) * CHOOSE(CONTROL!$C$15, $D$11, 100%, $F$11)</f>
        <v>9.548</v>
      </c>
      <c r="C357" s="8">
        <f>CHOOSE( CONTROL!$C$32, 9.556, 9.5524) * CHOOSE(CONTROL!$C$15, $D$11, 100%, $F$11)</f>
        <v>9.5559999999999992</v>
      </c>
      <c r="D357" s="8">
        <f>CHOOSE( CONTROL!$C$32, 9.562, 9.5584) * CHOOSE( CONTROL!$C$15, $D$11, 100%, $F$11)</f>
        <v>9.5619999999999994</v>
      </c>
      <c r="E357" s="12">
        <f>CHOOSE( CONTROL!$C$32, 9.5586, 9.555) * CHOOSE( CONTROL!$C$15, $D$11, 100%, $F$11)</f>
        <v>9.5586000000000002</v>
      </c>
      <c r="F357" s="4">
        <f>CHOOSE( CONTROL!$C$32, 10.2362, 10.2327) * CHOOSE(CONTROL!$C$15, $D$11, 100%, $F$11)</f>
        <v>10.2362</v>
      </c>
      <c r="G357" s="8">
        <f>CHOOSE( CONTROL!$C$32, 9.3574, 9.3539) * CHOOSE( CONTROL!$C$15, $D$11, 100%, $F$11)</f>
        <v>9.3574000000000002</v>
      </c>
      <c r="H357" s="4">
        <f>CHOOSE( CONTROL!$C$32, 10.2953, 10.2918) * CHOOSE(CONTROL!$C$15, $D$11, 100%, $F$11)</f>
        <v>10.295299999999999</v>
      </c>
      <c r="I357" s="8">
        <f>CHOOSE( CONTROL!$C$32, 9.2934, 9.29) * CHOOSE(CONTROL!$C$15, $D$11, 100%, $F$11)</f>
        <v>9.2934000000000001</v>
      </c>
      <c r="J357" s="4">
        <f>CHOOSE( CONTROL!$C$32, 9.1988, 9.1953) * CHOOSE(CONTROL!$C$15, $D$11, 100%, $F$11)</f>
        <v>9.1988000000000003</v>
      </c>
      <c r="K357" s="4"/>
      <c r="L357" s="9">
        <v>30.7165</v>
      </c>
      <c r="M357" s="9">
        <v>12.063700000000001</v>
      </c>
      <c r="N357" s="9">
        <v>4.9444999999999997</v>
      </c>
      <c r="O357" s="9">
        <v>0.37409999999999999</v>
      </c>
      <c r="P357" s="9">
        <v>1.2183999999999999</v>
      </c>
      <c r="Q357" s="9">
        <v>20.5288</v>
      </c>
      <c r="R357" s="9"/>
      <c r="S357" s="11"/>
    </row>
    <row r="358" spans="1:19" ht="15.75">
      <c r="A358" s="13">
        <v>52412</v>
      </c>
      <c r="B358" s="8">
        <f>CHOOSE( CONTROL!$C$32, 9.395, 9.3915) * CHOOSE(CONTROL!$C$15, $D$11, 100%, $F$11)</f>
        <v>9.3949999999999996</v>
      </c>
      <c r="C358" s="8">
        <f>CHOOSE( CONTROL!$C$32, 9.4031, 9.3995) * CHOOSE(CONTROL!$C$15, $D$11, 100%, $F$11)</f>
        <v>9.4031000000000002</v>
      </c>
      <c r="D358" s="8">
        <f>CHOOSE( CONTROL!$C$32, 9.4093, 9.4058) * CHOOSE( CONTROL!$C$15, $D$11, 100%, $F$11)</f>
        <v>9.4093</v>
      </c>
      <c r="E358" s="12">
        <f>CHOOSE( CONTROL!$C$32, 9.4058, 9.4023) * CHOOSE( CONTROL!$C$15, $D$11, 100%, $F$11)</f>
        <v>9.4057999999999993</v>
      </c>
      <c r="F358" s="4">
        <f>CHOOSE( CONTROL!$C$32, 10.0833, 10.0798) * CHOOSE(CONTROL!$C$15, $D$11, 100%, $F$11)</f>
        <v>10.083299999999999</v>
      </c>
      <c r="G358" s="8">
        <f>CHOOSE( CONTROL!$C$32, 9.2074, 9.2039) * CHOOSE( CONTROL!$C$15, $D$11, 100%, $F$11)</f>
        <v>9.2073999999999998</v>
      </c>
      <c r="H358" s="4">
        <f>CHOOSE( CONTROL!$C$32, 10.1449, 10.1414) * CHOOSE(CONTROL!$C$15, $D$11, 100%, $F$11)</f>
        <v>10.1449</v>
      </c>
      <c r="I358" s="8">
        <f>CHOOSE( CONTROL!$C$32, 9.1469, 9.1434) * CHOOSE(CONTROL!$C$15, $D$11, 100%, $F$11)</f>
        <v>9.1469000000000005</v>
      </c>
      <c r="J358" s="4">
        <f>CHOOSE( CONTROL!$C$32, 9.051, 9.0475) * CHOOSE(CONTROL!$C$15, $D$11, 100%, $F$11)</f>
        <v>9.0510000000000002</v>
      </c>
      <c r="K358" s="4"/>
      <c r="L358" s="9">
        <v>29.7257</v>
      </c>
      <c r="M358" s="9">
        <v>11.6745</v>
      </c>
      <c r="N358" s="9">
        <v>4.7850000000000001</v>
      </c>
      <c r="O358" s="9">
        <v>0.36199999999999999</v>
      </c>
      <c r="P358" s="9">
        <v>1.1791</v>
      </c>
      <c r="Q358" s="9">
        <v>19.866599999999998</v>
      </c>
      <c r="R358" s="9"/>
      <c r="S358" s="11"/>
    </row>
    <row r="359" spans="1:19" ht="15.75">
      <c r="A359" s="13">
        <v>52443</v>
      </c>
      <c r="B359" s="8">
        <f>CHOOSE( CONTROL!$C$32, 9.7978, 9.7942) * CHOOSE(CONTROL!$C$15, $D$11, 100%, $F$11)</f>
        <v>9.7978000000000005</v>
      </c>
      <c r="C359" s="8">
        <f>CHOOSE( CONTROL!$C$32, 9.8058, 9.8022) * CHOOSE(CONTROL!$C$15, $D$11, 100%, $F$11)</f>
        <v>9.8057999999999996</v>
      </c>
      <c r="D359" s="8">
        <f>CHOOSE( CONTROL!$C$32, 9.8124, 9.8088) * CHOOSE( CONTROL!$C$15, $D$11, 100%, $F$11)</f>
        <v>9.8124000000000002</v>
      </c>
      <c r="E359" s="12">
        <f>CHOOSE( CONTROL!$C$32, 9.8088, 9.8052) * CHOOSE( CONTROL!$C$15, $D$11, 100%, $F$11)</f>
        <v>9.8087999999999997</v>
      </c>
      <c r="F359" s="4">
        <f>CHOOSE( CONTROL!$C$32, 10.486, 10.4825) * CHOOSE(CONTROL!$C$15, $D$11, 100%, $F$11)</f>
        <v>10.486000000000001</v>
      </c>
      <c r="G359" s="8">
        <f>CHOOSE( CONTROL!$C$32, 9.6039, 9.6004) * CHOOSE( CONTROL!$C$15, $D$11, 100%, $F$11)</f>
        <v>9.6038999999999994</v>
      </c>
      <c r="H359" s="4">
        <f>CHOOSE( CONTROL!$C$32, 10.5409, 10.5374) * CHOOSE(CONTROL!$C$15, $D$11, 100%, $F$11)</f>
        <v>10.540900000000001</v>
      </c>
      <c r="I359" s="8">
        <f>CHOOSE( CONTROL!$C$32, 9.5378, 9.5344) * CHOOSE(CONTROL!$C$15, $D$11, 100%, $F$11)</f>
        <v>9.5378000000000007</v>
      </c>
      <c r="J359" s="4">
        <f>CHOOSE( CONTROL!$C$32, 9.4403, 9.4368) * CHOOSE(CONTROL!$C$15, $D$11, 100%, $F$11)</f>
        <v>9.4403000000000006</v>
      </c>
      <c r="K359" s="4"/>
      <c r="L359" s="9">
        <v>30.7165</v>
      </c>
      <c r="M359" s="9">
        <v>12.063700000000001</v>
      </c>
      <c r="N359" s="9">
        <v>4.9444999999999997</v>
      </c>
      <c r="O359" s="9">
        <v>0.37409999999999999</v>
      </c>
      <c r="P359" s="9">
        <v>1.2183999999999999</v>
      </c>
      <c r="Q359" s="9">
        <v>20.5288</v>
      </c>
      <c r="R359" s="9"/>
      <c r="S359" s="11"/>
    </row>
    <row r="360" spans="1:19" ht="15.75">
      <c r="A360" s="13">
        <v>52474</v>
      </c>
      <c r="B360" s="8">
        <f>CHOOSE( CONTROL!$C$32, 9.0442, 9.0407) * CHOOSE(CONTROL!$C$15, $D$11, 100%, $F$11)</f>
        <v>9.0442</v>
      </c>
      <c r="C360" s="8">
        <f>CHOOSE( CONTROL!$C$32, 9.0522, 9.0487) * CHOOSE(CONTROL!$C$15, $D$11, 100%, $F$11)</f>
        <v>9.0521999999999991</v>
      </c>
      <c r="D360" s="8">
        <f>CHOOSE( CONTROL!$C$32, 9.0589, 9.0554) * CHOOSE( CONTROL!$C$15, $D$11, 100%, $F$11)</f>
        <v>9.0588999999999995</v>
      </c>
      <c r="E360" s="12">
        <f>CHOOSE( CONTROL!$C$32, 9.0553, 9.0518) * CHOOSE( CONTROL!$C$15, $D$11, 100%, $F$11)</f>
        <v>9.0553000000000008</v>
      </c>
      <c r="F360" s="4">
        <f>CHOOSE( CONTROL!$C$32, 9.7325, 9.7289) * CHOOSE(CONTROL!$C$15, $D$11, 100%, $F$11)</f>
        <v>9.7324999999999999</v>
      </c>
      <c r="G360" s="8">
        <f>CHOOSE( CONTROL!$C$32, 8.863, 8.8595) * CHOOSE( CONTROL!$C$15, $D$11, 100%, $F$11)</f>
        <v>8.8629999999999995</v>
      </c>
      <c r="H360" s="4">
        <f>CHOOSE( CONTROL!$C$32, 9.7999, 9.7964) * CHOOSE(CONTROL!$C$15, $D$11, 100%, $F$11)</f>
        <v>9.7998999999999992</v>
      </c>
      <c r="I360" s="8">
        <f>CHOOSE( CONTROL!$C$32, 8.8095, 8.806) * CHOOSE(CONTROL!$C$15, $D$11, 100%, $F$11)</f>
        <v>8.8094999999999999</v>
      </c>
      <c r="J360" s="4">
        <f>CHOOSE( CONTROL!$C$32, 8.7118, 8.7084) * CHOOSE(CONTROL!$C$15, $D$11, 100%, $F$11)</f>
        <v>8.7118000000000002</v>
      </c>
      <c r="K360" s="4"/>
      <c r="L360" s="9">
        <v>30.7165</v>
      </c>
      <c r="M360" s="9">
        <v>12.063700000000001</v>
      </c>
      <c r="N360" s="9">
        <v>4.9444999999999997</v>
      </c>
      <c r="O360" s="9">
        <v>0.37409999999999999</v>
      </c>
      <c r="P360" s="9">
        <v>1.2183999999999999</v>
      </c>
      <c r="Q360" s="9">
        <v>20.5288</v>
      </c>
      <c r="R360" s="9"/>
      <c r="S360" s="11"/>
    </row>
    <row r="361" spans="1:19" ht="15.75">
      <c r="A361" s="13">
        <v>52504</v>
      </c>
      <c r="B361" s="8">
        <f>CHOOSE( CONTROL!$C$32, 8.8555, 8.852) * CHOOSE(CONTROL!$C$15, $D$11, 100%, $F$11)</f>
        <v>8.8554999999999993</v>
      </c>
      <c r="C361" s="8">
        <f>CHOOSE( CONTROL!$C$32, 8.8635, 8.86) * CHOOSE(CONTROL!$C$15, $D$11, 100%, $F$11)</f>
        <v>8.8635000000000002</v>
      </c>
      <c r="D361" s="8">
        <f>CHOOSE( CONTROL!$C$32, 8.8702, 8.8667) * CHOOSE( CONTROL!$C$15, $D$11, 100%, $F$11)</f>
        <v>8.8702000000000005</v>
      </c>
      <c r="E361" s="12">
        <f>CHOOSE( CONTROL!$C$32, 8.8666, 8.8631) * CHOOSE( CONTROL!$C$15, $D$11, 100%, $F$11)</f>
        <v>8.8666</v>
      </c>
      <c r="F361" s="4">
        <f>CHOOSE( CONTROL!$C$32, 9.5438, 9.5402) * CHOOSE(CONTROL!$C$15, $D$11, 100%, $F$11)</f>
        <v>9.5437999999999992</v>
      </c>
      <c r="G361" s="8">
        <f>CHOOSE( CONTROL!$C$32, 8.6775, 8.674) * CHOOSE( CONTROL!$C$15, $D$11, 100%, $F$11)</f>
        <v>8.6775000000000002</v>
      </c>
      <c r="H361" s="4">
        <f>CHOOSE( CONTROL!$C$32, 9.6143, 9.6108) * CHOOSE(CONTROL!$C$15, $D$11, 100%, $F$11)</f>
        <v>9.6143000000000001</v>
      </c>
      <c r="I361" s="8">
        <f>CHOOSE( CONTROL!$C$32, 8.627, 8.6235) * CHOOSE(CONTROL!$C$15, $D$11, 100%, $F$11)</f>
        <v>8.6270000000000007</v>
      </c>
      <c r="J361" s="4">
        <f>CHOOSE( CONTROL!$C$32, 8.5294, 8.526) * CHOOSE(CONTROL!$C$15, $D$11, 100%, $F$11)</f>
        <v>8.5294000000000008</v>
      </c>
      <c r="K361" s="4"/>
      <c r="L361" s="9">
        <v>29.7257</v>
      </c>
      <c r="M361" s="9">
        <v>11.6745</v>
      </c>
      <c r="N361" s="9">
        <v>4.7850000000000001</v>
      </c>
      <c r="O361" s="9">
        <v>0.36199999999999999</v>
      </c>
      <c r="P361" s="9">
        <v>1.1791</v>
      </c>
      <c r="Q361" s="9">
        <v>19.866599999999998</v>
      </c>
      <c r="R361" s="9"/>
      <c r="S361" s="11"/>
    </row>
    <row r="362" spans="1:19" ht="15.75">
      <c r="A362" s="13">
        <v>52535</v>
      </c>
      <c r="B362" s="8">
        <f>9.242 * CHOOSE(CONTROL!$C$15, $D$11, 100%, $F$11)</f>
        <v>9.2420000000000009</v>
      </c>
      <c r="C362" s="8">
        <f>9.2474 * CHOOSE(CONTROL!$C$15, $D$11, 100%, $F$11)</f>
        <v>9.2474000000000007</v>
      </c>
      <c r="D362" s="8">
        <f>9.2589 * CHOOSE( CONTROL!$C$15, $D$11, 100%, $F$11)</f>
        <v>9.2589000000000006</v>
      </c>
      <c r="E362" s="12">
        <f>9.2545 * CHOOSE( CONTROL!$C$15, $D$11, 100%, $F$11)</f>
        <v>9.2545000000000002</v>
      </c>
      <c r="F362" s="4">
        <f>9.932 * CHOOSE(CONTROL!$C$15, $D$11, 100%, $F$11)</f>
        <v>9.9320000000000004</v>
      </c>
      <c r="G362" s="8">
        <f>9.0588 * CHOOSE( CONTROL!$C$15, $D$11, 100%, $F$11)</f>
        <v>9.0587999999999997</v>
      </c>
      <c r="H362" s="4">
        <f>9.9961 * CHOOSE(CONTROL!$C$15, $D$11, 100%, $F$11)</f>
        <v>9.9961000000000002</v>
      </c>
      <c r="I362" s="8">
        <f>9.0032 * CHOOSE(CONTROL!$C$15, $D$11, 100%, $F$11)</f>
        <v>9.0031999999999996</v>
      </c>
      <c r="J362" s="4">
        <f>8.9047 * CHOOSE(CONTROL!$C$15, $D$11, 100%, $F$11)</f>
        <v>8.9047000000000001</v>
      </c>
      <c r="K362" s="4"/>
      <c r="L362" s="9">
        <v>31.095300000000002</v>
      </c>
      <c r="M362" s="9">
        <v>12.063700000000001</v>
      </c>
      <c r="N362" s="9">
        <v>4.9444999999999997</v>
      </c>
      <c r="O362" s="9">
        <v>0.37409999999999999</v>
      </c>
      <c r="P362" s="9">
        <v>1.2183999999999999</v>
      </c>
      <c r="Q362" s="9">
        <v>20.5288</v>
      </c>
      <c r="R362" s="9"/>
      <c r="S362" s="11"/>
    </row>
    <row r="363" spans="1:19" ht="15.75">
      <c r="A363" s="13">
        <v>52565</v>
      </c>
      <c r="B363" s="8">
        <f>9.9648 * CHOOSE(CONTROL!$C$15, $D$11, 100%, $F$11)</f>
        <v>9.9648000000000003</v>
      </c>
      <c r="C363" s="8">
        <f>9.9699 * CHOOSE(CONTROL!$C$15, $D$11, 100%, $F$11)</f>
        <v>9.9699000000000009</v>
      </c>
      <c r="D363" s="8">
        <f>9.9469 * CHOOSE( CONTROL!$C$15, $D$11, 100%, $F$11)</f>
        <v>9.9468999999999994</v>
      </c>
      <c r="E363" s="12">
        <f>9.9548 * CHOOSE( CONTROL!$C$15, $D$11, 100%, $F$11)</f>
        <v>9.9548000000000005</v>
      </c>
      <c r="F363" s="4">
        <f>10.6097 * CHOOSE(CONTROL!$C$15, $D$11, 100%, $F$11)</f>
        <v>10.6097</v>
      </c>
      <c r="G363" s="8">
        <f>9.7807 * CHOOSE( CONTROL!$C$15, $D$11, 100%, $F$11)</f>
        <v>9.7806999999999995</v>
      </c>
      <c r="H363" s="4">
        <f>10.6625 * CHOOSE(CONTROL!$C$15, $D$11, 100%, $F$11)</f>
        <v>10.6625</v>
      </c>
      <c r="I363" s="8">
        <f>9.7273 * CHOOSE(CONTROL!$C$15, $D$11, 100%, $F$11)</f>
        <v>9.7272999999999996</v>
      </c>
      <c r="J363" s="4">
        <f>9.6038 * CHOOSE(CONTROL!$C$15, $D$11, 100%, $F$11)</f>
        <v>9.6037999999999997</v>
      </c>
      <c r="K363" s="4"/>
      <c r="L363" s="9">
        <v>28.360600000000002</v>
      </c>
      <c r="M363" s="9">
        <v>11.6745</v>
      </c>
      <c r="N363" s="9">
        <v>4.7850000000000001</v>
      </c>
      <c r="O363" s="9">
        <v>0.36199999999999999</v>
      </c>
      <c r="P363" s="9">
        <v>1.2509999999999999</v>
      </c>
      <c r="Q363" s="9">
        <v>19.866599999999998</v>
      </c>
      <c r="R363" s="9"/>
      <c r="S363" s="11"/>
    </row>
    <row r="364" spans="1:19" ht="15.75">
      <c r="A364" s="13">
        <v>52596</v>
      </c>
      <c r="B364" s="8">
        <f>9.9467 * CHOOSE(CONTROL!$C$15, $D$11, 100%, $F$11)</f>
        <v>9.9466999999999999</v>
      </c>
      <c r="C364" s="8">
        <f>9.9519 * CHOOSE(CONTROL!$C$15, $D$11, 100%, $F$11)</f>
        <v>9.9519000000000002</v>
      </c>
      <c r="D364" s="8">
        <f>9.9302 * CHOOSE( CONTROL!$C$15, $D$11, 100%, $F$11)</f>
        <v>9.9301999999999992</v>
      </c>
      <c r="E364" s="12">
        <f>9.9376 * CHOOSE( CONTROL!$C$15, $D$11, 100%, $F$11)</f>
        <v>9.9375999999999998</v>
      </c>
      <c r="F364" s="4">
        <f>10.5916 * CHOOSE(CONTROL!$C$15, $D$11, 100%, $F$11)</f>
        <v>10.5916</v>
      </c>
      <c r="G364" s="8">
        <f>9.764 * CHOOSE( CONTROL!$C$15, $D$11, 100%, $F$11)</f>
        <v>9.7639999999999993</v>
      </c>
      <c r="H364" s="4">
        <f>10.6448 * CHOOSE(CONTROL!$C$15, $D$11, 100%, $F$11)</f>
        <v>10.6448</v>
      </c>
      <c r="I364" s="8">
        <f>9.7142 * CHOOSE(CONTROL!$C$15, $D$11, 100%, $F$11)</f>
        <v>9.7141999999999999</v>
      </c>
      <c r="J364" s="4">
        <f>9.5863 * CHOOSE(CONTROL!$C$15, $D$11, 100%, $F$11)</f>
        <v>9.5862999999999996</v>
      </c>
      <c r="K364" s="4"/>
      <c r="L364" s="9">
        <v>29.306000000000001</v>
      </c>
      <c r="M364" s="9">
        <v>12.063700000000001</v>
      </c>
      <c r="N364" s="9">
        <v>4.9444999999999997</v>
      </c>
      <c r="O364" s="9">
        <v>0.37409999999999999</v>
      </c>
      <c r="P364" s="9">
        <v>1.2927</v>
      </c>
      <c r="Q364" s="9">
        <v>20.5288</v>
      </c>
      <c r="R364" s="9"/>
      <c r="S364" s="11"/>
    </row>
    <row r="365" spans="1:19" ht="15.75">
      <c r="A365" s="13">
        <v>52627</v>
      </c>
      <c r="B365" s="8">
        <f>10.3258 * CHOOSE(CONTROL!$C$15, $D$11, 100%, $F$11)</f>
        <v>10.325799999999999</v>
      </c>
      <c r="C365" s="8">
        <f>10.3309 * CHOOSE(CONTROL!$C$15, $D$11, 100%, $F$11)</f>
        <v>10.3309</v>
      </c>
      <c r="D365" s="8">
        <f>10.305 * CHOOSE( CONTROL!$C$15, $D$11, 100%, $F$11)</f>
        <v>10.305</v>
      </c>
      <c r="E365" s="12">
        <f>10.3139 * CHOOSE( CONTROL!$C$15, $D$11, 100%, $F$11)</f>
        <v>10.3139</v>
      </c>
      <c r="F365" s="4">
        <f>10.9698 * CHOOSE(CONTROL!$C$15, $D$11, 100%, $F$11)</f>
        <v>10.969799999999999</v>
      </c>
      <c r="G365" s="8">
        <f>10.1304 * CHOOSE( CONTROL!$C$15, $D$11, 100%, $F$11)</f>
        <v>10.1304</v>
      </c>
      <c r="H365" s="4">
        <f>11.0166 * CHOOSE(CONTROL!$C$15, $D$11, 100%, $F$11)</f>
        <v>11.0166</v>
      </c>
      <c r="I365" s="8">
        <f>10.0513 * CHOOSE(CONTROL!$C$15, $D$11, 100%, $F$11)</f>
        <v>10.051299999999999</v>
      </c>
      <c r="J365" s="4">
        <f>9.9527 * CHOOSE(CONTROL!$C$15, $D$11, 100%, $F$11)</f>
        <v>9.9527000000000001</v>
      </c>
      <c r="K365" s="4"/>
      <c r="L365" s="9">
        <v>29.306000000000001</v>
      </c>
      <c r="M365" s="9">
        <v>12.063700000000001</v>
      </c>
      <c r="N365" s="9">
        <v>4.9444999999999997</v>
      </c>
      <c r="O365" s="9">
        <v>0.37409999999999999</v>
      </c>
      <c r="P365" s="9">
        <v>1.2927</v>
      </c>
      <c r="Q365" s="9">
        <v>20.4619</v>
      </c>
      <c r="R365" s="9"/>
      <c r="S365" s="11"/>
    </row>
    <row r="366" spans="1:19" ht="15.75">
      <c r="A366" s="13">
        <v>52655</v>
      </c>
      <c r="B366" s="8">
        <f>9.6602 * CHOOSE(CONTROL!$C$15, $D$11, 100%, $F$11)</f>
        <v>9.6601999999999997</v>
      </c>
      <c r="C366" s="8">
        <f>9.6653 * CHOOSE(CONTROL!$C$15, $D$11, 100%, $F$11)</f>
        <v>9.6653000000000002</v>
      </c>
      <c r="D366" s="8">
        <f>9.6397 * CHOOSE( CONTROL!$C$15, $D$11, 100%, $F$11)</f>
        <v>9.6396999999999995</v>
      </c>
      <c r="E366" s="12">
        <f>9.6485 * CHOOSE( CONTROL!$C$15, $D$11, 100%, $F$11)</f>
        <v>9.6485000000000003</v>
      </c>
      <c r="F366" s="4">
        <f>10.3042 * CHOOSE(CONTROL!$C$15, $D$11, 100%, $F$11)</f>
        <v>10.3042</v>
      </c>
      <c r="G366" s="8">
        <f>9.476 * CHOOSE( CONTROL!$C$15, $D$11, 100%, $F$11)</f>
        <v>9.4760000000000009</v>
      </c>
      <c r="H366" s="4">
        <f>10.3621 * CHOOSE(CONTROL!$C$15, $D$11, 100%, $F$11)</f>
        <v>10.3621</v>
      </c>
      <c r="I366" s="8">
        <f>9.4083 * CHOOSE(CONTROL!$C$15, $D$11, 100%, $F$11)</f>
        <v>9.4083000000000006</v>
      </c>
      <c r="J366" s="4">
        <f>9.3093 * CHOOSE(CONTROL!$C$15, $D$11, 100%, $F$11)</f>
        <v>9.3093000000000004</v>
      </c>
      <c r="K366" s="4"/>
      <c r="L366" s="9">
        <v>27.415299999999998</v>
      </c>
      <c r="M366" s="9">
        <v>11.285299999999999</v>
      </c>
      <c r="N366" s="9">
        <v>4.6254999999999997</v>
      </c>
      <c r="O366" s="9">
        <v>0.34989999999999999</v>
      </c>
      <c r="P366" s="9">
        <v>1.2093</v>
      </c>
      <c r="Q366" s="9">
        <v>19.1417</v>
      </c>
      <c r="R366" s="9"/>
      <c r="S366" s="11"/>
    </row>
    <row r="367" spans="1:19" ht="15.75">
      <c r="A367" s="13">
        <v>52687</v>
      </c>
      <c r="B367" s="8">
        <f>9.4552 * CHOOSE(CONTROL!$C$15, $D$11, 100%, $F$11)</f>
        <v>9.4551999999999996</v>
      </c>
      <c r="C367" s="8">
        <f>9.4603 * CHOOSE(CONTROL!$C$15, $D$11, 100%, $F$11)</f>
        <v>9.4603000000000002</v>
      </c>
      <c r="D367" s="8">
        <f>9.4346 * CHOOSE( CONTROL!$C$15, $D$11, 100%, $F$11)</f>
        <v>9.4345999999999997</v>
      </c>
      <c r="E367" s="12">
        <f>9.4435 * CHOOSE( CONTROL!$C$15, $D$11, 100%, $F$11)</f>
        <v>9.4435000000000002</v>
      </c>
      <c r="F367" s="4">
        <f>10.0992 * CHOOSE(CONTROL!$C$15, $D$11, 100%, $F$11)</f>
        <v>10.0992</v>
      </c>
      <c r="G367" s="8">
        <f>9.2744 * CHOOSE( CONTROL!$C$15, $D$11, 100%, $F$11)</f>
        <v>9.2744</v>
      </c>
      <c r="H367" s="4">
        <f>10.1605 * CHOOSE(CONTROL!$C$15, $D$11, 100%, $F$11)</f>
        <v>10.160500000000001</v>
      </c>
      <c r="I367" s="8">
        <f>9.2098 * CHOOSE(CONTROL!$C$15, $D$11, 100%, $F$11)</f>
        <v>9.2097999999999995</v>
      </c>
      <c r="J367" s="4">
        <f>9.1111 * CHOOSE(CONTROL!$C$15, $D$11, 100%, $F$11)</f>
        <v>9.1111000000000004</v>
      </c>
      <c r="K367" s="4"/>
      <c r="L367" s="9">
        <v>29.306000000000001</v>
      </c>
      <c r="M367" s="9">
        <v>12.063700000000001</v>
      </c>
      <c r="N367" s="9">
        <v>4.9444999999999997</v>
      </c>
      <c r="O367" s="9">
        <v>0.37409999999999999</v>
      </c>
      <c r="P367" s="9">
        <v>1.2927</v>
      </c>
      <c r="Q367" s="9">
        <v>20.4619</v>
      </c>
      <c r="R367" s="9"/>
      <c r="S367" s="11"/>
    </row>
    <row r="368" spans="1:19" ht="15.75">
      <c r="A368" s="13">
        <v>52717</v>
      </c>
      <c r="B368" s="8">
        <f>9.5992 * CHOOSE(CONTROL!$C$15, $D$11, 100%, $F$11)</f>
        <v>9.5991999999999997</v>
      </c>
      <c r="C368" s="8">
        <f>9.6037 * CHOOSE(CONTROL!$C$15, $D$11, 100%, $F$11)</f>
        <v>9.6036999999999999</v>
      </c>
      <c r="D368" s="8">
        <f>9.6147 * CHOOSE( CONTROL!$C$15, $D$11, 100%, $F$11)</f>
        <v>9.6146999999999991</v>
      </c>
      <c r="E368" s="12">
        <f>9.6106 * CHOOSE( CONTROL!$C$15, $D$11, 100%, $F$11)</f>
        <v>9.6105999999999998</v>
      </c>
      <c r="F368" s="4">
        <f>10.2888 * CHOOSE(CONTROL!$C$15, $D$11, 100%, $F$11)</f>
        <v>10.2888</v>
      </c>
      <c r="G368" s="8">
        <f>9.4081 * CHOOSE( CONTROL!$C$15, $D$11, 100%, $F$11)</f>
        <v>9.4080999999999992</v>
      </c>
      <c r="H368" s="4">
        <f>10.347 * CHOOSE(CONTROL!$C$15, $D$11, 100%, $F$11)</f>
        <v>10.347</v>
      </c>
      <c r="I368" s="8">
        <f>9.3434 * CHOOSE(CONTROL!$C$15, $D$11, 100%, $F$11)</f>
        <v>9.3434000000000008</v>
      </c>
      <c r="J368" s="4">
        <f>9.2496 * CHOOSE(CONTROL!$C$15, $D$11, 100%, $F$11)</f>
        <v>9.2495999999999992</v>
      </c>
      <c r="K368" s="4"/>
      <c r="L368" s="9">
        <v>30.092199999999998</v>
      </c>
      <c r="M368" s="9">
        <v>11.6745</v>
      </c>
      <c r="N368" s="9">
        <v>4.7850000000000001</v>
      </c>
      <c r="O368" s="9">
        <v>0.36199999999999999</v>
      </c>
      <c r="P368" s="9">
        <v>1.1791</v>
      </c>
      <c r="Q368" s="9">
        <v>19.8018</v>
      </c>
      <c r="R368" s="9"/>
      <c r="S368" s="11"/>
    </row>
    <row r="369" spans="1:19" ht="15.75">
      <c r="A369" s="13">
        <v>52748</v>
      </c>
      <c r="B369" s="8">
        <f>CHOOSE( CONTROL!$C$32, 9.8591, 9.8555) * CHOOSE(CONTROL!$C$15, $D$11, 100%, $F$11)</f>
        <v>9.8590999999999998</v>
      </c>
      <c r="C369" s="8">
        <f>CHOOSE( CONTROL!$C$32, 9.8671, 9.8635) * CHOOSE(CONTROL!$C$15, $D$11, 100%, $F$11)</f>
        <v>9.8671000000000006</v>
      </c>
      <c r="D369" s="8">
        <f>CHOOSE( CONTROL!$C$32, 9.8731, 9.8695) * CHOOSE( CONTROL!$C$15, $D$11, 100%, $F$11)</f>
        <v>9.8731000000000009</v>
      </c>
      <c r="E369" s="12">
        <f>CHOOSE( CONTROL!$C$32, 9.8697, 9.8661) * CHOOSE( CONTROL!$C$15, $D$11, 100%, $F$11)</f>
        <v>9.8696999999999999</v>
      </c>
      <c r="F369" s="4">
        <f>CHOOSE( CONTROL!$C$32, 10.5473, 10.5438) * CHOOSE(CONTROL!$C$15, $D$11, 100%, $F$11)</f>
        <v>10.5473</v>
      </c>
      <c r="G369" s="8">
        <f>CHOOSE( CONTROL!$C$32, 9.6633, 9.6598) * CHOOSE( CONTROL!$C$15, $D$11, 100%, $F$11)</f>
        <v>9.6632999999999996</v>
      </c>
      <c r="H369" s="4">
        <f>CHOOSE( CONTROL!$C$32, 10.6012, 10.5977) * CHOOSE(CONTROL!$C$15, $D$11, 100%, $F$11)</f>
        <v>10.6012</v>
      </c>
      <c r="I369" s="8">
        <f>CHOOSE( CONTROL!$C$32, 9.5943, 9.5909) * CHOOSE(CONTROL!$C$15, $D$11, 100%, $F$11)</f>
        <v>9.5943000000000005</v>
      </c>
      <c r="J369" s="4">
        <f>CHOOSE( CONTROL!$C$32, 9.4995, 9.4961) * CHOOSE(CONTROL!$C$15, $D$11, 100%, $F$11)</f>
        <v>9.4994999999999994</v>
      </c>
      <c r="K369" s="4"/>
      <c r="L369" s="9">
        <v>30.7165</v>
      </c>
      <c r="M369" s="9">
        <v>12.063700000000001</v>
      </c>
      <c r="N369" s="9">
        <v>4.9444999999999997</v>
      </c>
      <c r="O369" s="9">
        <v>0.37409999999999999</v>
      </c>
      <c r="P369" s="9">
        <v>1.2183999999999999</v>
      </c>
      <c r="Q369" s="9">
        <v>20.4619</v>
      </c>
      <c r="R369" s="9"/>
      <c r="S369" s="11"/>
    </row>
    <row r="370" spans="1:19" ht="15.75">
      <c r="A370" s="13">
        <v>52778</v>
      </c>
      <c r="B370" s="8">
        <f>CHOOSE( CONTROL!$C$32, 9.7011, 9.6976) * CHOOSE(CONTROL!$C$15, $D$11, 100%, $F$11)</f>
        <v>9.7011000000000003</v>
      </c>
      <c r="C370" s="8">
        <f>CHOOSE( CONTROL!$C$32, 9.7091, 9.7056) * CHOOSE(CONTROL!$C$15, $D$11, 100%, $F$11)</f>
        <v>9.7090999999999994</v>
      </c>
      <c r="D370" s="8">
        <f>CHOOSE( CONTROL!$C$32, 9.7154, 9.7119) * CHOOSE( CONTROL!$C$15, $D$11, 100%, $F$11)</f>
        <v>9.7154000000000007</v>
      </c>
      <c r="E370" s="12">
        <f>CHOOSE( CONTROL!$C$32, 9.7119, 9.7084) * CHOOSE( CONTROL!$C$15, $D$11, 100%, $F$11)</f>
        <v>9.7119</v>
      </c>
      <c r="F370" s="4">
        <f>CHOOSE( CONTROL!$C$32, 10.3894, 10.3858) * CHOOSE(CONTROL!$C$15, $D$11, 100%, $F$11)</f>
        <v>10.3894</v>
      </c>
      <c r="G370" s="8">
        <f>CHOOSE( CONTROL!$C$32, 9.5084, 9.5049) * CHOOSE( CONTROL!$C$15, $D$11, 100%, $F$11)</f>
        <v>9.5084</v>
      </c>
      <c r="H370" s="4">
        <f>CHOOSE( CONTROL!$C$32, 10.4459, 10.4424) * CHOOSE(CONTROL!$C$15, $D$11, 100%, $F$11)</f>
        <v>10.4459</v>
      </c>
      <c r="I370" s="8">
        <f>CHOOSE( CONTROL!$C$32, 9.4429, 9.4394) * CHOOSE(CONTROL!$C$15, $D$11, 100%, $F$11)</f>
        <v>9.4428999999999998</v>
      </c>
      <c r="J370" s="4">
        <f>CHOOSE( CONTROL!$C$32, 9.3468, 9.3434) * CHOOSE(CONTROL!$C$15, $D$11, 100%, $F$11)</f>
        <v>9.3468</v>
      </c>
      <c r="K370" s="4"/>
      <c r="L370" s="9">
        <v>29.7257</v>
      </c>
      <c r="M370" s="9">
        <v>11.6745</v>
      </c>
      <c r="N370" s="9">
        <v>4.7850000000000001</v>
      </c>
      <c r="O370" s="9">
        <v>0.36199999999999999</v>
      </c>
      <c r="P370" s="9">
        <v>1.1791</v>
      </c>
      <c r="Q370" s="9">
        <v>19.8018</v>
      </c>
      <c r="R370" s="9"/>
      <c r="S370" s="11"/>
    </row>
    <row r="371" spans="1:19" ht="15.75">
      <c r="A371" s="13">
        <v>52809</v>
      </c>
      <c r="B371" s="8">
        <f>CHOOSE( CONTROL!$C$32, 10.117, 10.1135) * CHOOSE(CONTROL!$C$15, $D$11, 100%, $F$11)</f>
        <v>10.117000000000001</v>
      </c>
      <c r="C371" s="8">
        <f>CHOOSE( CONTROL!$C$32, 10.125, 10.1215) * CHOOSE(CONTROL!$C$15, $D$11, 100%, $F$11)</f>
        <v>10.125</v>
      </c>
      <c r="D371" s="8">
        <f>CHOOSE( CONTROL!$C$32, 10.1316, 10.1281) * CHOOSE( CONTROL!$C$15, $D$11, 100%, $F$11)</f>
        <v>10.131600000000001</v>
      </c>
      <c r="E371" s="12">
        <f>CHOOSE( CONTROL!$C$32, 10.128, 10.1245) * CHOOSE( CONTROL!$C$15, $D$11, 100%, $F$11)</f>
        <v>10.128</v>
      </c>
      <c r="F371" s="4">
        <f>CHOOSE( CONTROL!$C$32, 10.8053, 10.8017) * CHOOSE(CONTROL!$C$15, $D$11, 100%, $F$11)</f>
        <v>10.805300000000001</v>
      </c>
      <c r="G371" s="8">
        <f>CHOOSE( CONTROL!$C$32, 9.9179, 9.9144) * CHOOSE( CONTROL!$C$15, $D$11, 100%, $F$11)</f>
        <v>9.9178999999999995</v>
      </c>
      <c r="H371" s="4">
        <f>CHOOSE( CONTROL!$C$32, 10.8549, 10.8514) * CHOOSE(CONTROL!$C$15, $D$11, 100%, $F$11)</f>
        <v>10.854900000000001</v>
      </c>
      <c r="I371" s="8">
        <f>CHOOSE( CONTROL!$C$32, 9.8466, 9.8432) * CHOOSE(CONTROL!$C$15, $D$11, 100%, $F$11)</f>
        <v>9.8466000000000005</v>
      </c>
      <c r="J371" s="4">
        <f>CHOOSE( CONTROL!$C$32, 9.7489, 9.7454) * CHOOSE(CONTROL!$C$15, $D$11, 100%, $F$11)</f>
        <v>9.7489000000000008</v>
      </c>
      <c r="K371" s="4"/>
      <c r="L371" s="9">
        <v>30.7165</v>
      </c>
      <c r="M371" s="9">
        <v>12.063700000000001</v>
      </c>
      <c r="N371" s="9">
        <v>4.9444999999999997</v>
      </c>
      <c r="O371" s="9">
        <v>0.37409999999999999</v>
      </c>
      <c r="P371" s="9">
        <v>1.2183999999999999</v>
      </c>
      <c r="Q371" s="9">
        <v>20.4619</v>
      </c>
      <c r="R371" s="9"/>
      <c r="S371" s="11"/>
    </row>
    <row r="372" spans="1:19" ht="15.75">
      <c r="A372" s="13">
        <v>52840</v>
      </c>
      <c r="B372" s="8">
        <f>CHOOSE( CONTROL!$C$32, 9.3388, 9.3353) * CHOOSE(CONTROL!$C$15, $D$11, 100%, $F$11)</f>
        <v>9.3388000000000009</v>
      </c>
      <c r="C372" s="8">
        <f>CHOOSE( CONTROL!$C$32, 9.3468, 9.3433) * CHOOSE(CONTROL!$C$15, $D$11, 100%, $F$11)</f>
        <v>9.3468</v>
      </c>
      <c r="D372" s="8">
        <f>CHOOSE( CONTROL!$C$32, 9.3535, 9.35) * CHOOSE( CONTROL!$C$15, $D$11, 100%, $F$11)</f>
        <v>9.3535000000000004</v>
      </c>
      <c r="E372" s="12">
        <f>CHOOSE( CONTROL!$C$32, 9.3499, 9.3464) * CHOOSE( CONTROL!$C$15, $D$11, 100%, $F$11)</f>
        <v>9.3498999999999999</v>
      </c>
      <c r="F372" s="4">
        <f>CHOOSE( CONTROL!$C$32, 10.0271, 10.0235) * CHOOSE(CONTROL!$C$15, $D$11, 100%, $F$11)</f>
        <v>10.027100000000001</v>
      </c>
      <c r="G372" s="8">
        <f>CHOOSE( CONTROL!$C$32, 9.1528, 9.1493) * CHOOSE( CONTROL!$C$15, $D$11, 100%, $F$11)</f>
        <v>9.1527999999999992</v>
      </c>
      <c r="H372" s="4">
        <f>CHOOSE( CONTROL!$C$32, 10.0896, 10.0861) * CHOOSE(CONTROL!$C$15, $D$11, 100%, $F$11)</f>
        <v>10.089600000000001</v>
      </c>
      <c r="I372" s="8">
        <f>CHOOSE( CONTROL!$C$32, 9.0944, 9.091) * CHOOSE(CONTROL!$C$15, $D$11, 100%, $F$11)</f>
        <v>9.0944000000000003</v>
      </c>
      <c r="J372" s="4">
        <f>CHOOSE( CONTROL!$C$32, 8.9966, 8.9932) * CHOOSE(CONTROL!$C$15, $D$11, 100%, $F$11)</f>
        <v>8.9966000000000008</v>
      </c>
      <c r="K372" s="4"/>
      <c r="L372" s="9">
        <v>30.7165</v>
      </c>
      <c r="M372" s="9">
        <v>12.063700000000001</v>
      </c>
      <c r="N372" s="9">
        <v>4.9444999999999997</v>
      </c>
      <c r="O372" s="9">
        <v>0.37409999999999999</v>
      </c>
      <c r="P372" s="9">
        <v>1.2183999999999999</v>
      </c>
      <c r="Q372" s="9">
        <v>20.4619</v>
      </c>
      <c r="R372" s="9"/>
      <c r="S372" s="11"/>
    </row>
    <row r="373" spans="1:19" ht="15.75">
      <c r="A373" s="13">
        <v>52870</v>
      </c>
      <c r="B373" s="8">
        <f>CHOOSE( CONTROL!$C$32, 9.144, 9.1404) * CHOOSE(CONTROL!$C$15, $D$11, 100%, $F$11)</f>
        <v>9.1440000000000001</v>
      </c>
      <c r="C373" s="8">
        <f>CHOOSE( CONTROL!$C$32, 9.152, 9.1484) * CHOOSE(CONTROL!$C$15, $D$11, 100%, $F$11)</f>
        <v>9.1519999999999992</v>
      </c>
      <c r="D373" s="8">
        <f>CHOOSE( CONTROL!$C$32, 9.1587, 9.1551) * CHOOSE( CONTROL!$C$15, $D$11, 100%, $F$11)</f>
        <v>9.1586999999999996</v>
      </c>
      <c r="E373" s="12">
        <f>CHOOSE( CONTROL!$C$32, 9.1551, 9.1515) * CHOOSE( CONTROL!$C$15, $D$11, 100%, $F$11)</f>
        <v>9.1550999999999991</v>
      </c>
      <c r="F373" s="4">
        <f>CHOOSE( CONTROL!$C$32, 9.8322, 9.8287) * CHOOSE(CONTROL!$C$15, $D$11, 100%, $F$11)</f>
        <v>9.8322000000000003</v>
      </c>
      <c r="G373" s="8">
        <f>CHOOSE( CONTROL!$C$32, 8.9611, 8.9576) * CHOOSE( CONTROL!$C$15, $D$11, 100%, $F$11)</f>
        <v>8.9611000000000001</v>
      </c>
      <c r="H373" s="4">
        <f>CHOOSE( CONTROL!$C$32, 9.898, 9.8945) * CHOOSE(CONTROL!$C$15, $D$11, 100%, $F$11)</f>
        <v>9.8979999999999997</v>
      </c>
      <c r="I373" s="8">
        <f>CHOOSE( CONTROL!$C$32, 8.9059, 8.9025) * CHOOSE(CONTROL!$C$15, $D$11, 100%, $F$11)</f>
        <v>8.9059000000000008</v>
      </c>
      <c r="J373" s="4">
        <f>CHOOSE( CONTROL!$C$32, 8.8082, 8.8048) * CHOOSE(CONTROL!$C$15, $D$11, 100%, $F$11)</f>
        <v>8.8081999999999994</v>
      </c>
      <c r="K373" s="4"/>
      <c r="L373" s="9">
        <v>29.7257</v>
      </c>
      <c r="M373" s="9">
        <v>11.6745</v>
      </c>
      <c r="N373" s="9">
        <v>4.7850000000000001</v>
      </c>
      <c r="O373" s="9">
        <v>0.36199999999999999</v>
      </c>
      <c r="P373" s="9">
        <v>1.1791</v>
      </c>
      <c r="Q373" s="9">
        <v>19.8018</v>
      </c>
      <c r="R373" s="9"/>
      <c r="S373" s="11"/>
    </row>
    <row r="374" spans="1:19" ht="15.75">
      <c r="A374" s="13">
        <v>52901</v>
      </c>
      <c r="B374" s="8">
        <f>9.5433 * CHOOSE(CONTROL!$C$15, $D$11, 100%, $F$11)</f>
        <v>9.5433000000000003</v>
      </c>
      <c r="C374" s="8">
        <f>9.5487 * CHOOSE(CONTROL!$C$15, $D$11, 100%, $F$11)</f>
        <v>9.5487000000000002</v>
      </c>
      <c r="D374" s="8">
        <f>9.5602 * CHOOSE( CONTROL!$C$15, $D$11, 100%, $F$11)</f>
        <v>9.5602</v>
      </c>
      <c r="E374" s="12">
        <f>9.5558 * CHOOSE( CONTROL!$C$15, $D$11, 100%, $F$11)</f>
        <v>9.5557999999999996</v>
      </c>
      <c r="F374" s="4">
        <f>10.2333 * CHOOSE(CONTROL!$C$15, $D$11, 100%, $F$11)</f>
        <v>10.2333</v>
      </c>
      <c r="G374" s="8">
        <f>9.355 * CHOOSE( CONTROL!$C$15, $D$11, 100%, $F$11)</f>
        <v>9.3550000000000004</v>
      </c>
      <c r="H374" s="4">
        <f>10.2924 * CHOOSE(CONTROL!$C$15, $D$11, 100%, $F$11)</f>
        <v>10.292400000000001</v>
      </c>
      <c r="I374" s="8">
        <f>9.2946 * CHOOSE(CONTROL!$C$15, $D$11, 100%, $F$11)</f>
        <v>9.2946000000000009</v>
      </c>
      <c r="J374" s="4">
        <f>9.1959 * CHOOSE(CONTROL!$C$15, $D$11, 100%, $F$11)</f>
        <v>9.1959</v>
      </c>
      <c r="K374" s="4"/>
      <c r="L374" s="9">
        <v>31.095300000000002</v>
      </c>
      <c r="M374" s="9">
        <v>12.063700000000001</v>
      </c>
      <c r="N374" s="9">
        <v>4.9444999999999997</v>
      </c>
      <c r="O374" s="9">
        <v>0.37409999999999999</v>
      </c>
      <c r="P374" s="9">
        <v>1.2183999999999999</v>
      </c>
      <c r="Q374" s="9">
        <v>20.4619</v>
      </c>
      <c r="R374" s="9"/>
      <c r="S374" s="11"/>
    </row>
    <row r="375" spans="1:19" ht="15.75">
      <c r="A375" s="13">
        <v>52931</v>
      </c>
      <c r="B375" s="8">
        <f>10.2897 * CHOOSE(CONTROL!$C$15, $D$11, 100%, $F$11)</f>
        <v>10.2897</v>
      </c>
      <c r="C375" s="8">
        <f>10.2948 * CHOOSE(CONTROL!$C$15, $D$11, 100%, $F$11)</f>
        <v>10.2948</v>
      </c>
      <c r="D375" s="8">
        <f>10.2718 * CHOOSE( CONTROL!$C$15, $D$11, 100%, $F$11)</f>
        <v>10.271800000000001</v>
      </c>
      <c r="E375" s="12">
        <f>10.2797 * CHOOSE( CONTROL!$C$15, $D$11, 100%, $F$11)</f>
        <v>10.2797</v>
      </c>
      <c r="F375" s="4">
        <f>10.9346 * CHOOSE(CONTROL!$C$15, $D$11, 100%, $F$11)</f>
        <v>10.9346</v>
      </c>
      <c r="G375" s="8">
        <f>10.1003 * CHOOSE( CONTROL!$C$15, $D$11, 100%, $F$11)</f>
        <v>10.100300000000001</v>
      </c>
      <c r="H375" s="4">
        <f>10.982 * CHOOSE(CONTROL!$C$15, $D$11, 100%, $F$11)</f>
        <v>10.981999999999999</v>
      </c>
      <c r="I375" s="8">
        <f>10.0415 * CHOOSE(CONTROL!$C$15, $D$11, 100%, $F$11)</f>
        <v>10.041499999999999</v>
      </c>
      <c r="J375" s="4">
        <f>9.9179 * CHOOSE(CONTROL!$C$15, $D$11, 100%, $F$11)</f>
        <v>9.9178999999999995</v>
      </c>
      <c r="K375" s="4"/>
      <c r="L375" s="9">
        <v>28.360600000000002</v>
      </c>
      <c r="M375" s="9">
        <v>11.6745</v>
      </c>
      <c r="N375" s="9">
        <v>4.7850000000000001</v>
      </c>
      <c r="O375" s="9">
        <v>0.36199999999999999</v>
      </c>
      <c r="P375" s="9">
        <v>1.2509999999999999</v>
      </c>
      <c r="Q375" s="9">
        <v>19.8018</v>
      </c>
      <c r="R375" s="9"/>
      <c r="S375" s="11"/>
    </row>
    <row r="376" spans="1:19" ht="15.75">
      <c r="A376" s="13">
        <v>52962</v>
      </c>
      <c r="B376" s="8">
        <f>10.2711 * CHOOSE(CONTROL!$C$15, $D$11, 100%, $F$11)</f>
        <v>10.271100000000001</v>
      </c>
      <c r="C376" s="8">
        <f>10.2762 * CHOOSE(CONTROL!$C$15, $D$11, 100%, $F$11)</f>
        <v>10.276199999999999</v>
      </c>
      <c r="D376" s="8">
        <f>10.2545 * CHOOSE( CONTROL!$C$15, $D$11, 100%, $F$11)</f>
        <v>10.2545</v>
      </c>
      <c r="E376" s="12">
        <f>10.2619 * CHOOSE( CONTROL!$C$15, $D$11, 100%, $F$11)</f>
        <v>10.261900000000001</v>
      </c>
      <c r="F376" s="4">
        <f>10.9159 * CHOOSE(CONTROL!$C$15, $D$11, 100%, $F$11)</f>
        <v>10.915900000000001</v>
      </c>
      <c r="G376" s="8">
        <f>10.0829 * CHOOSE( CONTROL!$C$15, $D$11, 100%, $F$11)</f>
        <v>10.0829</v>
      </c>
      <c r="H376" s="4">
        <f>10.9637 * CHOOSE(CONTROL!$C$15, $D$11, 100%, $F$11)</f>
        <v>10.963699999999999</v>
      </c>
      <c r="I376" s="8">
        <f>10.0279 * CHOOSE(CONTROL!$C$15, $D$11, 100%, $F$11)</f>
        <v>10.027900000000001</v>
      </c>
      <c r="J376" s="4">
        <f>9.8999 * CHOOSE(CONTROL!$C$15, $D$11, 100%, $F$11)</f>
        <v>9.8999000000000006</v>
      </c>
      <c r="K376" s="4"/>
      <c r="L376" s="9">
        <v>29.306000000000001</v>
      </c>
      <c r="M376" s="9">
        <v>12.063700000000001</v>
      </c>
      <c r="N376" s="9">
        <v>4.9444999999999997</v>
      </c>
      <c r="O376" s="9">
        <v>0.37409999999999999</v>
      </c>
      <c r="P376" s="9">
        <v>1.2927</v>
      </c>
      <c r="Q376" s="9">
        <v>20.4619</v>
      </c>
      <c r="R376" s="9"/>
      <c r="S376" s="11"/>
    </row>
    <row r="377" spans="1:19" ht="15.75">
      <c r="A377" s="13">
        <v>52993</v>
      </c>
      <c r="B377" s="8">
        <f>10.6625 * CHOOSE(CONTROL!$C$15, $D$11, 100%, $F$11)</f>
        <v>10.6625</v>
      </c>
      <c r="C377" s="8">
        <f>10.6676 * CHOOSE(CONTROL!$C$15, $D$11, 100%, $F$11)</f>
        <v>10.6676</v>
      </c>
      <c r="D377" s="8">
        <f>10.6417 * CHOOSE( CONTROL!$C$15, $D$11, 100%, $F$11)</f>
        <v>10.6417</v>
      </c>
      <c r="E377" s="12">
        <f>10.6506 * CHOOSE( CONTROL!$C$15, $D$11, 100%, $F$11)</f>
        <v>10.650600000000001</v>
      </c>
      <c r="F377" s="4">
        <f>11.3065 * CHOOSE(CONTROL!$C$15, $D$11, 100%, $F$11)</f>
        <v>11.3065</v>
      </c>
      <c r="G377" s="8">
        <f>10.4615 * CHOOSE( CONTROL!$C$15, $D$11, 100%, $F$11)</f>
        <v>10.461499999999999</v>
      </c>
      <c r="H377" s="4">
        <f>11.3478 * CHOOSE(CONTROL!$C$15, $D$11, 100%, $F$11)</f>
        <v>11.347799999999999</v>
      </c>
      <c r="I377" s="8">
        <f>10.377 * CHOOSE(CONTROL!$C$15, $D$11, 100%, $F$11)</f>
        <v>10.377000000000001</v>
      </c>
      <c r="J377" s="4">
        <f>10.2782 * CHOOSE(CONTROL!$C$15, $D$11, 100%, $F$11)</f>
        <v>10.2782</v>
      </c>
      <c r="K377" s="4"/>
      <c r="L377" s="9">
        <v>29.306000000000001</v>
      </c>
      <c r="M377" s="9">
        <v>12.063700000000001</v>
      </c>
      <c r="N377" s="9">
        <v>4.9444999999999997</v>
      </c>
      <c r="O377" s="9">
        <v>0.37409999999999999</v>
      </c>
      <c r="P377" s="9">
        <v>1.2927</v>
      </c>
      <c r="Q377" s="9">
        <v>20.396799999999999</v>
      </c>
      <c r="R377" s="9"/>
      <c r="S377" s="11"/>
    </row>
    <row r="378" spans="1:19" ht="15.75">
      <c r="A378" s="13">
        <v>53021</v>
      </c>
      <c r="B378" s="8">
        <f>9.9751 * CHOOSE(CONTROL!$C$15, $D$11, 100%, $F$11)</f>
        <v>9.9750999999999994</v>
      </c>
      <c r="C378" s="8">
        <f>9.9802 * CHOOSE(CONTROL!$C$15, $D$11, 100%, $F$11)</f>
        <v>9.9802</v>
      </c>
      <c r="D378" s="8">
        <f>9.9546 * CHOOSE( CONTROL!$C$15, $D$11, 100%, $F$11)</f>
        <v>9.9545999999999992</v>
      </c>
      <c r="E378" s="12">
        <f>9.9634 * CHOOSE( CONTROL!$C$15, $D$11, 100%, $F$11)</f>
        <v>9.9634</v>
      </c>
      <c r="F378" s="4">
        <f>10.6191 * CHOOSE(CONTROL!$C$15, $D$11, 100%, $F$11)</f>
        <v>10.6191</v>
      </c>
      <c r="G378" s="8">
        <f>9.7857 * CHOOSE( CONTROL!$C$15, $D$11, 100%, $F$11)</f>
        <v>9.7857000000000003</v>
      </c>
      <c r="H378" s="4">
        <f>10.6718 * CHOOSE(CONTROL!$C$15, $D$11, 100%, $F$11)</f>
        <v>10.671799999999999</v>
      </c>
      <c r="I378" s="8">
        <f>9.7129 * CHOOSE(CONTROL!$C$15, $D$11, 100%, $F$11)</f>
        <v>9.7128999999999994</v>
      </c>
      <c r="J378" s="4">
        <f>9.6138 * CHOOSE(CONTROL!$C$15, $D$11, 100%, $F$11)</f>
        <v>9.6137999999999995</v>
      </c>
      <c r="K378" s="4"/>
      <c r="L378" s="9">
        <v>26.469899999999999</v>
      </c>
      <c r="M378" s="9">
        <v>10.8962</v>
      </c>
      <c r="N378" s="9">
        <v>4.4660000000000002</v>
      </c>
      <c r="O378" s="9">
        <v>0.33789999999999998</v>
      </c>
      <c r="P378" s="9">
        <v>1.1676</v>
      </c>
      <c r="Q378" s="9">
        <v>18.422899999999998</v>
      </c>
      <c r="R378" s="9"/>
      <c r="S378" s="11"/>
    </row>
    <row r="379" spans="1:19" ht="15.75">
      <c r="A379" s="13">
        <v>53052</v>
      </c>
      <c r="B379" s="8">
        <f>9.7634 * CHOOSE(CONTROL!$C$15, $D$11, 100%, $F$11)</f>
        <v>9.7634000000000007</v>
      </c>
      <c r="C379" s="8">
        <f>9.7685 * CHOOSE(CONTROL!$C$15, $D$11, 100%, $F$11)</f>
        <v>9.7684999999999995</v>
      </c>
      <c r="D379" s="8">
        <f>9.7428 * CHOOSE( CONTROL!$C$15, $D$11, 100%, $F$11)</f>
        <v>9.7428000000000008</v>
      </c>
      <c r="E379" s="12">
        <f>9.7517 * CHOOSE( CONTROL!$C$15, $D$11, 100%, $F$11)</f>
        <v>9.7516999999999996</v>
      </c>
      <c r="F379" s="4">
        <f>10.4074 * CHOOSE(CONTROL!$C$15, $D$11, 100%, $F$11)</f>
        <v>10.407400000000001</v>
      </c>
      <c r="G379" s="8">
        <f>9.5775 * CHOOSE( CONTROL!$C$15, $D$11, 100%, $F$11)</f>
        <v>9.5775000000000006</v>
      </c>
      <c r="H379" s="4">
        <f>10.4636 * CHOOSE(CONTROL!$C$15, $D$11, 100%, $F$11)</f>
        <v>10.4636</v>
      </c>
      <c r="I379" s="8">
        <f>9.5079 * CHOOSE(CONTROL!$C$15, $D$11, 100%, $F$11)</f>
        <v>9.5078999999999994</v>
      </c>
      <c r="J379" s="4">
        <f>9.4091 * CHOOSE(CONTROL!$C$15, $D$11, 100%, $F$11)</f>
        <v>9.4091000000000005</v>
      </c>
      <c r="K379" s="4"/>
      <c r="L379" s="9">
        <v>29.306000000000001</v>
      </c>
      <c r="M379" s="9">
        <v>12.063700000000001</v>
      </c>
      <c r="N379" s="9">
        <v>4.9444999999999997</v>
      </c>
      <c r="O379" s="9">
        <v>0.37409999999999999</v>
      </c>
      <c r="P379" s="9">
        <v>1.2927</v>
      </c>
      <c r="Q379" s="9">
        <v>20.396799999999999</v>
      </c>
      <c r="R379" s="9"/>
      <c r="S379" s="11"/>
    </row>
    <row r="380" spans="1:19" ht="15.75">
      <c r="A380" s="13">
        <v>53082</v>
      </c>
      <c r="B380" s="8">
        <f>9.9121 * CHOOSE(CONTROL!$C$15, $D$11, 100%, $F$11)</f>
        <v>9.9121000000000006</v>
      </c>
      <c r="C380" s="8">
        <f>9.9166 * CHOOSE(CONTROL!$C$15, $D$11, 100%, $F$11)</f>
        <v>9.9166000000000007</v>
      </c>
      <c r="D380" s="8">
        <f>9.9277 * CHOOSE( CONTROL!$C$15, $D$11, 100%, $F$11)</f>
        <v>9.9276999999999997</v>
      </c>
      <c r="E380" s="12">
        <f>9.9235 * CHOOSE( CONTROL!$C$15, $D$11, 100%, $F$11)</f>
        <v>9.9235000000000007</v>
      </c>
      <c r="F380" s="4">
        <f>10.6017 * CHOOSE(CONTROL!$C$15, $D$11, 100%, $F$11)</f>
        <v>10.601699999999999</v>
      </c>
      <c r="G380" s="8">
        <f>9.7158 * CHOOSE( CONTROL!$C$15, $D$11, 100%, $F$11)</f>
        <v>9.7157999999999998</v>
      </c>
      <c r="H380" s="4">
        <f>10.6547 * CHOOSE(CONTROL!$C$15, $D$11, 100%, $F$11)</f>
        <v>10.6547</v>
      </c>
      <c r="I380" s="8">
        <f>9.6461 * CHOOSE(CONTROL!$C$15, $D$11, 100%, $F$11)</f>
        <v>9.6461000000000006</v>
      </c>
      <c r="J380" s="4">
        <f>9.5521 * CHOOSE(CONTROL!$C$15, $D$11, 100%, $F$11)</f>
        <v>9.5520999999999994</v>
      </c>
      <c r="K380" s="4"/>
      <c r="L380" s="9">
        <v>30.092199999999998</v>
      </c>
      <c r="M380" s="9">
        <v>11.6745</v>
      </c>
      <c r="N380" s="9">
        <v>4.7850000000000001</v>
      </c>
      <c r="O380" s="9">
        <v>0.36199999999999999</v>
      </c>
      <c r="P380" s="9">
        <v>1.1791</v>
      </c>
      <c r="Q380" s="9">
        <v>19.738800000000001</v>
      </c>
      <c r="R380" s="9"/>
      <c r="S380" s="11"/>
    </row>
    <row r="381" spans="1:19" ht="15.75">
      <c r="A381" s="13">
        <v>53113</v>
      </c>
      <c r="B381" s="8">
        <f>CHOOSE( CONTROL!$C$32, 10.1803, 10.1767) * CHOOSE(CONTROL!$C$15, $D$11, 100%, $F$11)</f>
        <v>10.180300000000001</v>
      </c>
      <c r="C381" s="8">
        <f>CHOOSE( CONTROL!$C$32, 10.1883, 10.1848) * CHOOSE(CONTROL!$C$15, $D$11, 100%, $F$11)</f>
        <v>10.1883</v>
      </c>
      <c r="D381" s="8">
        <f>CHOOSE( CONTROL!$C$32, 10.1943, 10.1908) * CHOOSE( CONTROL!$C$15, $D$11, 100%, $F$11)</f>
        <v>10.1943</v>
      </c>
      <c r="E381" s="12">
        <f>CHOOSE( CONTROL!$C$32, 10.1909, 10.1874) * CHOOSE( CONTROL!$C$15, $D$11, 100%, $F$11)</f>
        <v>10.190899999999999</v>
      </c>
      <c r="F381" s="4">
        <f>CHOOSE( CONTROL!$C$32, 10.8686, 10.865) * CHOOSE(CONTROL!$C$15, $D$11, 100%, $F$11)</f>
        <v>10.868600000000001</v>
      </c>
      <c r="G381" s="8">
        <f>CHOOSE( CONTROL!$C$32, 9.9793, 9.9758) * CHOOSE( CONTROL!$C$15, $D$11, 100%, $F$11)</f>
        <v>9.9793000000000003</v>
      </c>
      <c r="H381" s="4">
        <f>CHOOSE( CONTROL!$C$32, 10.9171, 10.9136) * CHOOSE(CONTROL!$C$15, $D$11, 100%, $F$11)</f>
        <v>10.9171</v>
      </c>
      <c r="I381" s="8">
        <f>CHOOSE( CONTROL!$C$32, 9.905, 9.9016) * CHOOSE(CONTROL!$C$15, $D$11, 100%, $F$11)</f>
        <v>9.9049999999999994</v>
      </c>
      <c r="J381" s="4">
        <f>CHOOSE( CONTROL!$C$32, 9.8101, 9.8066) * CHOOSE(CONTROL!$C$15, $D$11, 100%, $F$11)</f>
        <v>9.8101000000000003</v>
      </c>
      <c r="K381" s="4"/>
      <c r="L381" s="9">
        <v>30.7165</v>
      </c>
      <c r="M381" s="9">
        <v>12.063700000000001</v>
      </c>
      <c r="N381" s="9">
        <v>4.9444999999999997</v>
      </c>
      <c r="O381" s="9">
        <v>0.37409999999999999</v>
      </c>
      <c r="P381" s="9">
        <v>1.2183999999999999</v>
      </c>
      <c r="Q381" s="9">
        <v>20.396799999999999</v>
      </c>
      <c r="R381" s="9"/>
      <c r="S381" s="11"/>
    </row>
    <row r="382" spans="1:19" ht="15.75">
      <c r="A382" s="13">
        <v>53143</v>
      </c>
      <c r="B382" s="8">
        <f>CHOOSE( CONTROL!$C$32, 10.0172, 10.0136) * CHOOSE(CONTROL!$C$15, $D$11, 100%, $F$11)</f>
        <v>10.017200000000001</v>
      </c>
      <c r="C382" s="8">
        <f>CHOOSE( CONTROL!$C$32, 10.0252, 10.0217) * CHOOSE(CONTROL!$C$15, $D$11, 100%, $F$11)</f>
        <v>10.0252</v>
      </c>
      <c r="D382" s="8">
        <f>CHOOSE( CONTROL!$C$32, 10.0315, 10.028) * CHOOSE( CONTROL!$C$15, $D$11, 100%, $F$11)</f>
        <v>10.031499999999999</v>
      </c>
      <c r="E382" s="12">
        <f>CHOOSE( CONTROL!$C$32, 10.028, 10.0245) * CHOOSE( CONTROL!$C$15, $D$11, 100%, $F$11)</f>
        <v>10.028</v>
      </c>
      <c r="F382" s="4">
        <f>CHOOSE( CONTROL!$C$32, 10.7055, 10.7019) * CHOOSE(CONTROL!$C$15, $D$11, 100%, $F$11)</f>
        <v>10.705500000000001</v>
      </c>
      <c r="G382" s="8">
        <f>CHOOSE( CONTROL!$C$32, 9.8193, 9.8158) * CHOOSE( CONTROL!$C$15, $D$11, 100%, $F$11)</f>
        <v>9.8193000000000001</v>
      </c>
      <c r="H382" s="4">
        <f>CHOOSE( CONTROL!$C$32, 10.7567, 10.7532) * CHOOSE(CONTROL!$C$15, $D$11, 100%, $F$11)</f>
        <v>10.7567</v>
      </c>
      <c r="I382" s="8">
        <f>CHOOSE( CONTROL!$C$32, 9.7486, 9.7452) * CHOOSE(CONTROL!$C$15, $D$11, 100%, $F$11)</f>
        <v>9.7485999999999997</v>
      </c>
      <c r="J382" s="4">
        <f>CHOOSE( CONTROL!$C$32, 9.6524, 9.649) * CHOOSE(CONTROL!$C$15, $D$11, 100%, $F$11)</f>
        <v>9.6524000000000001</v>
      </c>
      <c r="K382" s="4"/>
      <c r="L382" s="9">
        <v>29.7257</v>
      </c>
      <c r="M382" s="9">
        <v>11.6745</v>
      </c>
      <c r="N382" s="9">
        <v>4.7850000000000001</v>
      </c>
      <c r="O382" s="9">
        <v>0.36199999999999999</v>
      </c>
      <c r="P382" s="9">
        <v>1.1791</v>
      </c>
      <c r="Q382" s="9">
        <v>19.738800000000001</v>
      </c>
      <c r="R382" s="9"/>
      <c r="S382" s="11"/>
    </row>
    <row r="383" spans="1:19" ht="15.75">
      <c r="A383" s="13">
        <v>53174</v>
      </c>
      <c r="B383" s="8">
        <f>CHOOSE( CONTROL!$C$32, 10.4467, 10.4431) * CHOOSE(CONTROL!$C$15, $D$11, 100%, $F$11)</f>
        <v>10.4467</v>
      </c>
      <c r="C383" s="8">
        <f>CHOOSE( CONTROL!$C$32, 10.4547, 10.4512) * CHOOSE(CONTROL!$C$15, $D$11, 100%, $F$11)</f>
        <v>10.454700000000001</v>
      </c>
      <c r="D383" s="8">
        <f>CHOOSE( CONTROL!$C$32, 10.4613, 10.4578) * CHOOSE( CONTROL!$C$15, $D$11, 100%, $F$11)</f>
        <v>10.4613</v>
      </c>
      <c r="E383" s="12">
        <f>CHOOSE( CONTROL!$C$32, 10.4577, 10.4542) * CHOOSE( CONTROL!$C$15, $D$11, 100%, $F$11)</f>
        <v>10.457700000000001</v>
      </c>
      <c r="F383" s="4">
        <f>CHOOSE( CONTROL!$C$32, 11.135, 11.1314) * CHOOSE(CONTROL!$C$15, $D$11, 100%, $F$11)</f>
        <v>11.135</v>
      </c>
      <c r="G383" s="8">
        <f>CHOOSE( CONTROL!$C$32, 10.2421, 10.2386) * CHOOSE( CONTROL!$C$15, $D$11, 100%, $F$11)</f>
        <v>10.242100000000001</v>
      </c>
      <c r="H383" s="4">
        <f>CHOOSE( CONTROL!$C$32, 11.1791, 11.1756) * CHOOSE(CONTROL!$C$15, $D$11, 100%, $F$11)</f>
        <v>11.1791</v>
      </c>
      <c r="I383" s="8">
        <f>CHOOSE( CONTROL!$C$32, 10.1655, 10.162) * CHOOSE(CONTROL!$C$15, $D$11, 100%, $F$11)</f>
        <v>10.1655</v>
      </c>
      <c r="J383" s="4">
        <f>CHOOSE( CONTROL!$C$32, 10.0676, 10.0642) * CHOOSE(CONTROL!$C$15, $D$11, 100%, $F$11)</f>
        <v>10.067600000000001</v>
      </c>
      <c r="K383" s="4"/>
      <c r="L383" s="9">
        <v>30.7165</v>
      </c>
      <c r="M383" s="9">
        <v>12.063700000000001</v>
      </c>
      <c r="N383" s="9">
        <v>4.9444999999999997</v>
      </c>
      <c r="O383" s="9">
        <v>0.37409999999999999</v>
      </c>
      <c r="P383" s="9">
        <v>1.2183999999999999</v>
      </c>
      <c r="Q383" s="9">
        <v>20.396799999999999</v>
      </c>
      <c r="R383" s="9"/>
      <c r="S383" s="11"/>
    </row>
    <row r="384" spans="1:19" ht="15.75">
      <c r="A384" s="13">
        <v>53205</v>
      </c>
      <c r="B384" s="8">
        <f>CHOOSE( CONTROL!$C$32, 9.6431, 9.6395) * CHOOSE(CONTROL!$C$15, $D$11, 100%, $F$11)</f>
        <v>9.6431000000000004</v>
      </c>
      <c r="C384" s="8">
        <f>CHOOSE( CONTROL!$C$32, 9.6511, 9.6475) * CHOOSE(CONTROL!$C$15, $D$11, 100%, $F$11)</f>
        <v>9.6510999999999996</v>
      </c>
      <c r="D384" s="8">
        <f>CHOOSE( CONTROL!$C$32, 9.6578, 9.6542) * CHOOSE( CONTROL!$C$15, $D$11, 100%, $F$11)</f>
        <v>9.6577999999999999</v>
      </c>
      <c r="E384" s="12">
        <f>CHOOSE( CONTROL!$C$32, 9.6542, 9.6506) * CHOOSE( CONTROL!$C$15, $D$11, 100%, $F$11)</f>
        <v>9.6541999999999994</v>
      </c>
      <c r="F384" s="4">
        <f>CHOOSE( CONTROL!$C$32, 10.3313, 10.3278) * CHOOSE(CONTROL!$C$15, $D$11, 100%, $F$11)</f>
        <v>10.331300000000001</v>
      </c>
      <c r="G384" s="8">
        <f>CHOOSE( CONTROL!$C$32, 9.452, 9.4484) * CHOOSE( CONTROL!$C$15, $D$11, 100%, $F$11)</f>
        <v>9.452</v>
      </c>
      <c r="H384" s="4">
        <f>CHOOSE( CONTROL!$C$32, 10.3888, 10.3853) * CHOOSE(CONTROL!$C$15, $D$11, 100%, $F$11)</f>
        <v>10.3888</v>
      </c>
      <c r="I384" s="8">
        <f>CHOOSE( CONTROL!$C$32, 9.3887, 9.3852) * CHOOSE(CONTROL!$C$15, $D$11, 100%, $F$11)</f>
        <v>9.3887</v>
      </c>
      <c r="J384" s="4">
        <f>CHOOSE( CONTROL!$C$32, 9.2907, 9.2873) * CHOOSE(CONTROL!$C$15, $D$11, 100%, $F$11)</f>
        <v>9.2906999999999993</v>
      </c>
      <c r="K384" s="4"/>
      <c r="L384" s="9">
        <v>30.7165</v>
      </c>
      <c r="M384" s="9">
        <v>12.063700000000001</v>
      </c>
      <c r="N384" s="9">
        <v>4.9444999999999997</v>
      </c>
      <c r="O384" s="9">
        <v>0.37409999999999999</v>
      </c>
      <c r="P384" s="9">
        <v>1.2183999999999999</v>
      </c>
      <c r="Q384" s="9">
        <v>20.396799999999999</v>
      </c>
      <c r="R384" s="9"/>
      <c r="S384" s="11"/>
    </row>
    <row r="385" spans="1:19" ht="15.75">
      <c r="A385" s="13">
        <v>53235</v>
      </c>
      <c r="B385" s="8">
        <f>CHOOSE( CONTROL!$C$32, 9.4418, 9.4383) * CHOOSE(CONTROL!$C$15, $D$11, 100%, $F$11)</f>
        <v>9.4418000000000006</v>
      </c>
      <c r="C385" s="8">
        <f>CHOOSE( CONTROL!$C$32, 9.4498, 9.4463) * CHOOSE(CONTROL!$C$15, $D$11, 100%, $F$11)</f>
        <v>9.4497999999999998</v>
      </c>
      <c r="D385" s="8">
        <f>CHOOSE( CONTROL!$C$32, 9.4565, 9.453) * CHOOSE( CONTROL!$C$15, $D$11, 100%, $F$11)</f>
        <v>9.4565000000000001</v>
      </c>
      <c r="E385" s="12">
        <f>CHOOSE( CONTROL!$C$32, 9.4529, 9.4494) * CHOOSE( CONTROL!$C$15, $D$11, 100%, $F$11)</f>
        <v>9.4528999999999996</v>
      </c>
      <c r="F385" s="4">
        <f>CHOOSE( CONTROL!$C$32, 10.1301, 10.1265) * CHOOSE(CONTROL!$C$15, $D$11, 100%, $F$11)</f>
        <v>10.130100000000001</v>
      </c>
      <c r="G385" s="8">
        <f>CHOOSE( CONTROL!$C$32, 9.2541, 9.2505) * CHOOSE( CONTROL!$C$15, $D$11, 100%, $F$11)</f>
        <v>9.2540999999999993</v>
      </c>
      <c r="H385" s="4">
        <f>CHOOSE( CONTROL!$C$32, 10.1909, 10.1874) * CHOOSE(CONTROL!$C$15, $D$11, 100%, $F$11)</f>
        <v>10.190899999999999</v>
      </c>
      <c r="I385" s="8">
        <f>CHOOSE( CONTROL!$C$32, 9.194, 9.1906) * CHOOSE(CONTROL!$C$15, $D$11, 100%, $F$11)</f>
        <v>9.1940000000000008</v>
      </c>
      <c r="J385" s="4">
        <f>CHOOSE( CONTROL!$C$32, 9.0962, 9.0927) * CHOOSE(CONTROL!$C$15, $D$11, 100%, $F$11)</f>
        <v>9.0961999999999996</v>
      </c>
      <c r="K385" s="4"/>
      <c r="L385" s="9">
        <v>29.7257</v>
      </c>
      <c r="M385" s="9">
        <v>11.6745</v>
      </c>
      <c r="N385" s="9">
        <v>4.7850000000000001</v>
      </c>
      <c r="O385" s="9">
        <v>0.36199999999999999</v>
      </c>
      <c r="P385" s="9">
        <v>1.1791</v>
      </c>
      <c r="Q385" s="9">
        <v>19.738800000000001</v>
      </c>
      <c r="R385" s="9"/>
      <c r="S385" s="11"/>
    </row>
    <row r="386" spans="1:19" ht="15.75">
      <c r="A386" s="13">
        <v>53266</v>
      </c>
      <c r="B386" s="8">
        <f>9.8544 * CHOOSE(CONTROL!$C$15, $D$11, 100%, $F$11)</f>
        <v>9.8544</v>
      </c>
      <c r="C386" s="8">
        <f>9.8598 * CHOOSE(CONTROL!$C$15, $D$11, 100%, $F$11)</f>
        <v>9.8597999999999999</v>
      </c>
      <c r="D386" s="8">
        <f>9.8713 * CHOOSE( CONTROL!$C$15, $D$11, 100%, $F$11)</f>
        <v>9.8712999999999997</v>
      </c>
      <c r="E386" s="12">
        <f>9.8669 * CHOOSE( CONTROL!$C$15, $D$11, 100%, $F$11)</f>
        <v>9.8668999999999993</v>
      </c>
      <c r="F386" s="4">
        <f>10.5444 * CHOOSE(CONTROL!$C$15, $D$11, 100%, $F$11)</f>
        <v>10.5444</v>
      </c>
      <c r="G386" s="8">
        <f>9.661 * CHOOSE( CONTROL!$C$15, $D$11, 100%, $F$11)</f>
        <v>9.6609999999999996</v>
      </c>
      <c r="H386" s="4">
        <f>10.5983 * CHOOSE(CONTROL!$C$15, $D$11, 100%, $F$11)</f>
        <v>10.5983</v>
      </c>
      <c r="I386" s="8">
        <f>9.5954 * CHOOSE(CONTROL!$C$15, $D$11, 100%, $F$11)</f>
        <v>9.5953999999999997</v>
      </c>
      <c r="J386" s="4">
        <f>9.4967 * CHOOSE(CONTROL!$C$15, $D$11, 100%, $F$11)</f>
        <v>9.4967000000000006</v>
      </c>
      <c r="K386" s="4"/>
      <c r="L386" s="9">
        <v>31.095300000000002</v>
      </c>
      <c r="M386" s="9">
        <v>12.063700000000001</v>
      </c>
      <c r="N386" s="9">
        <v>4.9444999999999997</v>
      </c>
      <c r="O386" s="9">
        <v>0.37409999999999999</v>
      </c>
      <c r="P386" s="9">
        <v>1.2183999999999999</v>
      </c>
      <c r="Q386" s="9">
        <v>20.396799999999999</v>
      </c>
      <c r="R386" s="9"/>
      <c r="S386" s="11"/>
    </row>
    <row r="387" spans="1:19" ht="15.75">
      <c r="A387" s="13">
        <v>53296</v>
      </c>
      <c r="B387" s="8">
        <f>10.6252 * CHOOSE(CONTROL!$C$15, $D$11, 100%, $F$11)</f>
        <v>10.6252</v>
      </c>
      <c r="C387" s="8">
        <f>10.6304 * CHOOSE(CONTROL!$C$15, $D$11, 100%, $F$11)</f>
        <v>10.6304</v>
      </c>
      <c r="D387" s="8">
        <f>10.6073 * CHOOSE( CONTROL!$C$15, $D$11, 100%, $F$11)</f>
        <v>10.6073</v>
      </c>
      <c r="E387" s="12">
        <f>10.6152 * CHOOSE( CONTROL!$C$15, $D$11, 100%, $F$11)</f>
        <v>10.6152</v>
      </c>
      <c r="F387" s="4">
        <f>11.2701 * CHOOSE(CONTROL!$C$15, $D$11, 100%, $F$11)</f>
        <v>11.270099999999999</v>
      </c>
      <c r="G387" s="8">
        <f>10.4302 * CHOOSE( CONTROL!$C$15, $D$11, 100%, $F$11)</f>
        <v>10.430199999999999</v>
      </c>
      <c r="H387" s="4">
        <f>11.312 * CHOOSE(CONTROL!$C$15, $D$11, 100%, $F$11)</f>
        <v>11.311999999999999</v>
      </c>
      <c r="I387" s="8">
        <f>10.3661 * CHOOSE(CONTROL!$C$15, $D$11, 100%, $F$11)</f>
        <v>10.366099999999999</v>
      </c>
      <c r="J387" s="4">
        <f>10.2422 * CHOOSE(CONTROL!$C$15, $D$11, 100%, $F$11)</f>
        <v>10.2422</v>
      </c>
      <c r="K387" s="4"/>
      <c r="L387" s="9">
        <v>28.360600000000002</v>
      </c>
      <c r="M387" s="9">
        <v>11.6745</v>
      </c>
      <c r="N387" s="9">
        <v>4.7850000000000001</v>
      </c>
      <c r="O387" s="9">
        <v>0.36199999999999999</v>
      </c>
      <c r="P387" s="9">
        <v>1.2509999999999999</v>
      </c>
      <c r="Q387" s="9">
        <v>19.738800000000001</v>
      </c>
      <c r="R387" s="9"/>
      <c r="S387" s="11"/>
    </row>
    <row r="388" spans="1:19" ht="15.75">
      <c r="A388" s="13">
        <v>53327</v>
      </c>
      <c r="B388" s="8">
        <f>10.606 * CHOOSE(CONTROL!$C$15, $D$11, 100%, $F$11)</f>
        <v>10.606</v>
      </c>
      <c r="C388" s="8">
        <f>10.6111 * CHOOSE(CONTROL!$C$15, $D$11, 100%, $F$11)</f>
        <v>10.6111</v>
      </c>
      <c r="D388" s="8">
        <f>10.5894 * CHOOSE( CONTROL!$C$15, $D$11, 100%, $F$11)</f>
        <v>10.589399999999999</v>
      </c>
      <c r="E388" s="12">
        <f>10.5968 * CHOOSE( CONTROL!$C$15, $D$11, 100%, $F$11)</f>
        <v>10.5968</v>
      </c>
      <c r="F388" s="4">
        <f>11.2509 * CHOOSE(CONTROL!$C$15, $D$11, 100%, $F$11)</f>
        <v>11.2509</v>
      </c>
      <c r="G388" s="8">
        <f>10.4123 * CHOOSE( CONTROL!$C$15, $D$11, 100%, $F$11)</f>
        <v>10.4123</v>
      </c>
      <c r="H388" s="4">
        <f>11.2931 * CHOOSE(CONTROL!$C$15, $D$11, 100%, $F$11)</f>
        <v>11.293100000000001</v>
      </c>
      <c r="I388" s="8">
        <f>10.3518 * CHOOSE(CONTROL!$C$15, $D$11, 100%, $F$11)</f>
        <v>10.351800000000001</v>
      </c>
      <c r="J388" s="4">
        <f>10.2236 * CHOOSE(CONTROL!$C$15, $D$11, 100%, $F$11)</f>
        <v>10.223599999999999</v>
      </c>
      <c r="K388" s="4"/>
      <c r="L388" s="9">
        <v>29.306000000000001</v>
      </c>
      <c r="M388" s="9">
        <v>12.063700000000001</v>
      </c>
      <c r="N388" s="9">
        <v>4.9444999999999997</v>
      </c>
      <c r="O388" s="9">
        <v>0.37409999999999999</v>
      </c>
      <c r="P388" s="9">
        <v>1.2927</v>
      </c>
      <c r="Q388" s="9">
        <v>20.396799999999999</v>
      </c>
      <c r="R388" s="9"/>
      <c r="S388" s="11"/>
    </row>
    <row r="389" spans="1:19" ht="15.75">
      <c r="A389" s="13">
        <v>53358</v>
      </c>
      <c r="B389" s="8">
        <f>11.0102 * CHOOSE(CONTROL!$C$15, $D$11, 100%, $F$11)</f>
        <v>11.010199999999999</v>
      </c>
      <c r="C389" s="8">
        <f>11.0153 * CHOOSE(CONTROL!$C$15, $D$11, 100%, $F$11)</f>
        <v>11.0153</v>
      </c>
      <c r="D389" s="8">
        <f>10.9894 * CHOOSE( CONTROL!$C$15, $D$11, 100%, $F$11)</f>
        <v>10.9894</v>
      </c>
      <c r="E389" s="12">
        <f>10.9983 * CHOOSE( CONTROL!$C$15, $D$11, 100%, $F$11)</f>
        <v>10.9983</v>
      </c>
      <c r="F389" s="4">
        <f>11.6542 * CHOOSE(CONTROL!$C$15, $D$11, 100%, $F$11)</f>
        <v>11.654199999999999</v>
      </c>
      <c r="G389" s="8">
        <f>10.8035 * CHOOSE( CONTROL!$C$15, $D$11, 100%, $F$11)</f>
        <v>10.8035</v>
      </c>
      <c r="H389" s="4">
        <f>11.6897 * CHOOSE(CONTROL!$C$15, $D$11, 100%, $F$11)</f>
        <v>11.6897</v>
      </c>
      <c r="I389" s="8">
        <f>10.7133 * CHOOSE(CONTROL!$C$15, $D$11, 100%, $F$11)</f>
        <v>10.7133</v>
      </c>
      <c r="J389" s="4">
        <f>10.6144 * CHOOSE(CONTROL!$C$15, $D$11, 100%, $F$11)</f>
        <v>10.6144</v>
      </c>
      <c r="K389" s="4"/>
      <c r="L389" s="9">
        <v>29.306000000000001</v>
      </c>
      <c r="M389" s="9">
        <v>12.063700000000001</v>
      </c>
      <c r="N389" s="9">
        <v>4.9444999999999997</v>
      </c>
      <c r="O389" s="9">
        <v>0.37409999999999999</v>
      </c>
      <c r="P389" s="9">
        <v>1.2927</v>
      </c>
      <c r="Q389" s="9">
        <v>20.331700000000001</v>
      </c>
      <c r="R389" s="9"/>
      <c r="S389" s="11"/>
    </row>
    <row r="390" spans="1:19" ht="15.75">
      <c r="A390" s="13">
        <v>53386</v>
      </c>
      <c r="B390" s="8">
        <f>10.3003 * CHOOSE(CONTROL!$C$15, $D$11, 100%, $F$11)</f>
        <v>10.3003</v>
      </c>
      <c r="C390" s="8">
        <f>10.3054 * CHOOSE(CONTROL!$C$15, $D$11, 100%, $F$11)</f>
        <v>10.305400000000001</v>
      </c>
      <c r="D390" s="8">
        <f>10.2798 * CHOOSE( CONTROL!$C$15, $D$11, 100%, $F$11)</f>
        <v>10.2798</v>
      </c>
      <c r="E390" s="12">
        <f>10.2886 * CHOOSE( CONTROL!$C$15, $D$11, 100%, $F$11)</f>
        <v>10.288600000000001</v>
      </c>
      <c r="F390" s="4">
        <f>10.9444 * CHOOSE(CONTROL!$C$15, $D$11, 100%, $F$11)</f>
        <v>10.9444</v>
      </c>
      <c r="G390" s="8">
        <f>10.1056 * CHOOSE( CONTROL!$C$15, $D$11, 100%, $F$11)</f>
        <v>10.105600000000001</v>
      </c>
      <c r="H390" s="4">
        <f>10.9916 * CHOOSE(CONTROL!$C$15, $D$11, 100%, $F$11)</f>
        <v>10.9916</v>
      </c>
      <c r="I390" s="8">
        <f>10.0275 * CHOOSE(CONTROL!$C$15, $D$11, 100%, $F$11)</f>
        <v>10.0275</v>
      </c>
      <c r="J390" s="4">
        <f>9.9282 * CHOOSE(CONTROL!$C$15, $D$11, 100%, $F$11)</f>
        <v>9.9282000000000004</v>
      </c>
      <c r="K390" s="4"/>
      <c r="L390" s="9">
        <v>26.469899999999999</v>
      </c>
      <c r="M390" s="9">
        <v>10.8962</v>
      </c>
      <c r="N390" s="9">
        <v>4.4660000000000002</v>
      </c>
      <c r="O390" s="9">
        <v>0.33789999999999998</v>
      </c>
      <c r="P390" s="9">
        <v>1.1676</v>
      </c>
      <c r="Q390" s="9">
        <v>18.364100000000001</v>
      </c>
      <c r="R390" s="9"/>
      <c r="S390" s="11"/>
    </row>
    <row r="391" spans="1:19" ht="15.75">
      <c r="A391" s="13">
        <v>53417</v>
      </c>
      <c r="B391" s="8">
        <f>10.0817 * CHOOSE(CONTROL!$C$15, $D$11, 100%, $F$11)</f>
        <v>10.0817</v>
      </c>
      <c r="C391" s="8">
        <f>10.0868 * CHOOSE(CONTROL!$C$15, $D$11, 100%, $F$11)</f>
        <v>10.0868</v>
      </c>
      <c r="D391" s="8">
        <f>10.0611 * CHOOSE( CONTROL!$C$15, $D$11, 100%, $F$11)</f>
        <v>10.0611</v>
      </c>
      <c r="E391" s="12">
        <f>10.07 * CHOOSE( CONTROL!$C$15, $D$11, 100%, $F$11)</f>
        <v>10.07</v>
      </c>
      <c r="F391" s="4">
        <f>10.7257 * CHOOSE(CONTROL!$C$15, $D$11, 100%, $F$11)</f>
        <v>10.7257</v>
      </c>
      <c r="G391" s="8">
        <f>9.8905 * CHOOSE( CONTROL!$C$15, $D$11, 100%, $F$11)</f>
        <v>9.8904999999999994</v>
      </c>
      <c r="H391" s="4">
        <f>10.7766 * CHOOSE(CONTROL!$C$15, $D$11, 100%, $F$11)</f>
        <v>10.7766</v>
      </c>
      <c r="I391" s="8">
        <f>9.8158 * CHOOSE(CONTROL!$C$15, $D$11, 100%, $F$11)</f>
        <v>9.8157999999999994</v>
      </c>
      <c r="J391" s="4">
        <f>9.7168 * CHOOSE(CONTROL!$C$15, $D$11, 100%, $F$11)</f>
        <v>9.7167999999999992</v>
      </c>
      <c r="K391" s="4"/>
      <c r="L391" s="9">
        <v>29.306000000000001</v>
      </c>
      <c r="M391" s="9">
        <v>12.063700000000001</v>
      </c>
      <c r="N391" s="9">
        <v>4.9444999999999997</v>
      </c>
      <c r="O391" s="9">
        <v>0.37409999999999999</v>
      </c>
      <c r="P391" s="9">
        <v>1.2927</v>
      </c>
      <c r="Q391" s="9">
        <v>20.331700000000001</v>
      </c>
      <c r="R391" s="9"/>
      <c r="S391" s="11"/>
    </row>
    <row r="392" spans="1:19" ht="15.75">
      <c r="A392" s="13">
        <v>53447</v>
      </c>
      <c r="B392" s="8">
        <f>10.2352 * CHOOSE(CONTROL!$C$15, $D$11, 100%, $F$11)</f>
        <v>10.235200000000001</v>
      </c>
      <c r="C392" s="8">
        <f>10.2398 * CHOOSE(CONTROL!$C$15, $D$11, 100%, $F$11)</f>
        <v>10.239800000000001</v>
      </c>
      <c r="D392" s="8">
        <f>10.2508 * CHOOSE( CONTROL!$C$15, $D$11, 100%, $F$11)</f>
        <v>10.2508</v>
      </c>
      <c r="E392" s="12">
        <f>10.2466 * CHOOSE( CONTROL!$C$15, $D$11, 100%, $F$11)</f>
        <v>10.246600000000001</v>
      </c>
      <c r="F392" s="4">
        <f>10.9249 * CHOOSE(CONTROL!$C$15, $D$11, 100%, $F$11)</f>
        <v>10.924899999999999</v>
      </c>
      <c r="G392" s="8">
        <f>10.0336 * CHOOSE( CONTROL!$C$15, $D$11, 100%, $F$11)</f>
        <v>10.0336</v>
      </c>
      <c r="H392" s="4">
        <f>10.9725 * CHOOSE(CONTROL!$C$15, $D$11, 100%, $F$11)</f>
        <v>10.9725</v>
      </c>
      <c r="I392" s="8">
        <f>9.9586 * CHOOSE(CONTROL!$C$15, $D$11, 100%, $F$11)</f>
        <v>9.9586000000000006</v>
      </c>
      <c r="J392" s="4">
        <f>9.8645 * CHOOSE(CONTROL!$C$15, $D$11, 100%, $F$11)</f>
        <v>9.8644999999999996</v>
      </c>
      <c r="K392" s="4"/>
      <c r="L392" s="9">
        <v>30.092199999999998</v>
      </c>
      <c r="M392" s="9">
        <v>11.6745</v>
      </c>
      <c r="N392" s="9">
        <v>4.7850000000000001</v>
      </c>
      <c r="O392" s="9">
        <v>0.36199999999999999</v>
      </c>
      <c r="P392" s="9">
        <v>1.1791</v>
      </c>
      <c r="Q392" s="9">
        <v>19.675799999999999</v>
      </c>
      <c r="R392" s="9"/>
      <c r="S392" s="11"/>
    </row>
    <row r="393" spans="1:19" ht="15.75">
      <c r="A393" s="13">
        <v>53478</v>
      </c>
      <c r="B393" s="8">
        <f>CHOOSE( CONTROL!$C$32, 10.5121, 10.5085) * CHOOSE(CONTROL!$C$15, $D$11, 100%, $F$11)</f>
        <v>10.5121</v>
      </c>
      <c r="C393" s="8">
        <f>CHOOSE( CONTROL!$C$32, 10.5201, 10.5165) * CHOOSE(CONTROL!$C$15, $D$11, 100%, $F$11)</f>
        <v>10.520099999999999</v>
      </c>
      <c r="D393" s="8">
        <f>CHOOSE( CONTROL!$C$32, 10.5261, 10.5225) * CHOOSE( CONTROL!$C$15, $D$11, 100%, $F$11)</f>
        <v>10.5261</v>
      </c>
      <c r="E393" s="12">
        <f>CHOOSE( CONTROL!$C$32, 10.5227, 10.5191) * CHOOSE( CONTROL!$C$15, $D$11, 100%, $F$11)</f>
        <v>10.5227</v>
      </c>
      <c r="F393" s="4">
        <f>CHOOSE( CONTROL!$C$32, 11.2003, 11.1968) * CHOOSE(CONTROL!$C$15, $D$11, 100%, $F$11)</f>
        <v>11.2003</v>
      </c>
      <c r="G393" s="8">
        <f>CHOOSE( CONTROL!$C$32, 10.3055, 10.302) * CHOOSE( CONTROL!$C$15, $D$11, 100%, $F$11)</f>
        <v>10.3055</v>
      </c>
      <c r="H393" s="4">
        <f>CHOOSE( CONTROL!$C$32, 11.2434, 11.2399) * CHOOSE(CONTROL!$C$15, $D$11, 100%, $F$11)</f>
        <v>11.243399999999999</v>
      </c>
      <c r="I393" s="8">
        <f>CHOOSE( CONTROL!$C$32, 10.2259, 10.2225) * CHOOSE(CONTROL!$C$15, $D$11, 100%, $F$11)</f>
        <v>10.225899999999999</v>
      </c>
      <c r="J393" s="4">
        <f>CHOOSE( CONTROL!$C$32, 10.1308, 10.1273) * CHOOSE(CONTROL!$C$15, $D$11, 100%, $F$11)</f>
        <v>10.130800000000001</v>
      </c>
      <c r="K393" s="4"/>
      <c r="L393" s="9">
        <v>30.7165</v>
      </c>
      <c r="M393" s="9">
        <v>12.063700000000001</v>
      </c>
      <c r="N393" s="9">
        <v>4.9444999999999997</v>
      </c>
      <c r="O393" s="9">
        <v>0.37409999999999999</v>
      </c>
      <c r="P393" s="9">
        <v>1.2183999999999999</v>
      </c>
      <c r="Q393" s="9">
        <v>20.331700000000001</v>
      </c>
      <c r="R393" s="9"/>
      <c r="S393" s="11"/>
    </row>
    <row r="394" spans="1:19" ht="15.75">
      <c r="A394" s="13">
        <v>53508</v>
      </c>
      <c r="B394" s="8">
        <f>CHOOSE( CONTROL!$C$32, 10.3436, 10.3401) * CHOOSE(CONTROL!$C$15, $D$11, 100%, $F$11)</f>
        <v>10.3436</v>
      </c>
      <c r="C394" s="8">
        <f>CHOOSE( CONTROL!$C$32, 10.3517, 10.3481) * CHOOSE(CONTROL!$C$15, $D$11, 100%, $F$11)</f>
        <v>10.351699999999999</v>
      </c>
      <c r="D394" s="8">
        <f>CHOOSE( CONTROL!$C$32, 10.3579, 10.3544) * CHOOSE( CONTROL!$C$15, $D$11, 100%, $F$11)</f>
        <v>10.357900000000001</v>
      </c>
      <c r="E394" s="12">
        <f>CHOOSE( CONTROL!$C$32, 10.3544, 10.3509) * CHOOSE( CONTROL!$C$15, $D$11, 100%, $F$11)</f>
        <v>10.3544</v>
      </c>
      <c r="F394" s="4">
        <f>CHOOSE( CONTROL!$C$32, 11.0319, 11.0283) * CHOOSE(CONTROL!$C$15, $D$11, 100%, $F$11)</f>
        <v>11.0319</v>
      </c>
      <c r="G394" s="8">
        <f>CHOOSE( CONTROL!$C$32, 10.1403, 10.1368) * CHOOSE( CONTROL!$C$15, $D$11, 100%, $F$11)</f>
        <v>10.1403</v>
      </c>
      <c r="H394" s="4">
        <f>CHOOSE( CONTROL!$C$32, 11.0777, 11.0742) * CHOOSE(CONTROL!$C$15, $D$11, 100%, $F$11)</f>
        <v>11.0777</v>
      </c>
      <c r="I394" s="8">
        <f>CHOOSE( CONTROL!$C$32, 10.0643, 10.0609) * CHOOSE(CONTROL!$C$15, $D$11, 100%, $F$11)</f>
        <v>10.064299999999999</v>
      </c>
      <c r="J394" s="4">
        <f>CHOOSE( CONTROL!$C$32, 9.968, 9.9645) * CHOOSE(CONTROL!$C$15, $D$11, 100%, $F$11)</f>
        <v>9.968</v>
      </c>
      <c r="K394" s="4"/>
      <c r="L394" s="9">
        <v>29.7257</v>
      </c>
      <c r="M394" s="9">
        <v>11.6745</v>
      </c>
      <c r="N394" s="9">
        <v>4.7850000000000001</v>
      </c>
      <c r="O394" s="9">
        <v>0.36199999999999999</v>
      </c>
      <c r="P394" s="9">
        <v>1.1791</v>
      </c>
      <c r="Q394" s="9">
        <v>19.675799999999999</v>
      </c>
      <c r="R394" s="9"/>
      <c r="S394" s="11"/>
    </row>
    <row r="395" spans="1:19" ht="15.75">
      <c r="A395" s="13">
        <v>53539</v>
      </c>
      <c r="B395" s="8">
        <f>CHOOSE( CONTROL!$C$32, 10.7872, 10.7836) * CHOOSE(CONTROL!$C$15, $D$11, 100%, $F$11)</f>
        <v>10.7872</v>
      </c>
      <c r="C395" s="8">
        <f>CHOOSE( CONTROL!$C$32, 10.7952, 10.7916) * CHOOSE(CONTROL!$C$15, $D$11, 100%, $F$11)</f>
        <v>10.795199999999999</v>
      </c>
      <c r="D395" s="8">
        <f>CHOOSE( CONTROL!$C$32, 10.8018, 10.7982) * CHOOSE( CONTROL!$C$15, $D$11, 100%, $F$11)</f>
        <v>10.8018</v>
      </c>
      <c r="E395" s="12">
        <f>CHOOSE( CONTROL!$C$32, 10.7982, 10.7946) * CHOOSE( CONTROL!$C$15, $D$11, 100%, $F$11)</f>
        <v>10.7982</v>
      </c>
      <c r="F395" s="4">
        <f>CHOOSE( CONTROL!$C$32, 11.4755, 11.4719) * CHOOSE(CONTROL!$C$15, $D$11, 100%, $F$11)</f>
        <v>11.4755</v>
      </c>
      <c r="G395" s="8">
        <f>CHOOSE( CONTROL!$C$32, 10.577, 10.5734) * CHOOSE( CONTROL!$C$15, $D$11, 100%, $F$11)</f>
        <v>10.577</v>
      </c>
      <c r="H395" s="4">
        <f>CHOOSE( CONTROL!$C$32, 11.5139, 11.5104) * CHOOSE(CONTROL!$C$15, $D$11, 100%, $F$11)</f>
        <v>11.5139</v>
      </c>
      <c r="I395" s="8">
        <f>CHOOSE( CONTROL!$C$32, 10.4948, 10.4913) * CHOOSE(CONTROL!$C$15, $D$11, 100%, $F$11)</f>
        <v>10.4948</v>
      </c>
      <c r="J395" s="4">
        <f>CHOOSE( CONTROL!$C$32, 10.3967, 10.3933) * CHOOSE(CONTROL!$C$15, $D$11, 100%, $F$11)</f>
        <v>10.396699999999999</v>
      </c>
      <c r="K395" s="4"/>
      <c r="L395" s="9">
        <v>30.7165</v>
      </c>
      <c r="M395" s="9">
        <v>12.063700000000001</v>
      </c>
      <c r="N395" s="9">
        <v>4.9444999999999997</v>
      </c>
      <c r="O395" s="9">
        <v>0.37409999999999999</v>
      </c>
      <c r="P395" s="9">
        <v>1.2183999999999999</v>
      </c>
      <c r="Q395" s="9">
        <v>20.331700000000001</v>
      </c>
      <c r="R395" s="9"/>
      <c r="S395" s="11"/>
    </row>
    <row r="396" spans="1:19" ht="15.75">
      <c r="A396" s="13">
        <v>53570</v>
      </c>
      <c r="B396" s="8">
        <f>CHOOSE( CONTROL!$C$32, 9.9573, 9.9537) * CHOOSE(CONTROL!$C$15, $D$11, 100%, $F$11)</f>
        <v>9.9573</v>
      </c>
      <c r="C396" s="8">
        <f>CHOOSE( CONTROL!$C$32, 9.9653, 9.9617) * CHOOSE(CONTROL!$C$15, $D$11, 100%, $F$11)</f>
        <v>9.9652999999999992</v>
      </c>
      <c r="D396" s="8">
        <f>CHOOSE( CONTROL!$C$32, 9.972, 9.9684) * CHOOSE( CONTROL!$C$15, $D$11, 100%, $F$11)</f>
        <v>9.9719999999999995</v>
      </c>
      <c r="E396" s="12">
        <f>CHOOSE( CONTROL!$C$32, 9.9684, 9.9648) * CHOOSE( CONTROL!$C$15, $D$11, 100%, $F$11)</f>
        <v>9.9684000000000008</v>
      </c>
      <c r="F396" s="4">
        <f>CHOOSE( CONTROL!$C$32, 10.6455, 10.642) * CHOOSE(CONTROL!$C$15, $D$11, 100%, $F$11)</f>
        <v>10.6455</v>
      </c>
      <c r="G396" s="8">
        <f>CHOOSE( CONTROL!$C$32, 9.7609, 9.7574) * CHOOSE( CONTROL!$C$15, $D$11, 100%, $F$11)</f>
        <v>9.7608999999999995</v>
      </c>
      <c r="H396" s="4">
        <f>CHOOSE( CONTROL!$C$32, 10.6978, 10.6943) * CHOOSE(CONTROL!$C$15, $D$11, 100%, $F$11)</f>
        <v>10.697800000000001</v>
      </c>
      <c r="I396" s="8">
        <f>CHOOSE( CONTROL!$C$32, 9.6926, 9.6891) * CHOOSE(CONTROL!$C$15, $D$11, 100%, $F$11)</f>
        <v>9.6926000000000005</v>
      </c>
      <c r="J396" s="4">
        <f>CHOOSE( CONTROL!$C$32, 9.5945, 9.591) * CHOOSE(CONTROL!$C$15, $D$11, 100%, $F$11)</f>
        <v>9.5945</v>
      </c>
      <c r="K396" s="4"/>
      <c r="L396" s="9">
        <v>30.7165</v>
      </c>
      <c r="M396" s="9">
        <v>12.063700000000001</v>
      </c>
      <c r="N396" s="9">
        <v>4.9444999999999997</v>
      </c>
      <c r="O396" s="9">
        <v>0.37409999999999999</v>
      </c>
      <c r="P396" s="9">
        <v>1.2183999999999999</v>
      </c>
      <c r="Q396" s="9">
        <v>20.331700000000001</v>
      </c>
      <c r="R396" s="9"/>
      <c r="S396" s="11"/>
    </row>
    <row r="397" spans="1:19" ht="15.75">
      <c r="A397" s="13">
        <v>53600</v>
      </c>
      <c r="B397" s="8">
        <f>CHOOSE( CONTROL!$C$32, 9.7494, 9.7459) * CHOOSE(CONTROL!$C$15, $D$11, 100%, $F$11)</f>
        <v>9.7493999999999996</v>
      </c>
      <c r="C397" s="8">
        <f>CHOOSE( CONTROL!$C$32, 9.7575, 9.7539) * CHOOSE(CONTROL!$C$15, $D$11, 100%, $F$11)</f>
        <v>9.7575000000000003</v>
      </c>
      <c r="D397" s="8">
        <f>CHOOSE( CONTROL!$C$32, 9.7641, 9.7606) * CHOOSE( CONTROL!$C$15, $D$11, 100%, $F$11)</f>
        <v>9.7640999999999991</v>
      </c>
      <c r="E397" s="12">
        <f>CHOOSE( CONTROL!$C$32, 9.7605, 9.757) * CHOOSE( CONTROL!$C$15, $D$11, 100%, $F$11)</f>
        <v>9.7605000000000004</v>
      </c>
      <c r="F397" s="4">
        <f>CHOOSE( CONTROL!$C$32, 10.4377, 10.4341) * CHOOSE(CONTROL!$C$15, $D$11, 100%, $F$11)</f>
        <v>10.4377</v>
      </c>
      <c r="G397" s="8">
        <f>CHOOSE( CONTROL!$C$32, 9.5566, 9.5531) * CHOOSE( CONTROL!$C$15, $D$11, 100%, $F$11)</f>
        <v>9.5565999999999995</v>
      </c>
      <c r="H397" s="4">
        <f>CHOOSE( CONTROL!$C$32, 10.4934, 10.4899) * CHOOSE(CONTROL!$C$15, $D$11, 100%, $F$11)</f>
        <v>10.493399999999999</v>
      </c>
      <c r="I397" s="8">
        <f>CHOOSE( CONTROL!$C$32, 9.4916, 9.4881) * CHOOSE(CONTROL!$C$15, $D$11, 100%, $F$11)</f>
        <v>9.4916</v>
      </c>
      <c r="J397" s="4">
        <f>CHOOSE( CONTROL!$C$32, 9.3936, 9.3901) * CHOOSE(CONTROL!$C$15, $D$11, 100%, $F$11)</f>
        <v>9.3935999999999993</v>
      </c>
      <c r="K397" s="4"/>
      <c r="L397" s="9">
        <v>29.7257</v>
      </c>
      <c r="M397" s="9">
        <v>11.6745</v>
      </c>
      <c r="N397" s="9">
        <v>4.7850000000000001</v>
      </c>
      <c r="O397" s="9">
        <v>0.36199999999999999</v>
      </c>
      <c r="P397" s="9">
        <v>1.1791</v>
      </c>
      <c r="Q397" s="9">
        <v>19.675799999999999</v>
      </c>
      <c r="R397" s="9"/>
      <c r="S397" s="11"/>
    </row>
    <row r="398" spans="1:19" ht="15.75">
      <c r="A398" s="13">
        <v>53631</v>
      </c>
      <c r="B398" s="8">
        <f>10.1757 * CHOOSE(CONTROL!$C$15, $D$11, 100%, $F$11)</f>
        <v>10.175700000000001</v>
      </c>
      <c r="C398" s="8">
        <f>10.181 * CHOOSE(CONTROL!$C$15, $D$11, 100%, $F$11)</f>
        <v>10.180999999999999</v>
      </c>
      <c r="D398" s="8">
        <f>10.1926 * CHOOSE( CONTROL!$C$15, $D$11, 100%, $F$11)</f>
        <v>10.192600000000001</v>
      </c>
      <c r="E398" s="12">
        <f>10.1882 * CHOOSE( CONTROL!$C$15, $D$11, 100%, $F$11)</f>
        <v>10.1882</v>
      </c>
      <c r="F398" s="4">
        <f>10.8657 * CHOOSE(CONTROL!$C$15, $D$11, 100%, $F$11)</f>
        <v>10.8657</v>
      </c>
      <c r="G398" s="8">
        <f>9.9769 * CHOOSE( CONTROL!$C$15, $D$11, 100%, $F$11)</f>
        <v>9.9769000000000005</v>
      </c>
      <c r="H398" s="4">
        <f>10.9142 * CHOOSE(CONTROL!$C$15, $D$11, 100%, $F$11)</f>
        <v>10.914199999999999</v>
      </c>
      <c r="I398" s="8">
        <f>9.9062 * CHOOSE(CONTROL!$C$15, $D$11, 100%, $F$11)</f>
        <v>9.9062000000000001</v>
      </c>
      <c r="J398" s="4">
        <f>9.8072 * CHOOSE(CONTROL!$C$15, $D$11, 100%, $F$11)</f>
        <v>9.8071999999999999</v>
      </c>
      <c r="K398" s="4"/>
      <c r="L398" s="9">
        <v>31.095300000000002</v>
      </c>
      <c r="M398" s="9">
        <v>12.063700000000001</v>
      </c>
      <c r="N398" s="9">
        <v>4.9444999999999997</v>
      </c>
      <c r="O398" s="9">
        <v>0.37409999999999999</v>
      </c>
      <c r="P398" s="9">
        <v>1.2183999999999999</v>
      </c>
      <c r="Q398" s="9">
        <v>20.331700000000001</v>
      </c>
      <c r="R398" s="9"/>
      <c r="S398" s="11"/>
    </row>
    <row r="399" spans="1:19" ht="15.75">
      <c r="A399" s="13">
        <v>53661</v>
      </c>
      <c r="B399" s="8">
        <f>10.9717 * CHOOSE(CONTROL!$C$15, $D$11, 100%, $F$11)</f>
        <v>10.9717</v>
      </c>
      <c r="C399" s="8">
        <f>10.9769 * CHOOSE(CONTROL!$C$15, $D$11, 100%, $F$11)</f>
        <v>10.976900000000001</v>
      </c>
      <c r="D399" s="8">
        <f>10.9538 * CHOOSE( CONTROL!$C$15, $D$11, 100%, $F$11)</f>
        <v>10.953799999999999</v>
      </c>
      <c r="E399" s="12">
        <f>10.9617 * CHOOSE( CONTROL!$C$15, $D$11, 100%, $F$11)</f>
        <v>10.9617</v>
      </c>
      <c r="F399" s="4">
        <f>11.6166 * CHOOSE(CONTROL!$C$15, $D$11, 100%, $F$11)</f>
        <v>11.6166</v>
      </c>
      <c r="G399" s="8">
        <f>10.771 * CHOOSE( CONTROL!$C$15, $D$11, 100%, $F$11)</f>
        <v>10.771000000000001</v>
      </c>
      <c r="H399" s="4">
        <f>11.6528 * CHOOSE(CONTROL!$C$15, $D$11, 100%, $F$11)</f>
        <v>11.652799999999999</v>
      </c>
      <c r="I399" s="8">
        <f>10.7012 * CHOOSE(CONTROL!$C$15, $D$11, 100%, $F$11)</f>
        <v>10.7012</v>
      </c>
      <c r="J399" s="4">
        <f>10.5772 * CHOOSE(CONTROL!$C$15, $D$11, 100%, $F$11)</f>
        <v>10.577199999999999</v>
      </c>
      <c r="K399" s="4"/>
      <c r="L399" s="9">
        <v>28.360600000000002</v>
      </c>
      <c r="M399" s="9">
        <v>11.6745</v>
      </c>
      <c r="N399" s="9">
        <v>4.7850000000000001</v>
      </c>
      <c r="O399" s="9">
        <v>0.36199999999999999</v>
      </c>
      <c r="P399" s="9">
        <v>1.2509999999999999</v>
      </c>
      <c r="Q399" s="9">
        <v>19.675799999999999</v>
      </c>
      <c r="R399" s="9"/>
      <c r="S399" s="11"/>
    </row>
    <row r="400" spans="1:19" ht="15.75">
      <c r="A400" s="13">
        <v>53692</v>
      </c>
      <c r="B400" s="8">
        <f>10.9518 * CHOOSE(CONTROL!$C$15, $D$11, 100%, $F$11)</f>
        <v>10.9518</v>
      </c>
      <c r="C400" s="8">
        <f>10.957 * CHOOSE(CONTROL!$C$15, $D$11, 100%, $F$11)</f>
        <v>10.957000000000001</v>
      </c>
      <c r="D400" s="8">
        <f>10.9353 * CHOOSE( CONTROL!$C$15, $D$11, 100%, $F$11)</f>
        <v>10.9353</v>
      </c>
      <c r="E400" s="12">
        <f>10.9427 * CHOOSE( CONTROL!$C$15, $D$11, 100%, $F$11)</f>
        <v>10.9427</v>
      </c>
      <c r="F400" s="4">
        <f>11.5967 * CHOOSE(CONTROL!$C$15, $D$11, 100%, $F$11)</f>
        <v>11.5967</v>
      </c>
      <c r="G400" s="8">
        <f>10.7524 * CHOOSE( CONTROL!$C$15, $D$11, 100%, $F$11)</f>
        <v>10.7524</v>
      </c>
      <c r="H400" s="4">
        <f>11.6332 * CHOOSE(CONTROL!$C$15, $D$11, 100%, $F$11)</f>
        <v>11.6332</v>
      </c>
      <c r="I400" s="8">
        <f>10.6863 * CHOOSE(CONTROL!$C$15, $D$11, 100%, $F$11)</f>
        <v>10.686299999999999</v>
      </c>
      <c r="J400" s="4">
        <f>10.558 * CHOOSE(CONTROL!$C$15, $D$11, 100%, $F$11)</f>
        <v>10.558</v>
      </c>
      <c r="K400" s="4"/>
      <c r="L400" s="9">
        <v>29.306000000000001</v>
      </c>
      <c r="M400" s="9">
        <v>12.063700000000001</v>
      </c>
      <c r="N400" s="9">
        <v>4.9444999999999997</v>
      </c>
      <c r="O400" s="9">
        <v>0.37409999999999999</v>
      </c>
      <c r="P400" s="9">
        <v>1.2927</v>
      </c>
      <c r="Q400" s="9">
        <v>20.331700000000001</v>
      </c>
      <c r="R400" s="9"/>
      <c r="S400" s="11"/>
    </row>
    <row r="401" spans="1:19" ht="15.75">
      <c r="A401" s="13">
        <v>53723</v>
      </c>
      <c r="B401" s="8">
        <f>11.3693 * CHOOSE(CONTROL!$C$15, $D$11, 100%, $F$11)</f>
        <v>11.369300000000001</v>
      </c>
      <c r="C401" s="8">
        <f>11.3744 * CHOOSE(CONTROL!$C$15, $D$11, 100%, $F$11)</f>
        <v>11.3744</v>
      </c>
      <c r="D401" s="8">
        <f>11.3485 * CHOOSE( CONTROL!$C$15, $D$11, 100%, $F$11)</f>
        <v>11.3485</v>
      </c>
      <c r="E401" s="12">
        <f>11.3574 * CHOOSE( CONTROL!$C$15, $D$11, 100%, $F$11)</f>
        <v>11.3574</v>
      </c>
      <c r="F401" s="4">
        <f>12.0133 * CHOOSE(CONTROL!$C$15, $D$11, 100%, $F$11)</f>
        <v>12.013299999999999</v>
      </c>
      <c r="G401" s="8">
        <f>11.1566 * CHOOSE( CONTROL!$C$15, $D$11, 100%, $F$11)</f>
        <v>11.156599999999999</v>
      </c>
      <c r="H401" s="4">
        <f>12.0428 * CHOOSE(CONTROL!$C$15, $D$11, 100%, $F$11)</f>
        <v>12.0428</v>
      </c>
      <c r="I401" s="8">
        <f>11.0606 * CHOOSE(CONTROL!$C$15, $D$11, 100%, $F$11)</f>
        <v>11.060600000000001</v>
      </c>
      <c r="J401" s="4">
        <f>10.9615 * CHOOSE(CONTROL!$C$15, $D$11, 100%, $F$11)</f>
        <v>10.961499999999999</v>
      </c>
      <c r="K401" s="4"/>
      <c r="L401" s="9">
        <v>29.306000000000001</v>
      </c>
      <c r="M401" s="9">
        <v>12.063700000000001</v>
      </c>
      <c r="N401" s="9">
        <v>4.9444999999999997</v>
      </c>
      <c r="O401" s="9">
        <v>0.37409999999999999</v>
      </c>
      <c r="P401" s="9">
        <v>1.2927</v>
      </c>
      <c r="Q401" s="9">
        <v>20.2666</v>
      </c>
      <c r="R401" s="9"/>
      <c r="S401" s="11"/>
    </row>
    <row r="402" spans="1:19" ht="15.75">
      <c r="A402" s="13">
        <v>53751</v>
      </c>
      <c r="B402" s="8">
        <f>10.6362 * CHOOSE(CONTROL!$C$15, $D$11, 100%, $F$11)</f>
        <v>10.636200000000001</v>
      </c>
      <c r="C402" s="8">
        <f>10.6413 * CHOOSE(CONTROL!$C$15, $D$11, 100%, $F$11)</f>
        <v>10.641299999999999</v>
      </c>
      <c r="D402" s="8">
        <f>10.6157 * CHOOSE( CONTROL!$C$15, $D$11, 100%, $F$11)</f>
        <v>10.6157</v>
      </c>
      <c r="E402" s="12">
        <f>10.6245 * CHOOSE( CONTROL!$C$15, $D$11, 100%, $F$11)</f>
        <v>10.624499999999999</v>
      </c>
      <c r="F402" s="4">
        <f>11.2802 * CHOOSE(CONTROL!$C$15, $D$11, 100%, $F$11)</f>
        <v>11.280200000000001</v>
      </c>
      <c r="G402" s="8">
        <f>10.4359 * CHOOSE( CONTROL!$C$15, $D$11, 100%, $F$11)</f>
        <v>10.4359</v>
      </c>
      <c r="H402" s="4">
        <f>11.3219 * CHOOSE(CONTROL!$C$15, $D$11, 100%, $F$11)</f>
        <v>11.321899999999999</v>
      </c>
      <c r="I402" s="8">
        <f>10.3523 * CHOOSE(CONTROL!$C$15, $D$11, 100%, $F$11)</f>
        <v>10.3523</v>
      </c>
      <c r="J402" s="4">
        <f>10.2528 * CHOOSE(CONTROL!$C$15, $D$11, 100%, $F$11)</f>
        <v>10.252800000000001</v>
      </c>
      <c r="K402" s="4"/>
      <c r="L402" s="9">
        <v>26.469899999999999</v>
      </c>
      <c r="M402" s="9">
        <v>10.8962</v>
      </c>
      <c r="N402" s="9">
        <v>4.4660000000000002</v>
      </c>
      <c r="O402" s="9">
        <v>0.33789999999999998</v>
      </c>
      <c r="P402" s="9">
        <v>1.1676</v>
      </c>
      <c r="Q402" s="9">
        <v>18.305299999999999</v>
      </c>
      <c r="R402" s="9"/>
      <c r="S402" s="11"/>
    </row>
    <row r="403" spans="1:19" ht="15.75">
      <c r="A403" s="13">
        <v>53782</v>
      </c>
      <c r="B403" s="8">
        <f>10.4104 * CHOOSE(CONTROL!$C$15, $D$11, 100%, $F$11)</f>
        <v>10.410399999999999</v>
      </c>
      <c r="C403" s="8">
        <f>10.4155 * CHOOSE(CONTROL!$C$15, $D$11, 100%, $F$11)</f>
        <v>10.4155</v>
      </c>
      <c r="D403" s="8">
        <f>10.3899 * CHOOSE( CONTROL!$C$15, $D$11, 100%, $F$11)</f>
        <v>10.389900000000001</v>
      </c>
      <c r="E403" s="12">
        <f>10.3987 * CHOOSE( CONTROL!$C$15, $D$11, 100%, $F$11)</f>
        <v>10.3987</v>
      </c>
      <c r="F403" s="4">
        <f>11.0545 * CHOOSE(CONTROL!$C$15, $D$11, 100%, $F$11)</f>
        <v>11.054500000000001</v>
      </c>
      <c r="G403" s="8">
        <f>10.2138 * CHOOSE( CONTROL!$C$15, $D$11, 100%, $F$11)</f>
        <v>10.213800000000001</v>
      </c>
      <c r="H403" s="4">
        <f>11.0999 * CHOOSE(CONTROL!$C$15, $D$11, 100%, $F$11)</f>
        <v>11.0999</v>
      </c>
      <c r="I403" s="8">
        <f>10.1337 * CHOOSE(CONTROL!$C$15, $D$11, 100%, $F$11)</f>
        <v>10.133699999999999</v>
      </c>
      <c r="J403" s="4">
        <f>10.0346 * CHOOSE(CONTROL!$C$15, $D$11, 100%, $F$11)</f>
        <v>10.034599999999999</v>
      </c>
      <c r="K403" s="4"/>
      <c r="L403" s="9">
        <v>29.306000000000001</v>
      </c>
      <c r="M403" s="9">
        <v>12.063700000000001</v>
      </c>
      <c r="N403" s="9">
        <v>4.9444999999999997</v>
      </c>
      <c r="O403" s="9">
        <v>0.37409999999999999</v>
      </c>
      <c r="P403" s="9">
        <v>1.2927</v>
      </c>
      <c r="Q403" s="9">
        <v>20.2666</v>
      </c>
      <c r="R403" s="9"/>
      <c r="S403" s="11"/>
    </row>
    <row r="404" spans="1:19" ht="15.75">
      <c r="A404" s="13">
        <v>53812</v>
      </c>
      <c r="B404" s="8">
        <f>10.569 * CHOOSE(CONTROL!$C$15, $D$11, 100%, $F$11)</f>
        <v>10.569000000000001</v>
      </c>
      <c r="C404" s="8">
        <f>10.5735 * CHOOSE(CONTROL!$C$15, $D$11, 100%, $F$11)</f>
        <v>10.573499999999999</v>
      </c>
      <c r="D404" s="8">
        <f>10.5845 * CHOOSE( CONTROL!$C$15, $D$11, 100%, $F$11)</f>
        <v>10.5845</v>
      </c>
      <c r="E404" s="12">
        <f>10.5804 * CHOOSE( CONTROL!$C$15, $D$11, 100%, $F$11)</f>
        <v>10.580399999999999</v>
      </c>
      <c r="F404" s="4">
        <f>11.2586 * CHOOSE(CONTROL!$C$15, $D$11, 100%, $F$11)</f>
        <v>11.258599999999999</v>
      </c>
      <c r="G404" s="8">
        <f>10.3618 * CHOOSE( CONTROL!$C$15, $D$11, 100%, $F$11)</f>
        <v>10.361800000000001</v>
      </c>
      <c r="H404" s="4">
        <f>11.3007 * CHOOSE(CONTROL!$C$15, $D$11, 100%, $F$11)</f>
        <v>11.300700000000001</v>
      </c>
      <c r="I404" s="8">
        <f>10.2814 * CHOOSE(CONTROL!$C$15, $D$11, 100%, $F$11)</f>
        <v>10.2814</v>
      </c>
      <c r="J404" s="4">
        <f>10.1871 * CHOOSE(CONTROL!$C$15, $D$11, 100%, $F$11)</f>
        <v>10.187099999999999</v>
      </c>
      <c r="K404" s="4"/>
      <c r="L404" s="9">
        <v>30.092199999999998</v>
      </c>
      <c r="M404" s="9">
        <v>11.6745</v>
      </c>
      <c r="N404" s="9">
        <v>4.7850000000000001</v>
      </c>
      <c r="O404" s="9">
        <v>0.36199999999999999</v>
      </c>
      <c r="P404" s="9">
        <v>1.1791</v>
      </c>
      <c r="Q404" s="9">
        <v>19.6128</v>
      </c>
      <c r="R404" s="9"/>
      <c r="S404" s="11"/>
    </row>
    <row r="405" spans="1:19" ht="15.75">
      <c r="A405" s="13">
        <v>53843</v>
      </c>
      <c r="B405" s="8">
        <f>CHOOSE( CONTROL!$C$32, 10.8547, 10.8511) * CHOOSE(CONTROL!$C$15, $D$11, 100%, $F$11)</f>
        <v>10.854699999999999</v>
      </c>
      <c r="C405" s="8">
        <f>CHOOSE( CONTROL!$C$32, 10.8627, 10.8591) * CHOOSE(CONTROL!$C$15, $D$11, 100%, $F$11)</f>
        <v>10.8627</v>
      </c>
      <c r="D405" s="8">
        <f>CHOOSE( CONTROL!$C$32, 10.8687, 10.8651) * CHOOSE( CONTROL!$C$15, $D$11, 100%, $F$11)</f>
        <v>10.8687</v>
      </c>
      <c r="E405" s="12">
        <f>CHOOSE( CONTROL!$C$32, 10.8653, 10.8617) * CHOOSE( CONTROL!$C$15, $D$11, 100%, $F$11)</f>
        <v>10.8653</v>
      </c>
      <c r="F405" s="4">
        <f>CHOOSE( CONTROL!$C$32, 11.543, 11.5394) * CHOOSE(CONTROL!$C$15, $D$11, 100%, $F$11)</f>
        <v>11.542999999999999</v>
      </c>
      <c r="G405" s="8">
        <f>CHOOSE( CONTROL!$C$32, 10.6425, 10.639) * CHOOSE( CONTROL!$C$15, $D$11, 100%, $F$11)</f>
        <v>10.6425</v>
      </c>
      <c r="H405" s="4">
        <f>CHOOSE( CONTROL!$C$32, 11.5803, 11.5768) * CHOOSE(CONTROL!$C$15, $D$11, 100%, $F$11)</f>
        <v>11.580299999999999</v>
      </c>
      <c r="I405" s="8">
        <f>CHOOSE( CONTROL!$C$32, 10.5573, 10.5538) * CHOOSE(CONTROL!$C$15, $D$11, 100%, $F$11)</f>
        <v>10.5573</v>
      </c>
      <c r="J405" s="4">
        <f>CHOOSE( CONTROL!$C$32, 10.462, 10.4585) * CHOOSE(CONTROL!$C$15, $D$11, 100%, $F$11)</f>
        <v>10.462</v>
      </c>
      <c r="K405" s="4"/>
      <c r="L405" s="9">
        <v>30.7165</v>
      </c>
      <c r="M405" s="9">
        <v>12.063700000000001</v>
      </c>
      <c r="N405" s="9">
        <v>4.9444999999999997</v>
      </c>
      <c r="O405" s="9">
        <v>0.37409999999999999</v>
      </c>
      <c r="P405" s="9">
        <v>1.2183999999999999</v>
      </c>
      <c r="Q405" s="9">
        <v>20.2666</v>
      </c>
      <c r="R405" s="9"/>
      <c r="S405" s="11"/>
    </row>
    <row r="406" spans="1:19" ht="15.75">
      <c r="A406" s="13">
        <v>53873</v>
      </c>
      <c r="B406" s="8">
        <f>CHOOSE( CONTROL!$C$32, 10.6807, 10.6772) * CHOOSE(CONTROL!$C$15, $D$11, 100%, $F$11)</f>
        <v>10.6807</v>
      </c>
      <c r="C406" s="8">
        <f>CHOOSE( CONTROL!$C$32, 10.6888, 10.6852) * CHOOSE(CONTROL!$C$15, $D$11, 100%, $F$11)</f>
        <v>10.688800000000001</v>
      </c>
      <c r="D406" s="8">
        <f>CHOOSE( CONTROL!$C$32, 10.695, 10.6915) * CHOOSE( CONTROL!$C$15, $D$11, 100%, $F$11)</f>
        <v>10.695</v>
      </c>
      <c r="E406" s="12">
        <f>CHOOSE( CONTROL!$C$32, 10.6915, 10.688) * CHOOSE( CONTROL!$C$15, $D$11, 100%, $F$11)</f>
        <v>10.6915</v>
      </c>
      <c r="F406" s="4">
        <f>CHOOSE( CONTROL!$C$32, 11.369, 11.3654) * CHOOSE(CONTROL!$C$15, $D$11, 100%, $F$11)</f>
        <v>11.369</v>
      </c>
      <c r="G406" s="8">
        <f>CHOOSE( CONTROL!$C$32, 10.4718, 10.4683) * CHOOSE( CONTROL!$C$15, $D$11, 100%, $F$11)</f>
        <v>10.4718</v>
      </c>
      <c r="H406" s="4">
        <f>CHOOSE( CONTROL!$C$32, 11.4093, 11.4058) * CHOOSE(CONTROL!$C$15, $D$11, 100%, $F$11)</f>
        <v>11.4093</v>
      </c>
      <c r="I406" s="8">
        <f>CHOOSE( CONTROL!$C$32, 10.3904, 10.3869) * CHOOSE(CONTROL!$C$15, $D$11, 100%, $F$11)</f>
        <v>10.3904</v>
      </c>
      <c r="J406" s="4">
        <f>CHOOSE( CONTROL!$C$32, 10.2938, 10.2904) * CHOOSE(CONTROL!$C$15, $D$11, 100%, $F$11)</f>
        <v>10.293799999999999</v>
      </c>
      <c r="K406" s="4"/>
      <c r="L406" s="9">
        <v>29.7257</v>
      </c>
      <c r="M406" s="9">
        <v>11.6745</v>
      </c>
      <c r="N406" s="9">
        <v>4.7850000000000001</v>
      </c>
      <c r="O406" s="9">
        <v>0.36199999999999999</v>
      </c>
      <c r="P406" s="9">
        <v>1.1791</v>
      </c>
      <c r="Q406" s="9">
        <v>19.6128</v>
      </c>
      <c r="R406" s="9"/>
      <c r="S406" s="11"/>
    </row>
    <row r="407" spans="1:19" ht="15.75">
      <c r="A407" s="13">
        <v>53904</v>
      </c>
      <c r="B407" s="8">
        <f>CHOOSE( CONTROL!$C$32, 11.1388, 11.1352) * CHOOSE(CONTROL!$C$15, $D$11, 100%, $F$11)</f>
        <v>11.1388</v>
      </c>
      <c r="C407" s="8">
        <f>CHOOSE( CONTROL!$C$32, 11.1468, 11.1432) * CHOOSE(CONTROL!$C$15, $D$11, 100%, $F$11)</f>
        <v>11.146800000000001</v>
      </c>
      <c r="D407" s="8">
        <f>CHOOSE( CONTROL!$C$32, 11.1534, 11.1498) * CHOOSE( CONTROL!$C$15, $D$11, 100%, $F$11)</f>
        <v>11.1534</v>
      </c>
      <c r="E407" s="12">
        <f>CHOOSE( CONTROL!$C$32, 11.1498, 11.1462) * CHOOSE( CONTROL!$C$15, $D$11, 100%, $F$11)</f>
        <v>11.149800000000001</v>
      </c>
      <c r="F407" s="4">
        <f>CHOOSE( CONTROL!$C$32, 11.8271, 11.8235) * CHOOSE(CONTROL!$C$15, $D$11, 100%, $F$11)</f>
        <v>11.8271</v>
      </c>
      <c r="G407" s="8">
        <f>CHOOSE( CONTROL!$C$32, 10.9227, 10.9192) * CHOOSE( CONTROL!$C$15, $D$11, 100%, $F$11)</f>
        <v>10.922700000000001</v>
      </c>
      <c r="H407" s="4">
        <f>CHOOSE( CONTROL!$C$32, 11.8597, 11.8562) * CHOOSE(CONTROL!$C$15, $D$11, 100%, $F$11)</f>
        <v>11.8597</v>
      </c>
      <c r="I407" s="8">
        <f>CHOOSE( CONTROL!$C$32, 10.8349, 10.8314) * CHOOSE(CONTROL!$C$15, $D$11, 100%, $F$11)</f>
        <v>10.834899999999999</v>
      </c>
      <c r="J407" s="4">
        <f>CHOOSE( CONTROL!$C$32, 10.7366, 10.7332) * CHOOSE(CONTROL!$C$15, $D$11, 100%, $F$11)</f>
        <v>10.736599999999999</v>
      </c>
      <c r="K407" s="4"/>
      <c r="L407" s="9">
        <v>30.7165</v>
      </c>
      <c r="M407" s="9">
        <v>12.063700000000001</v>
      </c>
      <c r="N407" s="9">
        <v>4.9444999999999997</v>
      </c>
      <c r="O407" s="9">
        <v>0.37409999999999999</v>
      </c>
      <c r="P407" s="9">
        <v>1.2183999999999999</v>
      </c>
      <c r="Q407" s="9">
        <v>20.2666</v>
      </c>
      <c r="R407" s="9"/>
      <c r="S407" s="11"/>
    </row>
    <row r="408" spans="1:19" ht="15.75">
      <c r="A408" s="13">
        <v>53935</v>
      </c>
      <c r="B408" s="8">
        <f>CHOOSE( CONTROL!$C$32, 10.2817, 10.2782) * CHOOSE(CONTROL!$C$15, $D$11, 100%, $F$11)</f>
        <v>10.281700000000001</v>
      </c>
      <c r="C408" s="8">
        <f>CHOOSE( CONTROL!$C$32, 10.2897, 10.2862) * CHOOSE(CONTROL!$C$15, $D$11, 100%, $F$11)</f>
        <v>10.2897</v>
      </c>
      <c r="D408" s="8">
        <f>CHOOSE( CONTROL!$C$32, 10.2964, 10.2929) * CHOOSE( CONTROL!$C$15, $D$11, 100%, $F$11)</f>
        <v>10.2964</v>
      </c>
      <c r="E408" s="12">
        <f>CHOOSE( CONTROL!$C$32, 10.2928, 10.2893) * CHOOSE( CONTROL!$C$15, $D$11, 100%, $F$11)</f>
        <v>10.2928</v>
      </c>
      <c r="F408" s="4">
        <f>CHOOSE( CONTROL!$C$32, 10.97, 10.9664) * CHOOSE(CONTROL!$C$15, $D$11, 100%, $F$11)</f>
        <v>10.97</v>
      </c>
      <c r="G408" s="8">
        <f>CHOOSE( CONTROL!$C$32, 10.08, 10.0765) * CHOOSE( CONTROL!$C$15, $D$11, 100%, $F$11)</f>
        <v>10.08</v>
      </c>
      <c r="H408" s="4">
        <f>CHOOSE( CONTROL!$C$32, 11.0169, 11.0134) * CHOOSE(CONTROL!$C$15, $D$11, 100%, $F$11)</f>
        <v>11.0169</v>
      </c>
      <c r="I408" s="8">
        <f>CHOOSE( CONTROL!$C$32, 10.0064, 10.0029) * CHOOSE(CONTROL!$C$15, $D$11, 100%, $F$11)</f>
        <v>10.006399999999999</v>
      </c>
      <c r="J408" s="4">
        <f>CHOOSE( CONTROL!$C$32, 9.9081, 9.9047) * CHOOSE(CONTROL!$C$15, $D$11, 100%, $F$11)</f>
        <v>9.9080999999999992</v>
      </c>
      <c r="K408" s="4"/>
      <c r="L408" s="9">
        <v>30.7165</v>
      </c>
      <c r="M408" s="9">
        <v>12.063700000000001</v>
      </c>
      <c r="N408" s="9">
        <v>4.9444999999999997</v>
      </c>
      <c r="O408" s="9">
        <v>0.37409999999999999</v>
      </c>
      <c r="P408" s="9">
        <v>1.2183999999999999</v>
      </c>
      <c r="Q408" s="9">
        <v>20.2666</v>
      </c>
      <c r="R408" s="9"/>
      <c r="S408" s="11"/>
    </row>
    <row r="409" spans="1:19" ht="15.75">
      <c r="A409" s="13">
        <v>53965</v>
      </c>
      <c r="B409" s="8">
        <f>CHOOSE( CONTROL!$C$32, 10.0671, 10.0635) * CHOOSE(CONTROL!$C$15, $D$11, 100%, $F$11)</f>
        <v>10.0671</v>
      </c>
      <c r="C409" s="8">
        <f>CHOOSE( CONTROL!$C$32, 10.0751, 10.0716) * CHOOSE(CONTROL!$C$15, $D$11, 100%, $F$11)</f>
        <v>10.075100000000001</v>
      </c>
      <c r="D409" s="8">
        <f>CHOOSE( CONTROL!$C$32, 10.0818, 10.0783) * CHOOSE( CONTROL!$C$15, $D$11, 100%, $F$11)</f>
        <v>10.081799999999999</v>
      </c>
      <c r="E409" s="12">
        <f>CHOOSE( CONTROL!$C$32, 10.0782, 10.0746) * CHOOSE( CONTROL!$C$15, $D$11, 100%, $F$11)</f>
        <v>10.078200000000001</v>
      </c>
      <c r="F409" s="4">
        <f>CHOOSE( CONTROL!$C$32, 10.7554, 10.7518) * CHOOSE(CONTROL!$C$15, $D$11, 100%, $F$11)</f>
        <v>10.7554</v>
      </c>
      <c r="G409" s="8">
        <f>CHOOSE( CONTROL!$C$32, 9.869, 9.8655) * CHOOSE( CONTROL!$C$15, $D$11, 100%, $F$11)</f>
        <v>9.8689999999999998</v>
      </c>
      <c r="H409" s="4">
        <f>CHOOSE( CONTROL!$C$32, 10.8058, 10.8023) * CHOOSE(CONTROL!$C$15, $D$11, 100%, $F$11)</f>
        <v>10.8058</v>
      </c>
      <c r="I409" s="8">
        <f>CHOOSE( CONTROL!$C$32, 9.7988, 9.7954) * CHOOSE(CONTROL!$C$15, $D$11, 100%, $F$11)</f>
        <v>9.7988</v>
      </c>
      <c r="J409" s="4">
        <f>CHOOSE( CONTROL!$C$32, 9.7006, 9.6972) * CHOOSE(CONTROL!$C$15, $D$11, 100%, $F$11)</f>
        <v>9.7005999999999997</v>
      </c>
      <c r="K409" s="4"/>
      <c r="L409" s="9">
        <v>29.7257</v>
      </c>
      <c r="M409" s="9">
        <v>11.6745</v>
      </c>
      <c r="N409" s="9">
        <v>4.7850000000000001</v>
      </c>
      <c r="O409" s="9">
        <v>0.36199999999999999</v>
      </c>
      <c r="P409" s="9">
        <v>1.1791</v>
      </c>
      <c r="Q409" s="9">
        <v>19.6128</v>
      </c>
      <c r="R409" s="9"/>
      <c r="S409" s="11"/>
    </row>
    <row r="410" spans="1:19" ht="15.75">
      <c r="A410" s="13">
        <v>53996</v>
      </c>
      <c r="B410" s="8">
        <f>10.5074 * CHOOSE(CONTROL!$C$15, $D$11, 100%, $F$11)</f>
        <v>10.507400000000001</v>
      </c>
      <c r="C410" s="8">
        <f>10.5128 * CHOOSE(CONTROL!$C$15, $D$11, 100%, $F$11)</f>
        <v>10.5128</v>
      </c>
      <c r="D410" s="8">
        <f>10.5243 * CHOOSE( CONTROL!$C$15, $D$11, 100%, $F$11)</f>
        <v>10.5243</v>
      </c>
      <c r="E410" s="12">
        <f>10.5199 * CHOOSE( CONTROL!$C$15, $D$11, 100%, $F$11)</f>
        <v>10.5199</v>
      </c>
      <c r="F410" s="4">
        <f>11.1974 * CHOOSE(CONTROL!$C$15, $D$11, 100%, $F$11)</f>
        <v>11.1974</v>
      </c>
      <c r="G410" s="8">
        <f>10.3032 * CHOOSE( CONTROL!$C$15, $D$11, 100%, $F$11)</f>
        <v>10.3032</v>
      </c>
      <c r="H410" s="4">
        <f>11.2405 * CHOOSE(CONTROL!$C$15, $D$11, 100%, $F$11)</f>
        <v>11.240500000000001</v>
      </c>
      <c r="I410" s="8">
        <f>10.2271 * CHOOSE(CONTROL!$C$15, $D$11, 100%, $F$11)</f>
        <v>10.2271</v>
      </c>
      <c r="J410" s="4">
        <f>10.128 * CHOOSE(CONTROL!$C$15, $D$11, 100%, $F$11)</f>
        <v>10.128</v>
      </c>
      <c r="K410" s="4"/>
      <c r="L410" s="9">
        <v>31.095300000000002</v>
      </c>
      <c r="M410" s="9">
        <v>12.063700000000001</v>
      </c>
      <c r="N410" s="9">
        <v>4.9444999999999997</v>
      </c>
      <c r="O410" s="9">
        <v>0.37409999999999999</v>
      </c>
      <c r="P410" s="9">
        <v>1.2183999999999999</v>
      </c>
      <c r="Q410" s="9">
        <v>20.2666</v>
      </c>
      <c r="R410" s="9"/>
      <c r="S410" s="11"/>
    </row>
    <row r="411" spans="1:19" ht="15.75">
      <c r="A411" s="13">
        <v>54026</v>
      </c>
      <c r="B411" s="8">
        <f>11.3296 * CHOOSE(CONTROL!$C$15, $D$11, 100%, $F$11)</f>
        <v>11.329599999999999</v>
      </c>
      <c r="C411" s="8">
        <f>11.3347 * CHOOSE(CONTROL!$C$15, $D$11, 100%, $F$11)</f>
        <v>11.3347</v>
      </c>
      <c r="D411" s="8">
        <f>11.3116 * CHOOSE( CONTROL!$C$15, $D$11, 100%, $F$11)</f>
        <v>11.3116</v>
      </c>
      <c r="E411" s="12">
        <f>11.3195 * CHOOSE( CONTROL!$C$15, $D$11, 100%, $F$11)</f>
        <v>11.3195</v>
      </c>
      <c r="F411" s="4">
        <f>11.9745 * CHOOSE(CONTROL!$C$15, $D$11, 100%, $F$11)</f>
        <v>11.974500000000001</v>
      </c>
      <c r="G411" s="8">
        <f>11.1229 * CHOOSE( CONTROL!$C$15, $D$11, 100%, $F$11)</f>
        <v>11.1229</v>
      </c>
      <c r="H411" s="4">
        <f>12.0047 * CHOOSE(CONTROL!$C$15, $D$11, 100%, $F$11)</f>
        <v>12.0047</v>
      </c>
      <c r="I411" s="8">
        <f>11.0473 * CHOOSE(CONTROL!$C$15, $D$11, 100%, $F$11)</f>
        <v>11.0473</v>
      </c>
      <c r="J411" s="4">
        <f>10.9231 * CHOOSE(CONTROL!$C$15, $D$11, 100%, $F$11)</f>
        <v>10.9231</v>
      </c>
      <c r="K411" s="4"/>
      <c r="L411" s="9">
        <v>28.360600000000002</v>
      </c>
      <c r="M411" s="9">
        <v>11.6745</v>
      </c>
      <c r="N411" s="9">
        <v>4.7850000000000001</v>
      </c>
      <c r="O411" s="9">
        <v>0.36199999999999999</v>
      </c>
      <c r="P411" s="9">
        <v>1.2509999999999999</v>
      </c>
      <c r="Q411" s="9">
        <v>19.6128</v>
      </c>
      <c r="R411" s="9"/>
      <c r="S411" s="11"/>
    </row>
    <row r="412" spans="1:19" ht="15.75">
      <c r="A412" s="13">
        <v>54057</v>
      </c>
      <c r="B412" s="8">
        <f>11.309 * CHOOSE(CONTROL!$C$15, $D$11, 100%, $F$11)</f>
        <v>11.308999999999999</v>
      </c>
      <c r="C412" s="8">
        <f>11.3141 * CHOOSE(CONTROL!$C$15, $D$11, 100%, $F$11)</f>
        <v>11.3141</v>
      </c>
      <c r="D412" s="8">
        <f>11.2924 * CHOOSE( CONTROL!$C$15, $D$11, 100%, $F$11)</f>
        <v>11.292400000000001</v>
      </c>
      <c r="E412" s="12">
        <f>11.2998 * CHOOSE( CONTROL!$C$15, $D$11, 100%, $F$11)</f>
        <v>11.299799999999999</v>
      </c>
      <c r="F412" s="4">
        <f>11.9539 * CHOOSE(CONTROL!$C$15, $D$11, 100%, $F$11)</f>
        <v>11.953900000000001</v>
      </c>
      <c r="G412" s="8">
        <f>11.1037 * CHOOSE( CONTROL!$C$15, $D$11, 100%, $F$11)</f>
        <v>11.1037</v>
      </c>
      <c r="H412" s="4">
        <f>11.9844 * CHOOSE(CONTROL!$C$15, $D$11, 100%, $F$11)</f>
        <v>11.984400000000001</v>
      </c>
      <c r="I412" s="8">
        <f>11.0318 * CHOOSE(CONTROL!$C$15, $D$11, 100%, $F$11)</f>
        <v>11.0318</v>
      </c>
      <c r="J412" s="4">
        <f>10.9033 * CHOOSE(CONTROL!$C$15, $D$11, 100%, $F$11)</f>
        <v>10.9033</v>
      </c>
      <c r="K412" s="4"/>
      <c r="L412" s="9">
        <v>29.306000000000001</v>
      </c>
      <c r="M412" s="9">
        <v>12.063700000000001</v>
      </c>
      <c r="N412" s="9">
        <v>4.9444999999999997</v>
      </c>
      <c r="O412" s="9">
        <v>0.37409999999999999</v>
      </c>
      <c r="P412" s="9">
        <v>1.2927</v>
      </c>
      <c r="Q412" s="9">
        <v>20.2666</v>
      </c>
      <c r="R412" s="9"/>
      <c r="S412" s="11"/>
    </row>
    <row r="413" spans="1:19" ht="15.75">
      <c r="A413" s="13">
        <v>54088</v>
      </c>
      <c r="B413" s="8">
        <f>11.7401 * CHOOSE(CONTROL!$C$15, $D$11, 100%, $F$11)</f>
        <v>11.7401</v>
      </c>
      <c r="C413" s="8">
        <f>11.7452 * CHOOSE(CONTROL!$C$15, $D$11, 100%, $F$11)</f>
        <v>11.745200000000001</v>
      </c>
      <c r="D413" s="8">
        <f>11.7194 * CHOOSE( CONTROL!$C$15, $D$11, 100%, $F$11)</f>
        <v>11.7194</v>
      </c>
      <c r="E413" s="12">
        <f>11.7283 * CHOOSE( CONTROL!$C$15, $D$11, 100%, $F$11)</f>
        <v>11.728300000000001</v>
      </c>
      <c r="F413" s="4">
        <f>12.3841 * CHOOSE(CONTROL!$C$15, $D$11, 100%, $F$11)</f>
        <v>12.3841</v>
      </c>
      <c r="G413" s="8">
        <f>11.5213 * CHOOSE( CONTROL!$C$15, $D$11, 100%, $F$11)</f>
        <v>11.5213</v>
      </c>
      <c r="H413" s="4">
        <f>12.4075 * CHOOSE(CONTROL!$C$15, $D$11, 100%, $F$11)</f>
        <v>12.407500000000001</v>
      </c>
      <c r="I413" s="8">
        <f>11.4193 * CHOOSE(CONTROL!$C$15, $D$11, 100%, $F$11)</f>
        <v>11.4193</v>
      </c>
      <c r="J413" s="4">
        <f>11.32 * CHOOSE(CONTROL!$C$15, $D$11, 100%, $F$11)</f>
        <v>11.32</v>
      </c>
      <c r="K413" s="4"/>
      <c r="L413" s="9">
        <v>29.306000000000001</v>
      </c>
      <c r="M413" s="9">
        <v>12.063700000000001</v>
      </c>
      <c r="N413" s="9">
        <v>4.9444999999999997</v>
      </c>
      <c r="O413" s="9">
        <v>0.37409999999999999</v>
      </c>
      <c r="P413" s="9">
        <v>1.2927</v>
      </c>
      <c r="Q413" s="9">
        <v>20.201499999999999</v>
      </c>
      <c r="R413" s="9"/>
      <c r="S413" s="11"/>
    </row>
    <row r="414" spans="1:19" ht="15.75">
      <c r="A414" s="13">
        <v>54116</v>
      </c>
      <c r="B414" s="8">
        <f>10.9831 * CHOOSE(CONTROL!$C$15, $D$11, 100%, $F$11)</f>
        <v>10.9831</v>
      </c>
      <c r="C414" s="8">
        <f>10.9882 * CHOOSE(CONTROL!$C$15, $D$11, 100%, $F$11)</f>
        <v>10.988200000000001</v>
      </c>
      <c r="D414" s="8">
        <f>10.9626 * CHOOSE( CONTROL!$C$15, $D$11, 100%, $F$11)</f>
        <v>10.9626</v>
      </c>
      <c r="E414" s="12">
        <f>10.9714 * CHOOSE( CONTROL!$C$15, $D$11, 100%, $F$11)</f>
        <v>10.971399999999999</v>
      </c>
      <c r="F414" s="4">
        <f>11.6271 * CHOOSE(CONTROL!$C$15, $D$11, 100%, $F$11)</f>
        <v>11.6271</v>
      </c>
      <c r="G414" s="8">
        <f>10.777 * CHOOSE( CONTROL!$C$15, $D$11, 100%, $F$11)</f>
        <v>10.776999999999999</v>
      </c>
      <c r="H414" s="4">
        <f>11.6631 * CHOOSE(CONTROL!$C$15, $D$11, 100%, $F$11)</f>
        <v>11.6631</v>
      </c>
      <c r="I414" s="8">
        <f>10.6878 * CHOOSE(CONTROL!$C$15, $D$11, 100%, $F$11)</f>
        <v>10.687799999999999</v>
      </c>
      <c r="J414" s="4">
        <f>10.5882 * CHOOSE(CONTROL!$C$15, $D$11, 100%, $F$11)</f>
        <v>10.588200000000001</v>
      </c>
      <c r="K414" s="4"/>
      <c r="L414" s="9">
        <v>27.415299999999998</v>
      </c>
      <c r="M414" s="9">
        <v>11.285299999999999</v>
      </c>
      <c r="N414" s="9">
        <v>4.6254999999999997</v>
      </c>
      <c r="O414" s="9">
        <v>0.34989999999999999</v>
      </c>
      <c r="P414" s="9">
        <v>1.2093</v>
      </c>
      <c r="Q414" s="9">
        <v>18.898099999999999</v>
      </c>
      <c r="R414" s="9"/>
      <c r="S414" s="11"/>
    </row>
    <row r="415" spans="1:19" ht="15.75">
      <c r="A415" s="13">
        <v>54148</v>
      </c>
      <c r="B415" s="8">
        <f>10.7499 * CHOOSE(CONTROL!$C$15, $D$11, 100%, $F$11)</f>
        <v>10.7499</v>
      </c>
      <c r="C415" s="8">
        <f>10.755 * CHOOSE(CONTROL!$C$15, $D$11, 100%, $F$11)</f>
        <v>10.755000000000001</v>
      </c>
      <c r="D415" s="8">
        <f>10.7293 * CHOOSE( CONTROL!$C$15, $D$11, 100%, $F$11)</f>
        <v>10.7293</v>
      </c>
      <c r="E415" s="12">
        <f>10.7382 * CHOOSE( CONTROL!$C$15, $D$11, 100%, $F$11)</f>
        <v>10.738200000000001</v>
      </c>
      <c r="F415" s="4">
        <f>11.3939 * CHOOSE(CONTROL!$C$15, $D$11, 100%, $F$11)</f>
        <v>11.3939</v>
      </c>
      <c r="G415" s="8">
        <f>10.5476 * CHOOSE( CONTROL!$C$15, $D$11, 100%, $F$11)</f>
        <v>10.547599999999999</v>
      </c>
      <c r="H415" s="4">
        <f>11.4338 * CHOOSE(CONTROL!$C$15, $D$11, 100%, $F$11)</f>
        <v>11.4338</v>
      </c>
      <c r="I415" s="8">
        <f>10.4621 * CHOOSE(CONTROL!$C$15, $D$11, 100%, $F$11)</f>
        <v>10.4621</v>
      </c>
      <c r="J415" s="4">
        <f>10.3628 * CHOOSE(CONTROL!$C$15, $D$11, 100%, $F$11)</f>
        <v>10.3628</v>
      </c>
      <c r="K415" s="4"/>
      <c r="L415" s="9">
        <v>29.306000000000001</v>
      </c>
      <c r="M415" s="9">
        <v>12.063700000000001</v>
      </c>
      <c r="N415" s="9">
        <v>4.9444999999999997</v>
      </c>
      <c r="O415" s="9">
        <v>0.37409999999999999</v>
      </c>
      <c r="P415" s="9">
        <v>1.2927</v>
      </c>
      <c r="Q415" s="9">
        <v>20.201499999999999</v>
      </c>
      <c r="R415" s="9"/>
      <c r="S415" s="11"/>
    </row>
    <row r="416" spans="1:19" ht="15.75">
      <c r="A416" s="13">
        <v>54178</v>
      </c>
      <c r="B416" s="8">
        <f>10.9136 * CHOOSE(CONTROL!$C$15, $D$11, 100%, $F$11)</f>
        <v>10.913600000000001</v>
      </c>
      <c r="C416" s="8">
        <f>10.9181 * CHOOSE(CONTROL!$C$15, $D$11, 100%, $F$11)</f>
        <v>10.918100000000001</v>
      </c>
      <c r="D416" s="8">
        <f>10.9292 * CHOOSE( CONTROL!$C$15, $D$11, 100%, $F$11)</f>
        <v>10.9292</v>
      </c>
      <c r="E416" s="12">
        <f>10.925 * CHOOSE( CONTROL!$C$15, $D$11, 100%, $F$11)</f>
        <v>10.925000000000001</v>
      </c>
      <c r="F416" s="4">
        <f>11.6032 * CHOOSE(CONTROL!$C$15, $D$11, 100%, $F$11)</f>
        <v>11.603199999999999</v>
      </c>
      <c r="G416" s="8">
        <f>10.7007 * CHOOSE( CONTROL!$C$15, $D$11, 100%, $F$11)</f>
        <v>10.700699999999999</v>
      </c>
      <c r="H416" s="4">
        <f>11.6396 * CHOOSE(CONTROL!$C$15, $D$11, 100%, $F$11)</f>
        <v>11.6396</v>
      </c>
      <c r="I416" s="8">
        <f>10.6147 * CHOOSE(CONTROL!$C$15, $D$11, 100%, $F$11)</f>
        <v>10.614699999999999</v>
      </c>
      <c r="J416" s="4">
        <f>10.5203 * CHOOSE(CONTROL!$C$15, $D$11, 100%, $F$11)</f>
        <v>10.520300000000001</v>
      </c>
      <c r="K416" s="4"/>
      <c r="L416" s="9">
        <v>30.092199999999998</v>
      </c>
      <c r="M416" s="9">
        <v>11.6745</v>
      </c>
      <c r="N416" s="9">
        <v>4.7850000000000001</v>
      </c>
      <c r="O416" s="9">
        <v>0.36199999999999999</v>
      </c>
      <c r="P416" s="9">
        <v>1.1791</v>
      </c>
      <c r="Q416" s="9">
        <v>19.549800000000001</v>
      </c>
      <c r="R416" s="9"/>
      <c r="S416" s="11"/>
    </row>
    <row r="417" spans="1:19" ht="15.75">
      <c r="A417" s="13">
        <v>54209</v>
      </c>
      <c r="B417" s="8">
        <f>CHOOSE( CONTROL!$C$32, 11.2085, 11.2049) * CHOOSE(CONTROL!$C$15, $D$11, 100%, $F$11)</f>
        <v>11.208500000000001</v>
      </c>
      <c r="C417" s="8">
        <f>CHOOSE( CONTROL!$C$32, 11.2165, 11.2129) * CHOOSE(CONTROL!$C$15, $D$11, 100%, $F$11)</f>
        <v>11.2165</v>
      </c>
      <c r="D417" s="8">
        <f>CHOOSE( CONTROL!$C$32, 11.2225, 11.219) * CHOOSE( CONTROL!$C$15, $D$11, 100%, $F$11)</f>
        <v>11.2225</v>
      </c>
      <c r="E417" s="12">
        <f>CHOOSE( CONTROL!$C$32, 11.2191, 11.2156) * CHOOSE( CONTROL!$C$15, $D$11, 100%, $F$11)</f>
        <v>11.219099999999999</v>
      </c>
      <c r="F417" s="4">
        <f>CHOOSE( CONTROL!$C$32, 11.8968, 11.8932) * CHOOSE(CONTROL!$C$15, $D$11, 100%, $F$11)</f>
        <v>11.896800000000001</v>
      </c>
      <c r="G417" s="8">
        <f>CHOOSE( CONTROL!$C$32, 10.9904, 10.9869) * CHOOSE( CONTROL!$C$15, $D$11, 100%, $F$11)</f>
        <v>10.990399999999999</v>
      </c>
      <c r="H417" s="4">
        <f>CHOOSE( CONTROL!$C$32, 11.9283, 11.9248) * CHOOSE(CONTROL!$C$15, $D$11, 100%, $F$11)</f>
        <v>11.9283</v>
      </c>
      <c r="I417" s="8">
        <f>CHOOSE( CONTROL!$C$32, 10.8995, 10.896) * CHOOSE(CONTROL!$C$15, $D$11, 100%, $F$11)</f>
        <v>10.8995</v>
      </c>
      <c r="J417" s="4">
        <f>CHOOSE( CONTROL!$C$32, 10.804, 10.8006) * CHOOSE(CONTROL!$C$15, $D$11, 100%, $F$11)</f>
        <v>10.804</v>
      </c>
      <c r="K417" s="4"/>
      <c r="L417" s="9">
        <v>30.7165</v>
      </c>
      <c r="M417" s="9">
        <v>12.063700000000001</v>
      </c>
      <c r="N417" s="9">
        <v>4.9444999999999997</v>
      </c>
      <c r="O417" s="9">
        <v>0.37409999999999999</v>
      </c>
      <c r="P417" s="9">
        <v>1.2183999999999999</v>
      </c>
      <c r="Q417" s="9">
        <v>20.201499999999999</v>
      </c>
      <c r="R417" s="9"/>
      <c r="S417" s="11"/>
    </row>
    <row r="418" spans="1:19" ht="15.75">
      <c r="A418" s="13">
        <v>54239</v>
      </c>
      <c r="B418" s="8">
        <f>CHOOSE( CONTROL!$C$32, 11.0289, 11.0253) * CHOOSE(CONTROL!$C$15, $D$11, 100%, $F$11)</f>
        <v>11.0289</v>
      </c>
      <c r="C418" s="8">
        <f>CHOOSE( CONTROL!$C$32, 11.0369, 11.0333) * CHOOSE(CONTROL!$C$15, $D$11, 100%, $F$11)</f>
        <v>11.036899999999999</v>
      </c>
      <c r="D418" s="8">
        <f>CHOOSE( CONTROL!$C$32, 11.0432, 11.0396) * CHOOSE( CONTROL!$C$15, $D$11, 100%, $F$11)</f>
        <v>11.043200000000001</v>
      </c>
      <c r="E418" s="12">
        <f>CHOOSE( CONTROL!$C$32, 11.0397, 11.0361) * CHOOSE( CONTROL!$C$15, $D$11, 100%, $F$11)</f>
        <v>11.0397</v>
      </c>
      <c r="F418" s="4">
        <f>CHOOSE( CONTROL!$C$32, 11.7171, 11.7136) * CHOOSE(CONTROL!$C$15, $D$11, 100%, $F$11)</f>
        <v>11.7171</v>
      </c>
      <c r="G418" s="8">
        <f>CHOOSE( CONTROL!$C$32, 10.8142, 10.8107) * CHOOSE( CONTROL!$C$15, $D$11, 100%, $F$11)</f>
        <v>10.8142</v>
      </c>
      <c r="H418" s="4">
        <f>CHOOSE( CONTROL!$C$32, 11.7516, 11.7481) * CHOOSE(CONTROL!$C$15, $D$11, 100%, $F$11)</f>
        <v>11.7516</v>
      </c>
      <c r="I418" s="8">
        <f>CHOOSE( CONTROL!$C$32, 10.7271, 10.7236) * CHOOSE(CONTROL!$C$15, $D$11, 100%, $F$11)</f>
        <v>10.7271</v>
      </c>
      <c r="J418" s="4">
        <f>CHOOSE( CONTROL!$C$32, 10.6304, 10.6269) * CHOOSE(CONTROL!$C$15, $D$11, 100%, $F$11)</f>
        <v>10.6304</v>
      </c>
      <c r="K418" s="4"/>
      <c r="L418" s="9">
        <v>29.7257</v>
      </c>
      <c r="M418" s="9">
        <v>11.6745</v>
      </c>
      <c r="N418" s="9">
        <v>4.7850000000000001</v>
      </c>
      <c r="O418" s="9">
        <v>0.36199999999999999</v>
      </c>
      <c r="P418" s="9">
        <v>1.1791</v>
      </c>
      <c r="Q418" s="9">
        <v>19.549800000000001</v>
      </c>
      <c r="R418" s="9"/>
      <c r="S418" s="11"/>
    </row>
    <row r="419" spans="1:19" ht="15.75">
      <c r="A419" s="13">
        <v>54270</v>
      </c>
      <c r="B419" s="8">
        <f>CHOOSE( CONTROL!$C$32, 11.5019, 11.4983) * CHOOSE(CONTROL!$C$15, $D$11, 100%, $F$11)</f>
        <v>11.501899999999999</v>
      </c>
      <c r="C419" s="8">
        <f>CHOOSE( CONTROL!$C$32, 11.5099, 11.5064) * CHOOSE(CONTROL!$C$15, $D$11, 100%, $F$11)</f>
        <v>11.5099</v>
      </c>
      <c r="D419" s="8">
        <f>CHOOSE( CONTROL!$C$32, 11.5165, 11.5129) * CHOOSE( CONTROL!$C$15, $D$11, 100%, $F$11)</f>
        <v>11.516500000000001</v>
      </c>
      <c r="E419" s="12">
        <f>CHOOSE( CONTROL!$C$32, 11.5129, 11.5093) * CHOOSE( CONTROL!$C$15, $D$11, 100%, $F$11)</f>
        <v>11.5129</v>
      </c>
      <c r="F419" s="4">
        <f>CHOOSE( CONTROL!$C$32, 12.1902, 12.1866) * CHOOSE(CONTROL!$C$15, $D$11, 100%, $F$11)</f>
        <v>12.190200000000001</v>
      </c>
      <c r="G419" s="8">
        <f>CHOOSE( CONTROL!$C$32, 11.2798, 11.2763) * CHOOSE( CONTROL!$C$15, $D$11, 100%, $F$11)</f>
        <v>11.2798</v>
      </c>
      <c r="H419" s="4">
        <f>CHOOSE( CONTROL!$C$32, 12.2168, 12.2133) * CHOOSE(CONTROL!$C$15, $D$11, 100%, $F$11)</f>
        <v>12.216799999999999</v>
      </c>
      <c r="I419" s="8">
        <f>CHOOSE( CONTROL!$C$32, 11.186, 11.1826) * CHOOSE(CONTROL!$C$15, $D$11, 100%, $F$11)</f>
        <v>11.186</v>
      </c>
      <c r="J419" s="4">
        <f>CHOOSE( CONTROL!$C$32, 11.0877, 11.0842) * CHOOSE(CONTROL!$C$15, $D$11, 100%, $F$11)</f>
        <v>11.0877</v>
      </c>
      <c r="K419" s="4"/>
      <c r="L419" s="9">
        <v>30.7165</v>
      </c>
      <c r="M419" s="9">
        <v>12.063700000000001</v>
      </c>
      <c r="N419" s="9">
        <v>4.9444999999999997</v>
      </c>
      <c r="O419" s="9">
        <v>0.37409999999999999</v>
      </c>
      <c r="P419" s="9">
        <v>1.2183999999999999</v>
      </c>
      <c r="Q419" s="9">
        <v>20.201499999999999</v>
      </c>
      <c r="R419" s="9"/>
      <c r="S419" s="11"/>
    </row>
    <row r="420" spans="1:19" ht="15.75">
      <c r="A420" s="13">
        <v>54301</v>
      </c>
      <c r="B420" s="8">
        <f>CHOOSE( CONTROL!$C$32, 10.6168, 10.6132) * CHOOSE(CONTROL!$C$15, $D$11, 100%, $F$11)</f>
        <v>10.6168</v>
      </c>
      <c r="C420" s="8">
        <f>CHOOSE( CONTROL!$C$32, 10.6248, 10.6213) * CHOOSE(CONTROL!$C$15, $D$11, 100%, $F$11)</f>
        <v>10.6248</v>
      </c>
      <c r="D420" s="8">
        <f>CHOOSE( CONTROL!$C$32, 10.6315, 10.6279) * CHOOSE( CONTROL!$C$15, $D$11, 100%, $F$11)</f>
        <v>10.631500000000001</v>
      </c>
      <c r="E420" s="12">
        <f>CHOOSE( CONTROL!$C$32, 10.6279, 10.6243) * CHOOSE( CONTROL!$C$15, $D$11, 100%, $F$11)</f>
        <v>10.6279</v>
      </c>
      <c r="F420" s="4">
        <f>CHOOSE( CONTROL!$C$32, 11.3051, 11.3015) * CHOOSE(CONTROL!$C$15, $D$11, 100%, $F$11)</f>
        <v>11.305099999999999</v>
      </c>
      <c r="G420" s="8">
        <f>CHOOSE( CONTROL!$C$32, 10.4095, 10.406) * CHOOSE( CONTROL!$C$15, $D$11, 100%, $F$11)</f>
        <v>10.4095</v>
      </c>
      <c r="H420" s="4">
        <f>CHOOSE( CONTROL!$C$32, 11.3464, 11.3429) * CHOOSE(CONTROL!$C$15, $D$11, 100%, $F$11)</f>
        <v>11.346399999999999</v>
      </c>
      <c r="I420" s="8">
        <f>CHOOSE( CONTROL!$C$32, 10.3305, 10.327) * CHOOSE(CONTROL!$C$15, $D$11, 100%, $F$11)</f>
        <v>10.330500000000001</v>
      </c>
      <c r="J420" s="4">
        <f>CHOOSE( CONTROL!$C$32, 10.232, 10.2286) * CHOOSE(CONTROL!$C$15, $D$11, 100%, $F$11)</f>
        <v>10.231999999999999</v>
      </c>
      <c r="K420" s="4"/>
      <c r="L420" s="9">
        <v>30.7165</v>
      </c>
      <c r="M420" s="9">
        <v>12.063700000000001</v>
      </c>
      <c r="N420" s="9">
        <v>4.9444999999999997</v>
      </c>
      <c r="O420" s="9">
        <v>0.37409999999999999</v>
      </c>
      <c r="P420" s="9">
        <v>1.2183999999999999</v>
      </c>
      <c r="Q420" s="9">
        <v>20.201499999999999</v>
      </c>
      <c r="R420" s="9"/>
      <c r="S420" s="11"/>
    </row>
    <row r="421" spans="1:19" ht="15.75">
      <c r="A421" s="13">
        <v>54331</v>
      </c>
      <c r="B421" s="8">
        <f>CHOOSE( CONTROL!$C$32, 10.3952, 10.3916) * CHOOSE(CONTROL!$C$15, $D$11, 100%, $F$11)</f>
        <v>10.395200000000001</v>
      </c>
      <c r="C421" s="8">
        <f>CHOOSE( CONTROL!$C$32, 10.4032, 10.3996) * CHOOSE(CONTROL!$C$15, $D$11, 100%, $F$11)</f>
        <v>10.4032</v>
      </c>
      <c r="D421" s="8">
        <f>CHOOSE( CONTROL!$C$32, 10.4099, 10.4063) * CHOOSE( CONTROL!$C$15, $D$11, 100%, $F$11)</f>
        <v>10.4099</v>
      </c>
      <c r="E421" s="12">
        <f>CHOOSE( CONTROL!$C$32, 10.4063, 10.4027) * CHOOSE( CONTROL!$C$15, $D$11, 100%, $F$11)</f>
        <v>10.4063</v>
      </c>
      <c r="F421" s="4">
        <f>CHOOSE( CONTROL!$C$32, 11.0834, 11.0799) * CHOOSE(CONTROL!$C$15, $D$11, 100%, $F$11)</f>
        <v>11.083399999999999</v>
      </c>
      <c r="G421" s="8">
        <f>CHOOSE( CONTROL!$C$32, 10.1916, 10.1881) * CHOOSE( CONTROL!$C$15, $D$11, 100%, $F$11)</f>
        <v>10.191599999999999</v>
      </c>
      <c r="H421" s="4">
        <f>CHOOSE( CONTROL!$C$32, 11.1284, 11.1249) * CHOOSE(CONTROL!$C$15, $D$11, 100%, $F$11)</f>
        <v>11.128399999999999</v>
      </c>
      <c r="I421" s="8">
        <f>CHOOSE( CONTROL!$C$32, 10.1161, 10.1126) * CHOOSE(CONTROL!$C$15, $D$11, 100%, $F$11)</f>
        <v>10.116099999999999</v>
      </c>
      <c r="J421" s="4">
        <f>CHOOSE( CONTROL!$C$32, 10.0178, 10.0143) * CHOOSE(CONTROL!$C$15, $D$11, 100%, $F$11)</f>
        <v>10.017799999999999</v>
      </c>
      <c r="K421" s="4"/>
      <c r="L421" s="9">
        <v>29.7257</v>
      </c>
      <c r="M421" s="9">
        <v>11.6745</v>
      </c>
      <c r="N421" s="9">
        <v>4.7850000000000001</v>
      </c>
      <c r="O421" s="9">
        <v>0.36199999999999999</v>
      </c>
      <c r="P421" s="9">
        <v>1.1791</v>
      </c>
      <c r="Q421" s="9">
        <v>19.549800000000001</v>
      </c>
      <c r="R421" s="9"/>
      <c r="S421" s="11"/>
    </row>
    <row r="422" spans="1:19" ht="15.75">
      <c r="A422" s="13">
        <v>54362</v>
      </c>
      <c r="B422" s="8">
        <f>10.8501 * CHOOSE(CONTROL!$C$15, $D$11, 100%, $F$11)</f>
        <v>10.850099999999999</v>
      </c>
      <c r="C422" s="8">
        <f>10.8554 * CHOOSE(CONTROL!$C$15, $D$11, 100%, $F$11)</f>
        <v>10.855399999999999</v>
      </c>
      <c r="D422" s="8">
        <f>10.867 * CHOOSE( CONTROL!$C$15, $D$11, 100%, $F$11)</f>
        <v>10.867000000000001</v>
      </c>
      <c r="E422" s="12">
        <f>10.8626 * CHOOSE( CONTROL!$C$15, $D$11, 100%, $F$11)</f>
        <v>10.8626</v>
      </c>
      <c r="F422" s="4">
        <f>11.5401 * CHOOSE(CONTROL!$C$15, $D$11, 100%, $F$11)</f>
        <v>11.540100000000001</v>
      </c>
      <c r="G422" s="8">
        <f>10.6401 * CHOOSE( CONTROL!$C$15, $D$11, 100%, $F$11)</f>
        <v>10.6401</v>
      </c>
      <c r="H422" s="4">
        <f>11.5775 * CHOOSE(CONTROL!$C$15, $D$11, 100%, $F$11)</f>
        <v>11.577500000000001</v>
      </c>
      <c r="I422" s="8">
        <f>10.5585 * CHOOSE(CONTROL!$C$15, $D$11, 100%, $F$11)</f>
        <v>10.5585</v>
      </c>
      <c r="J422" s="4">
        <f>10.4592 * CHOOSE(CONTROL!$C$15, $D$11, 100%, $F$11)</f>
        <v>10.459199999999999</v>
      </c>
      <c r="K422" s="4"/>
      <c r="L422" s="9">
        <v>31.095300000000002</v>
      </c>
      <c r="M422" s="9">
        <v>12.063700000000001</v>
      </c>
      <c r="N422" s="9">
        <v>4.9444999999999997</v>
      </c>
      <c r="O422" s="9">
        <v>0.37409999999999999</v>
      </c>
      <c r="P422" s="9">
        <v>1.2183999999999999</v>
      </c>
      <c r="Q422" s="9">
        <v>20.201499999999999</v>
      </c>
      <c r="R422" s="9"/>
      <c r="S422" s="11"/>
    </row>
    <row r="423" spans="1:19" ht="15.75">
      <c r="A423" s="13">
        <v>54392</v>
      </c>
      <c r="B423" s="8">
        <f>11.6991 * CHOOSE(CONTROL!$C$15, $D$11, 100%, $F$11)</f>
        <v>11.6991</v>
      </c>
      <c r="C423" s="8">
        <f>11.7042 * CHOOSE(CONTROL!$C$15, $D$11, 100%, $F$11)</f>
        <v>11.7042</v>
      </c>
      <c r="D423" s="8">
        <f>11.6812 * CHOOSE( CONTROL!$C$15, $D$11, 100%, $F$11)</f>
        <v>11.6812</v>
      </c>
      <c r="E423" s="12">
        <f>11.6891 * CHOOSE( CONTROL!$C$15, $D$11, 100%, $F$11)</f>
        <v>11.6891</v>
      </c>
      <c r="F423" s="4">
        <f>12.344 * CHOOSE(CONTROL!$C$15, $D$11, 100%, $F$11)</f>
        <v>12.343999999999999</v>
      </c>
      <c r="G423" s="8">
        <f>11.4863 * CHOOSE( CONTROL!$C$15, $D$11, 100%, $F$11)</f>
        <v>11.4863</v>
      </c>
      <c r="H423" s="4">
        <f>12.3681 * CHOOSE(CONTROL!$C$15, $D$11, 100%, $F$11)</f>
        <v>12.3681</v>
      </c>
      <c r="I423" s="8">
        <f>11.4047 * CHOOSE(CONTROL!$C$15, $D$11, 100%, $F$11)</f>
        <v>11.4047</v>
      </c>
      <c r="J423" s="4">
        <f>11.2803 * CHOOSE(CONTROL!$C$15, $D$11, 100%, $F$11)</f>
        <v>11.2803</v>
      </c>
      <c r="K423" s="4"/>
      <c r="L423" s="9">
        <v>28.360600000000002</v>
      </c>
      <c r="M423" s="9">
        <v>11.6745</v>
      </c>
      <c r="N423" s="9">
        <v>4.7850000000000001</v>
      </c>
      <c r="O423" s="9">
        <v>0.36199999999999999</v>
      </c>
      <c r="P423" s="9">
        <v>1.2509999999999999</v>
      </c>
      <c r="Q423" s="9">
        <v>19.549800000000001</v>
      </c>
      <c r="R423" s="9"/>
      <c r="S423" s="11"/>
    </row>
    <row r="424" spans="1:19" ht="15.75">
      <c r="A424" s="13">
        <v>54423</v>
      </c>
      <c r="B424" s="8">
        <f>11.6779 * CHOOSE(CONTROL!$C$15, $D$11, 100%, $F$11)</f>
        <v>11.677899999999999</v>
      </c>
      <c r="C424" s="8">
        <f>11.683 * CHOOSE(CONTROL!$C$15, $D$11, 100%, $F$11)</f>
        <v>11.683</v>
      </c>
      <c r="D424" s="8">
        <f>11.6613 * CHOOSE( CONTROL!$C$15, $D$11, 100%, $F$11)</f>
        <v>11.661300000000001</v>
      </c>
      <c r="E424" s="12">
        <f>11.6687 * CHOOSE( CONTROL!$C$15, $D$11, 100%, $F$11)</f>
        <v>11.668699999999999</v>
      </c>
      <c r="F424" s="4">
        <f>12.3228 * CHOOSE(CONTROL!$C$15, $D$11, 100%, $F$11)</f>
        <v>12.322800000000001</v>
      </c>
      <c r="G424" s="8">
        <f>11.4664 * CHOOSE( CONTROL!$C$15, $D$11, 100%, $F$11)</f>
        <v>11.4664</v>
      </c>
      <c r="H424" s="4">
        <f>12.3472 * CHOOSE(CONTROL!$C$15, $D$11, 100%, $F$11)</f>
        <v>12.347200000000001</v>
      </c>
      <c r="I424" s="8">
        <f>11.3885 * CHOOSE(CONTROL!$C$15, $D$11, 100%, $F$11)</f>
        <v>11.388500000000001</v>
      </c>
      <c r="J424" s="4">
        <f>11.2598 * CHOOSE(CONTROL!$C$15, $D$11, 100%, $F$11)</f>
        <v>11.2598</v>
      </c>
      <c r="K424" s="4"/>
      <c r="L424" s="9">
        <v>29.306000000000001</v>
      </c>
      <c r="M424" s="9">
        <v>12.063700000000001</v>
      </c>
      <c r="N424" s="9">
        <v>4.9444999999999997</v>
      </c>
      <c r="O424" s="9">
        <v>0.37409999999999999</v>
      </c>
      <c r="P424" s="9">
        <v>1.2927</v>
      </c>
      <c r="Q424" s="9">
        <v>20.201499999999999</v>
      </c>
      <c r="R424" s="9"/>
      <c r="S424" s="11"/>
    </row>
    <row r="425" spans="1:19" ht="15.75">
      <c r="A425" s="13">
        <v>54454</v>
      </c>
      <c r="B425" s="8">
        <f>12.123 * CHOOSE(CONTROL!$C$15, $D$11, 100%, $F$11)</f>
        <v>12.122999999999999</v>
      </c>
      <c r="C425" s="8">
        <f>12.1282 * CHOOSE(CONTROL!$C$15, $D$11, 100%, $F$11)</f>
        <v>12.1282</v>
      </c>
      <c r="D425" s="8">
        <f>12.1023 * CHOOSE( CONTROL!$C$15, $D$11, 100%, $F$11)</f>
        <v>12.1023</v>
      </c>
      <c r="E425" s="12">
        <f>12.1112 * CHOOSE( CONTROL!$C$15, $D$11, 100%, $F$11)</f>
        <v>12.1112</v>
      </c>
      <c r="F425" s="4">
        <f>12.7671 * CHOOSE(CONTROL!$C$15, $D$11, 100%, $F$11)</f>
        <v>12.767099999999999</v>
      </c>
      <c r="G425" s="8">
        <f>11.8979 * CHOOSE( CONTROL!$C$15, $D$11, 100%, $F$11)</f>
        <v>11.8979</v>
      </c>
      <c r="H425" s="4">
        <f>12.7841 * CHOOSE(CONTROL!$C$15, $D$11, 100%, $F$11)</f>
        <v>12.7841</v>
      </c>
      <c r="I425" s="8">
        <f>11.7896 * CHOOSE(CONTROL!$C$15, $D$11, 100%, $F$11)</f>
        <v>11.7896</v>
      </c>
      <c r="J425" s="4">
        <f>11.6902 * CHOOSE(CONTROL!$C$15, $D$11, 100%, $F$11)</f>
        <v>11.690200000000001</v>
      </c>
      <c r="K425" s="4"/>
      <c r="L425" s="9">
        <v>29.306000000000001</v>
      </c>
      <c r="M425" s="9">
        <v>12.063700000000001</v>
      </c>
      <c r="N425" s="9">
        <v>4.9444999999999997</v>
      </c>
      <c r="O425" s="9">
        <v>0.37409999999999999</v>
      </c>
      <c r="P425" s="9">
        <v>1.2927</v>
      </c>
      <c r="Q425" s="9">
        <v>20.136399999999998</v>
      </c>
      <c r="R425" s="9"/>
      <c r="S425" s="11"/>
    </row>
    <row r="426" spans="1:19" ht="15.75">
      <c r="A426" s="13">
        <v>54482</v>
      </c>
      <c r="B426" s="8">
        <f>11.3413 * CHOOSE(CONTROL!$C$15, $D$11, 100%, $F$11)</f>
        <v>11.3413</v>
      </c>
      <c r="C426" s="8">
        <f>11.3464 * CHOOSE(CONTROL!$C$15, $D$11, 100%, $F$11)</f>
        <v>11.346399999999999</v>
      </c>
      <c r="D426" s="8">
        <f>11.3208 * CHOOSE( CONTROL!$C$15, $D$11, 100%, $F$11)</f>
        <v>11.3208</v>
      </c>
      <c r="E426" s="12">
        <f>11.3296 * CHOOSE( CONTROL!$C$15, $D$11, 100%, $F$11)</f>
        <v>11.329599999999999</v>
      </c>
      <c r="F426" s="4">
        <f>11.9853 * CHOOSE(CONTROL!$C$15, $D$11, 100%, $F$11)</f>
        <v>11.985300000000001</v>
      </c>
      <c r="G426" s="8">
        <f>11.1293 * CHOOSE( CONTROL!$C$15, $D$11, 100%, $F$11)</f>
        <v>11.129300000000001</v>
      </c>
      <c r="H426" s="4">
        <f>12.0153 * CHOOSE(CONTROL!$C$15, $D$11, 100%, $F$11)</f>
        <v>12.0153</v>
      </c>
      <c r="I426" s="8">
        <f>11.0343 * CHOOSE(CONTROL!$C$15, $D$11, 100%, $F$11)</f>
        <v>11.0343</v>
      </c>
      <c r="J426" s="4">
        <f>10.9344 * CHOOSE(CONTROL!$C$15, $D$11, 100%, $F$11)</f>
        <v>10.9344</v>
      </c>
      <c r="K426" s="4"/>
      <c r="L426" s="9">
        <v>26.469899999999999</v>
      </c>
      <c r="M426" s="9">
        <v>10.8962</v>
      </c>
      <c r="N426" s="9">
        <v>4.4660000000000002</v>
      </c>
      <c r="O426" s="9">
        <v>0.33789999999999998</v>
      </c>
      <c r="P426" s="9">
        <v>1.1676</v>
      </c>
      <c r="Q426" s="9">
        <v>18.1877</v>
      </c>
      <c r="R426" s="9"/>
      <c r="S426" s="11"/>
    </row>
    <row r="427" spans="1:19" ht="15.75">
      <c r="A427" s="13">
        <v>54513</v>
      </c>
      <c r="B427" s="8">
        <f>11.1005 * CHOOSE(CONTROL!$C$15, $D$11, 100%, $F$11)</f>
        <v>11.1005</v>
      </c>
      <c r="C427" s="8">
        <f>11.1056 * CHOOSE(CONTROL!$C$15, $D$11, 100%, $F$11)</f>
        <v>11.105600000000001</v>
      </c>
      <c r="D427" s="8">
        <f>11.0799 * CHOOSE( CONTROL!$C$15, $D$11, 100%, $F$11)</f>
        <v>11.0799</v>
      </c>
      <c r="E427" s="12">
        <f>11.0888 * CHOOSE( CONTROL!$C$15, $D$11, 100%, $F$11)</f>
        <v>11.088800000000001</v>
      </c>
      <c r="F427" s="4">
        <f>11.7445 * CHOOSE(CONTROL!$C$15, $D$11, 100%, $F$11)</f>
        <v>11.7445</v>
      </c>
      <c r="G427" s="8">
        <f>10.8924 * CHOOSE( CONTROL!$C$15, $D$11, 100%, $F$11)</f>
        <v>10.8924</v>
      </c>
      <c r="H427" s="4">
        <f>11.7785 * CHOOSE(CONTROL!$C$15, $D$11, 100%, $F$11)</f>
        <v>11.778499999999999</v>
      </c>
      <c r="I427" s="8">
        <f>10.8011 * CHOOSE(CONTROL!$C$15, $D$11, 100%, $F$11)</f>
        <v>10.8011</v>
      </c>
      <c r="J427" s="4">
        <f>10.7017 * CHOOSE(CONTROL!$C$15, $D$11, 100%, $F$11)</f>
        <v>10.701700000000001</v>
      </c>
      <c r="K427" s="4"/>
      <c r="L427" s="9">
        <v>29.306000000000001</v>
      </c>
      <c r="M427" s="9">
        <v>12.063700000000001</v>
      </c>
      <c r="N427" s="9">
        <v>4.9444999999999997</v>
      </c>
      <c r="O427" s="9">
        <v>0.37409999999999999</v>
      </c>
      <c r="P427" s="9">
        <v>1.2927</v>
      </c>
      <c r="Q427" s="9">
        <v>20.136399999999998</v>
      </c>
      <c r="R427" s="9"/>
      <c r="S427" s="11"/>
    </row>
    <row r="428" spans="1:19" ht="15.75">
      <c r="A428" s="13">
        <v>54543</v>
      </c>
      <c r="B428" s="8">
        <f>11.2695 * CHOOSE(CONTROL!$C$15, $D$11, 100%, $F$11)</f>
        <v>11.269500000000001</v>
      </c>
      <c r="C428" s="8">
        <f>11.274 * CHOOSE(CONTROL!$C$15, $D$11, 100%, $F$11)</f>
        <v>11.273999999999999</v>
      </c>
      <c r="D428" s="8">
        <f>11.2851 * CHOOSE( CONTROL!$C$15, $D$11, 100%, $F$11)</f>
        <v>11.2851</v>
      </c>
      <c r="E428" s="12">
        <f>11.2809 * CHOOSE( CONTROL!$C$15, $D$11, 100%, $F$11)</f>
        <v>11.280900000000001</v>
      </c>
      <c r="F428" s="4">
        <f>11.9591 * CHOOSE(CONTROL!$C$15, $D$11, 100%, $F$11)</f>
        <v>11.959099999999999</v>
      </c>
      <c r="G428" s="8">
        <f>11.0507 * CHOOSE( CONTROL!$C$15, $D$11, 100%, $F$11)</f>
        <v>11.050700000000001</v>
      </c>
      <c r="H428" s="4">
        <f>11.9896 * CHOOSE(CONTROL!$C$15, $D$11, 100%, $F$11)</f>
        <v>11.989599999999999</v>
      </c>
      <c r="I428" s="8">
        <f>10.9589 * CHOOSE(CONTROL!$C$15, $D$11, 100%, $F$11)</f>
        <v>10.9589</v>
      </c>
      <c r="J428" s="4">
        <f>10.8643 * CHOOSE(CONTROL!$C$15, $D$11, 100%, $F$11)</f>
        <v>10.8643</v>
      </c>
      <c r="K428" s="4"/>
      <c r="L428" s="9">
        <v>30.092199999999998</v>
      </c>
      <c r="M428" s="9">
        <v>11.6745</v>
      </c>
      <c r="N428" s="9">
        <v>4.7850000000000001</v>
      </c>
      <c r="O428" s="9">
        <v>0.36199999999999999</v>
      </c>
      <c r="P428" s="9">
        <v>1.1791</v>
      </c>
      <c r="Q428" s="9">
        <v>19.486799999999999</v>
      </c>
      <c r="R428" s="9"/>
      <c r="S428" s="11"/>
    </row>
    <row r="429" spans="1:19" ht="15.75">
      <c r="A429" s="13">
        <v>54574</v>
      </c>
      <c r="B429" s="8">
        <f>CHOOSE( CONTROL!$C$32, 11.5739, 11.5703) * CHOOSE(CONTROL!$C$15, $D$11, 100%, $F$11)</f>
        <v>11.5739</v>
      </c>
      <c r="C429" s="8">
        <f>CHOOSE( CONTROL!$C$32, 11.5819, 11.5783) * CHOOSE(CONTROL!$C$15, $D$11, 100%, $F$11)</f>
        <v>11.581899999999999</v>
      </c>
      <c r="D429" s="8">
        <f>CHOOSE( CONTROL!$C$32, 11.5879, 11.5843) * CHOOSE( CONTROL!$C$15, $D$11, 100%, $F$11)</f>
        <v>11.587899999999999</v>
      </c>
      <c r="E429" s="12">
        <f>CHOOSE( CONTROL!$C$32, 11.5845, 11.5809) * CHOOSE( CONTROL!$C$15, $D$11, 100%, $F$11)</f>
        <v>11.5845</v>
      </c>
      <c r="F429" s="4">
        <f>CHOOSE( CONTROL!$C$32, 12.2622, 12.2586) * CHOOSE(CONTROL!$C$15, $D$11, 100%, $F$11)</f>
        <v>12.2622</v>
      </c>
      <c r="G429" s="8">
        <f>CHOOSE( CONTROL!$C$32, 11.3497, 11.3462) * CHOOSE( CONTROL!$C$15, $D$11, 100%, $F$11)</f>
        <v>11.3497</v>
      </c>
      <c r="H429" s="4">
        <f>CHOOSE( CONTROL!$C$32, 12.2876, 12.2841) * CHOOSE(CONTROL!$C$15, $D$11, 100%, $F$11)</f>
        <v>12.287599999999999</v>
      </c>
      <c r="I429" s="8">
        <f>CHOOSE( CONTROL!$C$32, 11.2529, 11.2494) * CHOOSE(CONTROL!$C$15, $D$11, 100%, $F$11)</f>
        <v>11.2529</v>
      </c>
      <c r="J429" s="4">
        <f>CHOOSE( CONTROL!$C$32, 11.1572, 11.1538) * CHOOSE(CONTROL!$C$15, $D$11, 100%, $F$11)</f>
        <v>11.1572</v>
      </c>
      <c r="K429" s="4"/>
      <c r="L429" s="9">
        <v>30.7165</v>
      </c>
      <c r="M429" s="9">
        <v>12.063700000000001</v>
      </c>
      <c r="N429" s="9">
        <v>4.9444999999999997</v>
      </c>
      <c r="O429" s="9">
        <v>0.37409999999999999</v>
      </c>
      <c r="P429" s="9">
        <v>1.2183999999999999</v>
      </c>
      <c r="Q429" s="9">
        <v>20.136399999999998</v>
      </c>
      <c r="R429" s="9"/>
      <c r="S429" s="11"/>
    </row>
    <row r="430" spans="1:19" ht="15.75">
      <c r="A430" s="13">
        <v>54604</v>
      </c>
      <c r="B430" s="8">
        <f>CHOOSE( CONTROL!$C$32, 11.3884, 11.3848) * CHOOSE(CONTROL!$C$15, $D$11, 100%, $F$11)</f>
        <v>11.388400000000001</v>
      </c>
      <c r="C430" s="8">
        <f>CHOOSE( CONTROL!$C$32, 11.3964, 11.3928) * CHOOSE(CONTROL!$C$15, $D$11, 100%, $F$11)</f>
        <v>11.3964</v>
      </c>
      <c r="D430" s="8">
        <f>CHOOSE( CONTROL!$C$32, 11.4027, 11.3991) * CHOOSE( CONTROL!$C$15, $D$11, 100%, $F$11)</f>
        <v>11.402699999999999</v>
      </c>
      <c r="E430" s="12">
        <f>CHOOSE( CONTROL!$C$32, 11.3992, 11.3956) * CHOOSE( CONTROL!$C$15, $D$11, 100%, $F$11)</f>
        <v>11.3992</v>
      </c>
      <c r="F430" s="4">
        <f>CHOOSE( CONTROL!$C$32, 12.0767, 12.0731) * CHOOSE(CONTROL!$C$15, $D$11, 100%, $F$11)</f>
        <v>12.076700000000001</v>
      </c>
      <c r="G430" s="8">
        <f>CHOOSE( CONTROL!$C$32, 11.1677, 11.1642) * CHOOSE( CONTROL!$C$15, $D$11, 100%, $F$11)</f>
        <v>11.1677</v>
      </c>
      <c r="H430" s="4">
        <f>CHOOSE( CONTROL!$C$32, 12.1052, 12.1017) * CHOOSE(CONTROL!$C$15, $D$11, 100%, $F$11)</f>
        <v>12.1052</v>
      </c>
      <c r="I430" s="8">
        <f>CHOOSE( CONTROL!$C$32, 11.0748, 11.0713) * CHOOSE(CONTROL!$C$15, $D$11, 100%, $F$11)</f>
        <v>11.0748</v>
      </c>
      <c r="J430" s="4">
        <f>CHOOSE( CONTROL!$C$32, 10.9779, 10.9745) * CHOOSE(CONTROL!$C$15, $D$11, 100%, $F$11)</f>
        <v>10.9779</v>
      </c>
      <c r="K430" s="4"/>
      <c r="L430" s="9">
        <v>29.7257</v>
      </c>
      <c r="M430" s="9">
        <v>11.6745</v>
      </c>
      <c r="N430" s="9">
        <v>4.7850000000000001</v>
      </c>
      <c r="O430" s="9">
        <v>0.36199999999999999</v>
      </c>
      <c r="P430" s="9">
        <v>1.1791</v>
      </c>
      <c r="Q430" s="9">
        <v>19.486799999999999</v>
      </c>
      <c r="R430" s="9"/>
      <c r="S430" s="11"/>
    </row>
    <row r="431" spans="1:19" ht="15.75">
      <c r="A431" s="13">
        <v>54635</v>
      </c>
      <c r="B431" s="8">
        <f>CHOOSE( CONTROL!$C$32, 11.8769, 11.8733) * CHOOSE(CONTROL!$C$15, $D$11, 100%, $F$11)</f>
        <v>11.876899999999999</v>
      </c>
      <c r="C431" s="8">
        <f>CHOOSE( CONTROL!$C$32, 11.8849, 11.8813) * CHOOSE(CONTROL!$C$15, $D$11, 100%, $F$11)</f>
        <v>11.8849</v>
      </c>
      <c r="D431" s="8">
        <f>CHOOSE( CONTROL!$C$32, 11.8915, 11.8879) * CHOOSE( CONTROL!$C$15, $D$11, 100%, $F$11)</f>
        <v>11.891500000000001</v>
      </c>
      <c r="E431" s="12">
        <f>CHOOSE( CONTROL!$C$32, 11.8879, 11.8843) * CHOOSE( CONTROL!$C$15, $D$11, 100%, $F$11)</f>
        <v>11.8879</v>
      </c>
      <c r="F431" s="4">
        <f>CHOOSE( CONTROL!$C$32, 12.5652, 12.5616) * CHOOSE(CONTROL!$C$15, $D$11, 100%, $F$11)</f>
        <v>12.565200000000001</v>
      </c>
      <c r="G431" s="8">
        <f>CHOOSE( CONTROL!$C$32, 11.6486, 11.6451) * CHOOSE( CONTROL!$C$15, $D$11, 100%, $F$11)</f>
        <v>11.6486</v>
      </c>
      <c r="H431" s="4">
        <f>CHOOSE( CONTROL!$C$32, 12.5856, 12.5821) * CHOOSE(CONTROL!$C$15, $D$11, 100%, $F$11)</f>
        <v>12.585599999999999</v>
      </c>
      <c r="I431" s="8">
        <f>CHOOSE( CONTROL!$C$32, 11.5487, 11.5453) * CHOOSE(CONTROL!$C$15, $D$11, 100%, $F$11)</f>
        <v>11.5487</v>
      </c>
      <c r="J431" s="4">
        <f>CHOOSE( CONTROL!$C$32, 11.4501, 11.4467) * CHOOSE(CONTROL!$C$15, $D$11, 100%, $F$11)</f>
        <v>11.450100000000001</v>
      </c>
      <c r="K431" s="4"/>
      <c r="L431" s="9">
        <v>30.7165</v>
      </c>
      <c r="M431" s="9">
        <v>12.063700000000001</v>
      </c>
      <c r="N431" s="9">
        <v>4.9444999999999997</v>
      </c>
      <c r="O431" s="9">
        <v>0.37409999999999999</v>
      </c>
      <c r="P431" s="9">
        <v>1.2183999999999999</v>
      </c>
      <c r="Q431" s="9">
        <v>20.136399999999998</v>
      </c>
      <c r="R431" s="9"/>
      <c r="S431" s="11"/>
    </row>
    <row r="432" spans="1:19" ht="15.75">
      <c r="A432" s="13">
        <v>54666</v>
      </c>
      <c r="B432" s="8">
        <f>CHOOSE( CONTROL!$C$32, 10.9628, 10.9593) * CHOOSE(CONTROL!$C$15, $D$11, 100%, $F$11)</f>
        <v>10.9628</v>
      </c>
      <c r="C432" s="8">
        <f>CHOOSE( CONTROL!$C$32, 10.9709, 10.9673) * CHOOSE(CONTROL!$C$15, $D$11, 100%, $F$11)</f>
        <v>10.9709</v>
      </c>
      <c r="D432" s="8">
        <f>CHOOSE( CONTROL!$C$32, 10.9775, 10.974) * CHOOSE( CONTROL!$C$15, $D$11, 100%, $F$11)</f>
        <v>10.977499999999999</v>
      </c>
      <c r="E432" s="12">
        <f>CHOOSE( CONTROL!$C$32, 10.9739, 10.9704) * CHOOSE( CONTROL!$C$15, $D$11, 100%, $F$11)</f>
        <v>10.9739</v>
      </c>
      <c r="F432" s="4">
        <f>CHOOSE( CONTROL!$C$32, 11.6511, 11.6475) * CHOOSE(CONTROL!$C$15, $D$11, 100%, $F$11)</f>
        <v>11.6511</v>
      </c>
      <c r="G432" s="8">
        <f>CHOOSE( CONTROL!$C$32, 10.7498, 10.7463) * CHOOSE( CONTROL!$C$15, $D$11, 100%, $F$11)</f>
        <v>10.7498</v>
      </c>
      <c r="H432" s="4">
        <f>CHOOSE( CONTROL!$C$32, 11.6867, 11.6832) * CHOOSE(CONTROL!$C$15, $D$11, 100%, $F$11)</f>
        <v>11.6867</v>
      </c>
      <c r="I432" s="8">
        <f>CHOOSE( CONTROL!$C$32, 10.6651, 10.6617) * CHOOSE(CONTROL!$C$15, $D$11, 100%, $F$11)</f>
        <v>10.665100000000001</v>
      </c>
      <c r="J432" s="4">
        <f>CHOOSE( CONTROL!$C$32, 10.5665, 10.5631) * CHOOSE(CONTROL!$C$15, $D$11, 100%, $F$11)</f>
        <v>10.5665</v>
      </c>
      <c r="K432" s="4"/>
      <c r="L432" s="9">
        <v>30.7165</v>
      </c>
      <c r="M432" s="9">
        <v>12.063700000000001</v>
      </c>
      <c r="N432" s="9">
        <v>4.9444999999999997</v>
      </c>
      <c r="O432" s="9">
        <v>0.37409999999999999</v>
      </c>
      <c r="P432" s="9">
        <v>1.2183999999999999</v>
      </c>
      <c r="Q432" s="9">
        <v>20.136399999999998</v>
      </c>
      <c r="R432" s="9"/>
      <c r="S432" s="11"/>
    </row>
    <row r="433" spans="1:19" ht="15.75">
      <c r="A433" s="13">
        <v>54696</v>
      </c>
      <c r="B433" s="8">
        <f>CHOOSE( CONTROL!$C$32, 10.734, 10.7304) * CHOOSE(CONTROL!$C$15, $D$11, 100%, $F$11)</f>
        <v>10.734</v>
      </c>
      <c r="C433" s="8">
        <f>CHOOSE( CONTROL!$C$32, 10.742, 10.7384) * CHOOSE(CONTROL!$C$15, $D$11, 100%, $F$11)</f>
        <v>10.742000000000001</v>
      </c>
      <c r="D433" s="8">
        <f>CHOOSE( CONTROL!$C$32, 10.7487, 10.7451) * CHOOSE( CONTROL!$C$15, $D$11, 100%, $F$11)</f>
        <v>10.748699999999999</v>
      </c>
      <c r="E433" s="12">
        <f>CHOOSE( CONTROL!$C$32, 10.7451, 10.7415) * CHOOSE( CONTROL!$C$15, $D$11, 100%, $F$11)</f>
        <v>10.745100000000001</v>
      </c>
      <c r="F433" s="4">
        <f>CHOOSE( CONTROL!$C$32, 11.4222, 11.4187) * CHOOSE(CONTROL!$C$15, $D$11, 100%, $F$11)</f>
        <v>11.4222</v>
      </c>
      <c r="G433" s="8">
        <f>CHOOSE( CONTROL!$C$32, 10.5248, 10.5212) * CHOOSE( CONTROL!$C$15, $D$11, 100%, $F$11)</f>
        <v>10.524800000000001</v>
      </c>
      <c r="H433" s="4">
        <f>CHOOSE( CONTROL!$C$32, 11.4616, 11.4581) * CHOOSE(CONTROL!$C$15, $D$11, 100%, $F$11)</f>
        <v>11.461600000000001</v>
      </c>
      <c r="I433" s="8">
        <f>CHOOSE( CONTROL!$C$32, 10.4438, 10.4403) * CHOOSE(CONTROL!$C$15, $D$11, 100%, $F$11)</f>
        <v>10.4438</v>
      </c>
      <c r="J433" s="4">
        <f>CHOOSE( CONTROL!$C$32, 10.3453, 10.3418) * CHOOSE(CONTROL!$C$15, $D$11, 100%, $F$11)</f>
        <v>10.3453</v>
      </c>
      <c r="K433" s="4"/>
      <c r="L433" s="9">
        <v>29.7257</v>
      </c>
      <c r="M433" s="9">
        <v>11.6745</v>
      </c>
      <c r="N433" s="9">
        <v>4.7850000000000001</v>
      </c>
      <c r="O433" s="9">
        <v>0.36199999999999999</v>
      </c>
      <c r="P433" s="9">
        <v>1.1791</v>
      </c>
      <c r="Q433" s="9">
        <v>19.486799999999999</v>
      </c>
      <c r="R433" s="9"/>
      <c r="S433" s="11"/>
    </row>
    <row r="434" spans="1:19" ht="15.75">
      <c r="A434" s="13">
        <v>54727</v>
      </c>
      <c r="B434" s="8">
        <f>11.2039 * CHOOSE(CONTROL!$C$15, $D$11, 100%, $F$11)</f>
        <v>11.203900000000001</v>
      </c>
      <c r="C434" s="8">
        <f>11.2093 * CHOOSE(CONTROL!$C$15, $D$11, 100%, $F$11)</f>
        <v>11.209300000000001</v>
      </c>
      <c r="D434" s="8">
        <f>11.2208 * CHOOSE( CONTROL!$C$15, $D$11, 100%, $F$11)</f>
        <v>11.220800000000001</v>
      </c>
      <c r="E434" s="12">
        <f>11.2164 * CHOOSE( CONTROL!$C$15, $D$11, 100%, $F$11)</f>
        <v>11.2164</v>
      </c>
      <c r="F434" s="4">
        <f>11.8939 * CHOOSE(CONTROL!$C$15, $D$11, 100%, $F$11)</f>
        <v>11.8939</v>
      </c>
      <c r="G434" s="8">
        <f>10.9881 * CHOOSE( CONTROL!$C$15, $D$11, 100%, $F$11)</f>
        <v>10.988099999999999</v>
      </c>
      <c r="H434" s="4">
        <f>11.9255 * CHOOSE(CONTROL!$C$15, $D$11, 100%, $F$11)</f>
        <v>11.9255</v>
      </c>
      <c r="I434" s="8">
        <f>10.9007 * CHOOSE(CONTROL!$C$15, $D$11, 100%, $F$11)</f>
        <v>10.900700000000001</v>
      </c>
      <c r="J434" s="4">
        <f>10.8013 * CHOOSE(CONTROL!$C$15, $D$11, 100%, $F$11)</f>
        <v>10.801299999999999</v>
      </c>
      <c r="K434" s="4"/>
      <c r="L434" s="9">
        <v>31.095300000000002</v>
      </c>
      <c r="M434" s="9">
        <v>12.063700000000001</v>
      </c>
      <c r="N434" s="9">
        <v>4.9444999999999997</v>
      </c>
      <c r="O434" s="9">
        <v>0.37409999999999999</v>
      </c>
      <c r="P434" s="9">
        <v>1.2183999999999999</v>
      </c>
      <c r="Q434" s="9">
        <v>20.136399999999998</v>
      </c>
      <c r="R434" s="9"/>
      <c r="S434" s="11"/>
    </row>
    <row r="435" spans="1:19" ht="15.75">
      <c r="A435" s="13">
        <v>54757</v>
      </c>
      <c r="B435" s="8">
        <f>12.0807 * CHOOSE(CONTROL!$C$15, $D$11, 100%, $F$11)</f>
        <v>12.0807</v>
      </c>
      <c r="C435" s="8">
        <f>12.0858 * CHOOSE(CONTROL!$C$15, $D$11, 100%, $F$11)</f>
        <v>12.085800000000001</v>
      </c>
      <c r="D435" s="8">
        <f>12.0628 * CHOOSE( CONTROL!$C$15, $D$11, 100%, $F$11)</f>
        <v>12.062799999999999</v>
      </c>
      <c r="E435" s="12">
        <f>12.0707 * CHOOSE( CONTROL!$C$15, $D$11, 100%, $F$11)</f>
        <v>12.0707</v>
      </c>
      <c r="F435" s="4">
        <f>12.7256 * CHOOSE(CONTROL!$C$15, $D$11, 100%, $F$11)</f>
        <v>12.7256</v>
      </c>
      <c r="G435" s="8">
        <f>11.8616 * CHOOSE( CONTROL!$C$15, $D$11, 100%, $F$11)</f>
        <v>11.861599999999999</v>
      </c>
      <c r="H435" s="4">
        <f>12.7434 * CHOOSE(CONTROL!$C$15, $D$11, 100%, $F$11)</f>
        <v>12.743399999999999</v>
      </c>
      <c r="I435" s="8">
        <f>11.7738 * CHOOSE(CONTROL!$C$15, $D$11, 100%, $F$11)</f>
        <v>11.7738</v>
      </c>
      <c r="J435" s="4">
        <f>11.6493 * CHOOSE(CONTROL!$C$15, $D$11, 100%, $F$11)</f>
        <v>11.6493</v>
      </c>
      <c r="K435" s="4"/>
      <c r="L435" s="9">
        <v>28.360600000000002</v>
      </c>
      <c r="M435" s="9">
        <v>11.6745</v>
      </c>
      <c r="N435" s="9">
        <v>4.7850000000000001</v>
      </c>
      <c r="O435" s="9">
        <v>0.36199999999999999</v>
      </c>
      <c r="P435" s="9">
        <v>1.2509999999999999</v>
      </c>
      <c r="Q435" s="9">
        <v>19.486799999999999</v>
      </c>
      <c r="R435" s="9"/>
      <c r="S435" s="11"/>
    </row>
    <row r="436" spans="1:19" ht="15.75">
      <c r="A436" s="13">
        <v>54788</v>
      </c>
      <c r="B436" s="8">
        <f>12.0588 * CHOOSE(CONTROL!$C$15, $D$11, 100%, $F$11)</f>
        <v>12.0588</v>
      </c>
      <c r="C436" s="8">
        <f>12.0639 * CHOOSE(CONTROL!$C$15, $D$11, 100%, $F$11)</f>
        <v>12.0639</v>
      </c>
      <c r="D436" s="8">
        <f>12.0422 * CHOOSE( CONTROL!$C$15, $D$11, 100%, $F$11)</f>
        <v>12.042199999999999</v>
      </c>
      <c r="E436" s="12">
        <f>12.0496 * CHOOSE( CONTROL!$C$15, $D$11, 100%, $F$11)</f>
        <v>12.0496</v>
      </c>
      <c r="F436" s="4">
        <f>12.7037 * CHOOSE(CONTROL!$C$15, $D$11, 100%, $F$11)</f>
        <v>12.7037</v>
      </c>
      <c r="G436" s="8">
        <f>11.841 * CHOOSE( CONTROL!$C$15, $D$11, 100%, $F$11)</f>
        <v>11.840999999999999</v>
      </c>
      <c r="H436" s="4">
        <f>12.7218 * CHOOSE(CONTROL!$C$15, $D$11, 100%, $F$11)</f>
        <v>12.7218</v>
      </c>
      <c r="I436" s="8">
        <f>11.7569 * CHOOSE(CONTROL!$C$15, $D$11, 100%, $F$11)</f>
        <v>11.7569</v>
      </c>
      <c r="J436" s="4">
        <f>11.6281 * CHOOSE(CONTROL!$C$15, $D$11, 100%, $F$11)</f>
        <v>11.6281</v>
      </c>
      <c r="K436" s="4"/>
      <c r="L436" s="9">
        <v>29.306000000000001</v>
      </c>
      <c r="M436" s="9">
        <v>12.063700000000001</v>
      </c>
      <c r="N436" s="9">
        <v>4.9444999999999997</v>
      </c>
      <c r="O436" s="9">
        <v>0.37409999999999999</v>
      </c>
      <c r="P436" s="9">
        <v>1.2927</v>
      </c>
      <c r="Q436" s="9">
        <v>20.136399999999998</v>
      </c>
      <c r="R436" s="9"/>
      <c r="S436" s="11"/>
    </row>
    <row r="437" spans="1:19" ht="15.75">
      <c r="A437" s="13">
        <v>54819</v>
      </c>
      <c r="B437" s="8">
        <f>12.5185 * CHOOSE(CONTROL!$C$15, $D$11, 100%, $F$11)</f>
        <v>12.5185</v>
      </c>
      <c r="C437" s="8">
        <f>12.5236 * CHOOSE(CONTROL!$C$15, $D$11, 100%, $F$11)</f>
        <v>12.5236</v>
      </c>
      <c r="D437" s="8">
        <f>12.4978 * CHOOSE( CONTROL!$C$15, $D$11, 100%, $F$11)</f>
        <v>12.4978</v>
      </c>
      <c r="E437" s="12">
        <f>12.5067 * CHOOSE( CONTROL!$C$15, $D$11, 100%, $F$11)</f>
        <v>12.5067</v>
      </c>
      <c r="F437" s="4">
        <f>13.1626 * CHOOSE(CONTROL!$C$15, $D$11, 100%, $F$11)</f>
        <v>13.162599999999999</v>
      </c>
      <c r="G437" s="8">
        <f>12.2868 * CHOOSE( CONTROL!$C$15, $D$11, 100%, $F$11)</f>
        <v>12.286799999999999</v>
      </c>
      <c r="H437" s="4">
        <f>13.1731 * CHOOSE(CONTROL!$C$15, $D$11, 100%, $F$11)</f>
        <v>13.1731</v>
      </c>
      <c r="I437" s="8">
        <f>12.1721 * CHOOSE(CONTROL!$C$15, $D$11, 100%, $F$11)</f>
        <v>12.1721</v>
      </c>
      <c r="J437" s="4">
        <f>12.0725 * CHOOSE(CONTROL!$C$15, $D$11, 100%, $F$11)</f>
        <v>12.0725</v>
      </c>
      <c r="K437" s="4"/>
      <c r="L437" s="9">
        <v>29.306000000000001</v>
      </c>
      <c r="M437" s="9">
        <v>12.063700000000001</v>
      </c>
      <c r="N437" s="9">
        <v>4.9444999999999997</v>
      </c>
      <c r="O437" s="9">
        <v>0.37409999999999999</v>
      </c>
      <c r="P437" s="9">
        <v>1.2927</v>
      </c>
      <c r="Q437" s="9">
        <v>20.071300000000001</v>
      </c>
      <c r="R437" s="9"/>
      <c r="S437" s="11"/>
    </row>
    <row r="438" spans="1:19" ht="15.75">
      <c r="A438" s="13">
        <v>54847</v>
      </c>
      <c r="B438" s="8">
        <f>11.7112 * CHOOSE(CONTROL!$C$15, $D$11, 100%, $F$11)</f>
        <v>11.7112</v>
      </c>
      <c r="C438" s="8">
        <f>11.7163 * CHOOSE(CONTROL!$C$15, $D$11, 100%, $F$11)</f>
        <v>11.7163</v>
      </c>
      <c r="D438" s="8">
        <f>11.6907 * CHOOSE( CONTROL!$C$15, $D$11, 100%, $F$11)</f>
        <v>11.6907</v>
      </c>
      <c r="E438" s="12">
        <f>11.6995 * CHOOSE( CONTROL!$C$15, $D$11, 100%, $F$11)</f>
        <v>11.6995</v>
      </c>
      <c r="F438" s="4">
        <f>12.3552 * CHOOSE(CONTROL!$C$15, $D$11, 100%, $F$11)</f>
        <v>12.3552</v>
      </c>
      <c r="G438" s="8">
        <f>11.493 * CHOOSE( CONTROL!$C$15, $D$11, 100%, $F$11)</f>
        <v>11.493</v>
      </c>
      <c r="H438" s="4">
        <f>12.3791 * CHOOSE(CONTROL!$C$15, $D$11, 100%, $F$11)</f>
        <v>12.379099999999999</v>
      </c>
      <c r="I438" s="8">
        <f>11.392 * CHOOSE(CONTROL!$C$15, $D$11, 100%, $F$11)</f>
        <v>11.391999999999999</v>
      </c>
      <c r="J438" s="4">
        <f>11.292 * CHOOSE(CONTROL!$C$15, $D$11, 100%, $F$11)</f>
        <v>11.292</v>
      </c>
      <c r="K438" s="4"/>
      <c r="L438" s="9">
        <v>26.469899999999999</v>
      </c>
      <c r="M438" s="9">
        <v>10.8962</v>
      </c>
      <c r="N438" s="9">
        <v>4.4660000000000002</v>
      </c>
      <c r="O438" s="9">
        <v>0.33789999999999998</v>
      </c>
      <c r="P438" s="9">
        <v>1.1676</v>
      </c>
      <c r="Q438" s="9">
        <v>18.128900000000002</v>
      </c>
      <c r="R438" s="9"/>
      <c r="S438" s="11"/>
    </row>
    <row r="439" spans="1:19" ht="15.75">
      <c r="A439" s="13">
        <v>54878</v>
      </c>
      <c r="B439" s="8">
        <f>11.4625 * CHOOSE(CONTROL!$C$15, $D$11, 100%, $F$11)</f>
        <v>11.4625</v>
      </c>
      <c r="C439" s="8">
        <f>11.4676 * CHOOSE(CONTROL!$C$15, $D$11, 100%, $F$11)</f>
        <v>11.467599999999999</v>
      </c>
      <c r="D439" s="8">
        <f>11.442 * CHOOSE( CONTROL!$C$15, $D$11, 100%, $F$11)</f>
        <v>11.442</v>
      </c>
      <c r="E439" s="12">
        <f>11.4508 * CHOOSE( CONTROL!$C$15, $D$11, 100%, $F$11)</f>
        <v>11.450799999999999</v>
      </c>
      <c r="F439" s="4">
        <f>12.1065 * CHOOSE(CONTROL!$C$15, $D$11, 100%, $F$11)</f>
        <v>12.1065</v>
      </c>
      <c r="G439" s="8">
        <f>11.2484 * CHOOSE( CONTROL!$C$15, $D$11, 100%, $F$11)</f>
        <v>11.2484</v>
      </c>
      <c r="H439" s="4">
        <f>12.1346 * CHOOSE(CONTROL!$C$15, $D$11, 100%, $F$11)</f>
        <v>12.134600000000001</v>
      </c>
      <c r="I439" s="8">
        <f>11.1513 * CHOOSE(CONTROL!$C$15, $D$11, 100%, $F$11)</f>
        <v>11.151300000000001</v>
      </c>
      <c r="J439" s="4">
        <f>11.0516 * CHOOSE(CONTROL!$C$15, $D$11, 100%, $F$11)</f>
        <v>11.051600000000001</v>
      </c>
      <c r="K439" s="4"/>
      <c r="L439" s="9">
        <v>29.306000000000001</v>
      </c>
      <c r="M439" s="9">
        <v>12.063700000000001</v>
      </c>
      <c r="N439" s="9">
        <v>4.9444999999999997</v>
      </c>
      <c r="O439" s="9">
        <v>0.37409999999999999</v>
      </c>
      <c r="P439" s="9">
        <v>1.2927</v>
      </c>
      <c r="Q439" s="9">
        <v>20.071300000000001</v>
      </c>
      <c r="R439" s="9"/>
      <c r="S439" s="11"/>
    </row>
    <row r="440" spans="1:19" ht="15.75">
      <c r="A440" s="13">
        <v>54908</v>
      </c>
      <c r="B440" s="8">
        <f>11.637 * CHOOSE(CONTROL!$C$15, $D$11, 100%, $F$11)</f>
        <v>11.637</v>
      </c>
      <c r="C440" s="8">
        <f>11.6416 * CHOOSE(CONTROL!$C$15, $D$11, 100%, $F$11)</f>
        <v>11.6416</v>
      </c>
      <c r="D440" s="8">
        <f>11.6526 * CHOOSE( CONTROL!$C$15, $D$11, 100%, $F$11)</f>
        <v>11.6526</v>
      </c>
      <c r="E440" s="12">
        <f>11.6484 * CHOOSE( CONTROL!$C$15, $D$11, 100%, $F$11)</f>
        <v>11.648400000000001</v>
      </c>
      <c r="F440" s="4">
        <f>12.3267 * CHOOSE(CONTROL!$C$15, $D$11, 100%, $F$11)</f>
        <v>12.326700000000001</v>
      </c>
      <c r="G440" s="8">
        <f>11.4122 * CHOOSE( CONTROL!$C$15, $D$11, 100%, $F$11)</f>
        <v>11.4122</v>
      </c>
      <c r="H440" s="4">
        <f>12.351 * CHOOSE(CONTROL!$C$15, $D$11, 100%, $F$11)</f>
        <v>12.351000000000001</v>
      </c>
      <c r="I440" s="8">
        <f>11.3144 * CHOOSE(CONTROL!$C$15, $D$11, 100%, $F$11)</f>
        <v>11.314399999999999</v>
      </c>
      <c r="J440" s="4">
        <f>11.2196 * CHOOSE(CONTROL!$C$15, $D$11, 100%, $F$11)</f>
        <v>11.2196</v>
      </c>
      <c r="K440" s="4"/>
      <c r="L440" s="9">
        <v>30.092199999999998</v>
      </c>
      <c r="M440" s="9">
        <v>11.6745</v>
      </c>
      <c r="N440" s="9">
        <v>4.7850000000000001</v>
      </c>
      <c r="O440" s="9">
        <v>0.36199999999999999</v>
      </c>
      <c r="P440" s="9">
        <v>1.1791</v>
      </c>
      <c r="Q440" s="9">
        <v>19.4238</v>
      </c>
      <c r="R440" s="9"/>
      <c r="S440" s="11"/>
    </row>
    <row r="441" spans="1:19" ht="15.75">
      <c r="A441" s="13">
        <v>54939</v>
      </c>
      <c r="B441" s="8">
        <f>CHOOSE( CONTROL!$C$32, 11.9512, 11.9477) * CHOOSE(CONTROL!$C$15, $D$11, 100%, $F$11)</f>
        <v>11.9512</v>
      </c>
      <c r="C441" s="8">
        <f>CHOOSE( CONTROL!$C$32, 11.9592, 11.9557) * CHOOSE(CONTROL!$C$15, $D$11, 100%, $F$11)</f>
        <v>11.959199999999999</v>
      </c>
      <c r="D441" s="8">
        <f>CHOOSE( CONTROL!$C$32, 11.9652, 11.9617) * CHOOSE( CONTROL!$C$15, $D$11, 100%, $F$11)</f>
        <v>11.965199999999999</v>
      </c>
      <c r="E441" s="12">
        <f>CHOOSE( CONTROL!$C$32, 11.9618, 11.9583) * CHOOSE( CONTROL!$C$15, $D$11, 100%, $F$11)</f>
        <v>11.9618</v>
      </c>
      <c r="F441" s="4">
        <f>CHOOSE( CONTROL!$C$32, 12.6395, 12.6359) * CHOOSE(CONTROL!$C$15, $D$11, 100%, $F$11)</f>
        <v>12.6395</v>
      </c>
      <c r="G441" s="8">
        <f>CHOOSE( CONTROL!$C$32, 11.7208, 11.7173) * CHOOSE( CONTROL!$C$15, $D$11, 100%, $F$11)</f>
        <v>11.720800000000001</v>
      </c>
      <c r="H441" s="4">
        <f>CHOOSE( CONTROL!$C$32, 12.6587, 12.6552) * CHOOSE(CONTROL!$C$15, $D$11, 100%, $F$11)</f>
        <v>12.6587</v>
      </c>
      <c r="I441" s="8">
        <f>CHOOSE( CONTROL!$C$32, 11.6178, 11.6144) * CHOOSE(CONTROL!$C$15, $D$11, 100%, $F$11)</f>
        <v>11.617800000000001</v>
      </c>
      <c r="J441" s="4">
        <f>CHOOSE( CONTROL!$C$32, 11.522, 11.5186) * CHOOSE(CONTROL!$C$15, $D$11, 100%, $F$11)</f>
        <v>11.522</v>
      </c>
      <c r="K441" s="4"/>
      <c r="L441" s="9">
        <v>30.7165</v>
      </c>
      <c r="M441" s="9">
        <v>12.063700000000001</v>
      </c>
      <c r="N441" s="9">
        <v>4.9444999999999997</v>
      </c>
      <c r="O441" s="9">
        <v>0.37409999999999999</v>
      </c>
      <c r="P441" s="9">
        <v>1.2183999999999999</v>
      </c>
      <c r="Q441" s="9">
        <v>20.071300000000001</v>
      </c>
      <c r="R441" s="9"/>
      <c r="S441" s="11"/>
    </row>
    <row r="442" spans="1:19" ht="15.75">
      <c r="A442" s="13">
        <v>54969</v>
      </c>
      <c r="B442" s="8">
        <f>CHOOSE( CONTROL!$C$32, 11.7597, 11.7561) * CHOOSE(CONTROL!$C$15, $D$11, 100%, $F$11)</f>
        <v>11.7597</v>
      </c>
      <c r="C442" s="8">
        <f>CHOOSE( CONTROL!$C$32, 11.7677, 11.7641) * CHOOSE(CONTROL!$C$15, $D$11, 100%, $F$11)</f>
        <v>11.7677</v>
      </c>
      <c r="D442" s="8">
        <f>CHOOSE( CONTROL!$C$32, 11.774, 11.7704) * CHOOSE( CONTROL!$C$15, $D$11, 100%, $F$11)</f>
        <v>11.773999999999999</v>
      </c>
      <c r="E442" s="12">
        <f>CHOOSE( CONTROL!$C$32, 11.7705, 11.7669) * CHOOSE( CONTROL!$C$15, $D$11, 100%, $F$11)</f>
        <v>11.7705</v>
      </c>
      <c r="F442" s="4">
        <f>CHOOSE( CONTROL!$C$32, 12.4479, 12.4444) * CHOOSE(CONTROL!$C$15, $D$11, 100%, $F$11)</f>
        <v>12.447900000000001</v>
      </c>
      <c r="G442" s="8">
        <f>CHOOSE( CONTROL!$C$32, 11.5328, 11.5293) * CHOOSE( CONTROL!$C$15, $D$11, 100%, $F$11)</f>
        <v>11.5328</v>
      </c>
      <c r="H442" s="4">
        <f>CHOOSE( CONTROL!$C$32, 12.4703, 12.4668) * CHOOSE(CONTROL!$C$15, $D$11, 100%, $F$11)</f>
        <v>12.4703</v>
      </c>
      <c r="I442" s="8">
        <f>CHOOSE( CONTROL!$C$32, 11.4339, 11.4304) * CHOOSE(CONTROL!$C$15, $D$11, 100%, $F$11)</f>
        <v>11.4339</v>
      </c>
      <c r="J442" s="4">
        <f>CHOOSE( CONTROL!$C$32, 11.3368, 11.3334) * CHOOSE(CONTROL!$C$15, $D$11, 100%, $F$11)</f>
        <v>11.3368</v>
      </c>
      <c r="K442" s="4"/>
      <c r="L442" s="9">
        <v>29.7257</v>
      </c>
      <c r="M442" s="9">
        <v>11.6745</v>
      </c>
      <c r="N442" s="9">
        <v>4.7850000000000001</v>
      </c>
      <c r="O442" s="9">
        <v>0.36199999999999999</v>
      </c>
      <c r="P442" s="9">
        <v>1.1791</v>
      </c>
      <c r="Q442" s="9">
        <v>19.4238</v>
      </c>
      <c r="R442" s="9"/>
      <c r="S442" s="11"/>
    </row>
    <row r="443" spans="1:19" ht="15.75">
      <c r="A443" s="13">
        <v>55000</v>
      </c>
      <c r="B443" s="8">
        <f>CHOOSE( CONTROL!$C$32, 12.2641, 12.2606) * CHOOSE(CONTROL!$C$15, $D$11, 100%, $F$11)</f>
        <v>12.264099999999999</v>
      </c>
      <c r="C443" s="8">
        <f>CHOOSE( CONTROL!$C$32, 12.2721, 12.2686) * CHOOSE(CONTROL!$C$15, $D$11, 100%, $F$11)</f>
        <v>12.2721</v>
      </c>
      <c r="D443" s="8">
        <f>CHOOSE( CONTROL!$C$32, 12.2787, 12.2752) * CHOOSE( CONTROL!$C$15, $D$11, 100%, $F$11)</f>
        <v>12.278700000000001</v>
      </c>
      <c r="E443" s="12">
        <f>CHOOSE( CONTROL!$C$32, 12.2751, 12.2716) * CHOOSE( CONTROL!$C$15, $D$11, 100%, $F$11)</f>
        <v>12.2751</v>
      </c>
      <c r="F443" s="4">
        <f>CHOOSE( CONTROL!$C$32, 12.9524, 12.9488) * CHOOSE(CONTROL!$C$15, $D$11, 100%, $F$11)</f>
        <v>12.952400000000001</v>
      </c>
      <c r="G443" s="8">
        <f>CHOOSE( CONTROL!$C$32, 12.0294, 12.0259) * CHOOSE( CONTROL!$C$15, $D$11, 100%, $F$11)</f>
        <v>12.029400000000001</v>
      </c>
      <c r="H443" s="4">
        <f>CHOOSE( CONTROL!$C$32, 12.9664, 12.9629) * CHOOSE(CONTROL!$C$15, $D$11, 100%, $F$11)</f>
        <v>12.9664</v>
      </c>
      <c r="I443" s="8">
        <f>CHOOSE( CONTROL!$C$32, 11.9233, 11.9198) * CHOOSE(CONTROL!$C$15, $D$11, 100%, $F$11)</f>
        <v>11.923299999999999</v>
      </c>
      <c r="J443" s="4">
        <f>CHOOSE( CONTROL!$C$32, 11.8245, 11.8211) * CHOOSE(CONTROL!$C$15, $D$11, 100%, $F$11)</f>
        <v>11.8245</v>
      </c>
      <c r="K443" s="4"/>
      <c r="L443" s="9">
        <v>30.7165</v>
      </c>
      <c r="M443" s="9">
        <v>12.063700000000001</v>
      </c>
      <c r="N443" s="9">
        <v>4.9444999999999997</v>
      </c>
      <c r="O443" s="9">
        <v>0.37409999999999999</v>
      </c>
      <c r="P443" s="9">
        <v>1.2183999999999999</v>
      </c>
      <c r="Q443" s="9">
        <v>20.071300000000001</v>
      </c>
      <c r="R443" s="9"/>
      <c r="S443" s="11"/>
    </row>
    <row r="444" spans="1:19" ht="15.75">
      <c r="A444" s="13">
        <v>55031</v>
      </c>
      <c r="B444" s="8">
        <f>CHOOSE( CONTROL!$C$32, 11.3202, 11.3166) * CHOOSE(CONTROL!$C$15, $D$11, 100%, $F$11)</f>
        <v>11.3202</v>
      </c>
      <c r="C444" s="8">
        <f>CHOOSE( CONTROL!$C$32, 11.3282, 11.3246) * CHOOSE(CONTROL!$C$15, $D$11, 100%, $F$11)</f>
        <v>11.328200000000001</v>
      </c>
      <c r="D444" s="8">
        <f>CHOOSE( CONTROL!$C$32, 11.3349, 11.3313) * CHOOSE( CONTROL!$C$15, $D$11, 100%, $F$11)</f>
        <v>11.334899999999999</v>
      </c>
      <c r="E444" s="12">
        <f>CHOOSE( CONTROL!$C$32, 11.3313, 11.3277) * CHOOSE( CONTROL!$C$15, $D$11, 100%, $F$11)</f>
        <v>11.331300000000001</v>
      </c>
      <c r="F444" s="4">
        <f>CHOOSE( CONTROL!$C$32, 12.0085, 12.0049) * CHOOSE(CONTROL!$C$15, $D$11, 100%, $F$11)</f>
        <v>12.0085</v>
      </c>
      <c r="G444" s="8">
        <f>CHOOSE( CONTROL!$C$32, 11.1013, 11.0978) * CHOOSE( CONTROL!$C$15, $D$11, 100%, $F$11)</f>
        <v>11.1013</v>
      </c>
      <c r="H444" s="4">
        <f>CHOOSE( CONTROL!$C$32, 12.0381, 12.0346) * CHOOSE(CONTROL!$C$15, $D$11, 100%, $F$11)</f>
        <v>12.0381</v>
      </c>
      <c r="I444" s="8">
        <f>CHOOSE( CONTROL!$C$32, 11.0108, 11.0073) * CHOOSE(CONTROL!$C$15, $D$11, 100%, $F$11)</f>
        <v>11.0108</v>
      </c>
      <c r="J444" s="4">
        <f>CHOOSE( CONTROL!$C$32, 10.912, 10.9086) * CHOOSE(CONTROL!$C$15, $D$11, 100%, $F$11)</f>
        <v>10.912000000000001</v>
      </c>
      <c r="K444" s="4"/>
      <c r="L444" s="9">
        <v>30.7165</v>
      </c>
      <c r="M444" s="9">
        <v>12.063700000000001</v>
      </c>
      <c r="N444" s="9">
        <v>4.9444999999999997</v>
      </c>
      <c r="O444" s="9">
        <v>0.37409999999999999</v>
      </c>
      <c r="P444" s="9">
        <v>1.2183999999999999</v>
      </c>
      <c r="Q444" s="9">
        <v>20.071300000000001</v>
      </c>
      <c r="R444" s="9"/>
      <c r="S444" s="11"/>
    </row>
    <row r="445" spans="1:19" ht="15.75">
      <c r="A445" s="13">
        <v>55061</v>
      </c>
      <c r="B445" s="8">
        <f>CHOOSE( CONTROL!$C$32, 11.0838, 11.0803) * CHOOSE(CONTROL!$C$15, $D$11, 100%, $F$11)</f>
        <v>11.0838</v>
      </c>
      <c r="C445" s="8">
        <f>CHOOSE( CONTROL!$C$32, 11.0918, 11.0883) * CHOOSE(CONTROL!$C$15, $D$11, 100%, $F$11)</f>
        <v>11.091799999999999</v>
      </c>
      <c r="D445" s="8">
        <f>CHOOSE( CONTROL!$C$32, 11.0985, 11.095) * CHOOSE( CONTROL!$C$15, $D$11, 100%, $F$11)</f>
        <v>11.0985</v>
      </c>
      <c r="E445" s="12">
        <f>CHOOSE( CONTROL!$C$32, 11.0949, 11.0914) * CHOOSE( CONTROL!$C$15, $D$11, 100%, $F$11)</f>
        <v>11.094900000000001</v>
      </c>
      <c r="F445" s="4">
        <f>CHOOSE( CONTROL!$C$32, 11.7721, 11.7685) * CHOOSE(CONTROL!$C$15, $D$11, 100%, $F$11)</f>
        <v>11.7721</v>
      </c>
      <c r="G445" s="8">
        <f>CHOOSE( CONTROL!$C$32, 10.8688, 10.8653) * CHOOSE( CONTROL!$C$15, $D$11, 100%, $F$11)</f>
        <v>10.8688</v>
      </c>
      <c r="H445" s="4">
        <f>CHOOSE( CONTROL!$C$32, 11.8057, 11.8022) * CHOOSE(CONTROL!$C$15, $D$11, 100%, $F$11)</f>
        <v>11.8057</v>
      </c>
      <c r="I445" s="8">
        <f>CHOOSE( CONTROL!$C$32, 10.7822, 10.7787) * CHOOSE(CONTROL!$C$15, $D$11, 100%, $F$11)</f>
        <v>10.7822</v>
      </c>
      <c r="J445" s="4">
        <f>CHOOSE( CONTROL!$C$32, 10.6835, 10.6801) * CHOOSE(CONTROL!$C$15, $D$11, 100%, $F$11)</f>
        <v>10.6835</v>
      </c>
      <c r="K445" s="4"/>
      <c r="L445" s="9">
        <v>29.7257</v>
      </c>
      <c r="M445" s="9">
        <v>11.6745</v>
      </c>
      <c r="N445" s="9">
        <v>4.7850000000000001</v>
      </c>
      <c r="O445" s="9">
        <v>0.36199999999999999</v>
      </c>
      <c r="P445" s="9">
        <v>1.1791</v>
      </c>
      <c r="Q445" s="9">
        <v>19.4238</v>
      </c>
      <c r="R445" s="9"/>
      <c r="S445" s="11"/>
    </row>
    <row r="446" spans="1:19" ht="15.75">
      <c r="A446" s="13">
        <v>55092</v>
      </c>
      <c r="B446" s="8">
        <f>11.5693 * CHOOSE(CONTROL!$C$15, $D$11, 100%, $F$11)</f>
        <v>11.5693</v>
      </c>
      <c r="C446" s="8">
        <f>11.5747 * CHOOSE(CONTROL!$C$15, $D$11, 100%, $F$11)</f>
        <v>11.5747</v>
      </c>
      <c r="D446" s="8">
        <f>11.5862 * CHOOSE( CONTROL!$C$15, $D$11, 100%, $F$11)</f>
        <v>11.5862</v>
      </c>
      <c r="E446" s="12">
        <f>11.5818 * CHOOSE( CONTROL!$C$15, $D$11, 100%, $F$11)</f>
        <v>11.581799999999999</v>
      </c>
      <c r="F446" s="4">
        <f>12.2593 * CHOOSE(CONTROL!$C$15, $D$11, 100%, $F$11)</f>
        <v>12.2593</v>
      </c>
      <c r="G446" s="8">
        <f>11.3475 * CHOOSE( CONTROL!$C$15, $D$11, 100%, $F$11)</f>
        <v>11.3475</v>
      </c>
      <c r="H446" s="4">
        <f>12.2848 * CHOOSE(CONTROL!$C$15, $D$11, 100%, $F$11)</f>
        <v>12.284800000000001</v>
      </c>
      <c r="I446" s="8">
        <f>11.2541 * CHOOSE(CONTROL!$C$15, $D$11, 100%, $F$11)</f>
        <v>11.254099999999999</v>
      </c>
      <c r="J446" s="4">
        <f>11.1545 * CHOOSE(CONTROL!$C$15, $D$11, 100%, $F$11)</f>
        <v>11.154500000000001</v>
      </c>
      <c r="K446" s="4"/>
      <c r="L446" s="9">
        <v>31.095300000000002</v>
      </c>
      <c r="M446" s="9">
        <v>12.063700000000001</v>
      </c>
      <c r="N446" s="9">
        <v>4.9444999999999997</v>
      </c>
      <c r="O446" s="9">
        <v>0.37409999999999999</v>
      </c>
      <c r="P446" s="9">
        <v>1.2183999999999999</v>
      </c>
      <c r="Q446" s="9">
        <v>20.071300000000001</v>
      </c>
      <c r="R446" s="9"/>
      <c r="S446" s="11"/>
    </row>
    <row r="447" spans="1:19" ht="15.75">
      <c r="A447" s="13">
        <v>55122</v>
      </c>
      <c r="B447" s="8">
        <f>12.4748 * CHOOSE(CONTROL!$C$15, $D$11, 100%, $F$11)</f>
        <v>12.4748</v>
      </c>
      <c r="C447" s="8">
        <f>12.4799 * CHOOSE(CONTROL!$C$15, $D$11, 100%, $F$11)</f>
        <v>12.479900000000001</v>
      </c>
      <c r="D447" s="8">
        <f>12.4569 * CHOOSE( CONTROL!$C$15, $D$11, 100%, $F$11)</f>
        <v>12.456899999999999</v>
      </c>
      <c r="E447" s="12">
        <f>12.4648 * CHOOSE( CONTROL!$C$15, $D$11, 100%, $F$11)</f>
        <v>12.4648</v>
      </c>
      <c r="F447" s="4">
        <f>13.1197 * CHOOSE(CONTROL!$C$15, $D$11, 100%, $F$11)</f>
        <v>13.1197</v>
      </c>
      <c r="G447" s="8">
        <f>12.2491 * CHOOSE( CONTROL!$C$15, $D$11, 100%, $F$11)</f>
        <v>12.2491</v>
      </c>
      <c r="H447" s="4">
        <f>13.1309 * CHOOSE(CONTROL!$C$15, $D$11, 100%, $F$11)</f>
        <v>13.1309</v>
      </c>
      <c r="I447" s="8">
        <f>12.1549 * CHOOSE(CONTROL!$C$15, $D$11, 100%, $F$11)</f>
        <v>12.1549</v>
      </c>
      <c r="J447" s="4">
        <f>12.0302 * CHOOSE(CONTROL!$C$15, $D$11, 100%, $F$11)</f>
        <v>12.030200000000001</v>
      </c>
      <c r="K447" s="4"/>
      <c r="L447" s="9">
        <v>28.360600000000002</v>
      </c>
      <c r="M447" s="9">
        <v>11.6745</v>
      </c>
      <c r="N447" s="9">
        <v>4.7850000000000001</v>
      </c>
      <c r="O447" s="9">
        <v>0.36199999999999999</v>
      </c>
      <c r="P447" s="9">
        <v>1.2509999999999999</v>
      </c>
      <c r="Q447" s="9">
        <v>19.4238</v>
      </c>
      <c r="R447" s="9"/>
      <c r="S447" s="11"/>
    </row>
    <row r="448" spans="1:19" ht="15.75">
      <c r="A448" s="13">
        <v>55153</v>
      </c>
      <c r="B448" s="8">
        <f>12.4522 * CHOOSE(CONTROL!$C$15, $D$11, 100%, $F$11)</f>
        <v>12.452199999999999</v>
      </c>
      <c r="C448" s="8">
        <f>12.4573 * CHOOSE(CONTROL!$C$15, $D$11, 100%, $F$11)</f>
        <v>12.4573</v>
      </c>
      <c r="D448" s="8">
        <f>12.4356 * CHOOSE( CONTROL!$C$15, $D$11, 100%, $F$11)</f>
        <v>12.435600000000001</v>
      </c>
      <c r="E448" s="12">
        <f>12.443 * CHOOSE( CONTROL!$C$15, $D$11, 100%, $F$11)</f>
        <v>12.443</v>
      </c>
      <c r="F448" s="4">
        <f>13.0971 * CHOOSE(CONTROL!$C$15, $D$11, 100%, $F$11)</f>
        <v>13.097099999999999</v>
      </c>
      <c r="G448" s="8">
        <f>12.2279 * CHOOSE( CONTROL!$C$15, $D$11, 100%, $F$11)</f>
        <v>12.2279</v>
      </c>
      <c r="H448" s="4">
        <f>13.1087 * CHOOSE(CONTROL!$C$15, $D$11, 100%, $F$11)</f>
        <v>13.108700000000001</v>
      </c>
      <c r="I448" s="8">
        <f>12.1374 * CHOOSE(CONTROL!$C$15, $D$11, 100%, $F$11)</f>
        <v>12.1374</v>
      </c>
      <c r="J448" s="4">
        <f>12.0083 * CHOOSE(CONTROL!$C$15, $D$11, 100%, $F$11)</f>
        <v>12.0083</v>
      </c>
      <c r="K448" s="4"/>
      <c r="L448" s="9">
        <v>29.306000000000001</v>
      </c>
      <c r="M448" s="9">
        <v>12.063700000000001</v>
      </c>
      <c r="N448" s="9">
        <v>4.9444999999999997</v>
      </c>
      <c r="O448" s="9">
        <v>0.37409999999999999</v>
      </c>
      <c r="P448" s="9">
        <v>1.2927</v>
      </c>
      <c r="Q448" s="9">
        <v>20.071300000000001</v>
      </c>
      <c r="R448" s="9"/>
      <c r="S448" s="11"/>
    </row>
    <row r="449" spans="1:19" ht="15.75">
      <c r="A449" s="13">
        <v>55184</v>
      </c>
      <c r="B449" s="8">
        <f>12.9269 * CHOOSE(CONTROL!$C$15, $D$11, 100%, $F$11)</f>
        <v>12.9269</v>
      </c>
      <c r="C449" s="8">
        <f>12.9321 * CHOOSE(CONTROL!$C$15, $D$11, 100%, $F$11)</f>
        <v>12.9321</v>
      </c>
      <c r="D449" s="8">
        <f>12.9062 * CHOOSE( CONTROL!$C$15, $D$11, 100%, $F$11)</f>
        <v>12.9062</v>
      </c>
      <c r="E449" s="12">
        <f>12.9151 * CHOOSE( CONTROL!$C$15, $D$11, 100%, $F$11)</f>
        <v>12.915100000000001</v>
      </c>
      <c r="F449" s="4">
        <f>13.571 * CHOOSE(CONTROL!$C$15, $D$11, 100%, $F$11)</f>
        <v>13.571</v>
      </c>
      <c r="G449" s="8">
        <f>12.6885 * CHOOSE( CONTROL!$C$15, $D$11, 100%, $F$11)</f>
        <v>12.688499999999999</v>
      </c>
      <c r="H449" s="4">
        <f>13.5747 * CHOOSE(CONTROL!$C$15, $D$11, 100%, $F$11)</f>
        <v>13.5747</v>
      </c>
      <c r="I449" s="8">
        <f>12.5672 * CHOOSE(CONTROL!$C$15, $D$11, 100%, $F$11)</f>
        <v>12.5672</v>
      </c>
      <c r="J449" s="4">
        <f>12.4673 * CHOOSE(CONTROL!$C$15, $D$11, 100%, $F$11)</f>
        <v>12.4673</v>
      </c>
      <c r="K449" s="4"/>
      <c r="L449" s="9">
        <v>29.306000000000001</v>
      </c>
      <c r="M449" s="9">
        <v>12.063700000000001</v>
      </c>
      <c r="N449" s="9">
        <v>4.9444999999999997</v>
      </c>
      <c r="O449" s="9">
        <v>0.37409999999999999</v>
      </c>
      <c r="P449" s="9">
        <v>1.2927</v>
      </c>
      <c r="Q449" s="9">
        <v>20.007999999999999</v>
      </c>
      <c r="R449" s="9"/>
      <c r="S449" s="11"/>
    </row>
    <row r="450" spans="1:19" ht="15.75">
      <c r="A450" s="13">
        <v>55212</v>
      </c>
      <c r="B450" s="8">
        <f>12.0932 * CHOOSE(CONTROL!$C$15, $D$11, 100%, $F$11)</f>
        <v>12.0932</v>
      </c>
      <c r="C450" s="8">
        <f>12.0983 * CHOOSE(CONTROL!$C$15, $D$11, 100%, $F$11)</f>
        <v>12.0983</v>
      </c>
      <c r="D450" s="8">
        <f>12.0727 * CHOOSE( CONTROL!$C$15, $D$11, 100%, $F$11)</f>
        <v>12.072699999999999</v>
      </c>
      <c r="E450" s="12">
        <f>12.0815 * CHOOSE( CONTROL!$C$15, $D$11, 100%, $F$11)</f>
        <v>12.0815</v>
      </c>
      <c r="F450" s="4">
        <f>12.7372 * CHOOSE(CONTROL!$C$15, $D$11, 100%, $F$11)</f>
        <v>12.7372</v>
      </c>
      <c r="G450" s="8">
        <f>11.8687 * CHOOSE( CONTROL!$C$15, $D$11, 100%, $F$11)</f>
        <v>11.8687</v>
      </c>
      <c r="H450" s="4">
        <f>12.7548 * CHOOSE(CONTROL!$C$15, $D$11, 100%, $F$11)</f>
        <v>12.754799999999999</v>
      </c>
      <c r="I450" s="8">
        <f>11.7615 * CHOOSE(CONTROL!$C$15, $D$11, 100%, $F$11)</f>
        <v>11.7615</v>
      </c>
      <c r="J450" s="4">
        <f>11.6613 * CHOOSE(CONTROL!$C$15, $D$11, 100%, $F$11)</f>
        <v>11.661300000000001</v>
      </c>
      <c r="K450" s="4"/>
      <c r="L450" s="9">
        <v>26.469899999999999</v>
      </c>
      <c r="M450" s="9">
        <v>10.8962</v>
      </c>
      <c r="N450" s="9">
        <v>4.4660000000000002</v>
      </c>
      <c r="O450" s="9">
        <v>0.33789999999999998</v>
      </c>
      <c r="P450" s="9">
        <v>1.1676</v>
      </c>
      <c r="Q450" s="9">
        <v>18.0718</v>
      </c>
      <c r="R450" s="9"/>
      <c r="S450" s="11"/>
    </row>
    <row r="451" spans="1:19" ht="15.75">
      <c r="A451" s="13">
        <v>55243</v>
      </c>
      <c r="B451" s="8">
        <f>11.8364 * CHOOSE(CONTROL!$C$15, $D$11, 100%, $F$11)</f>
        <v>11.836399999999999</v>
      </c>
      <c r="C451" s="8">
        <f>11.8415 * CHOOSE(CONTROL!$C$15, $D$11, 100%, $F$11)</f>
        <v>11.8415</v>
      </c>
      <c r="D451" s="8">
        <f>11.8158 * CHOOSE( CONTROL!$C$15, $D$11, 100%, $F$11)</f>
        <v>11.815799999999999</v>
      </c>
      <c r="E451" s="12">
        <f>11.8247 * CHOOSE( CONTROL!$C$15, $D$11, 100%, $F$11)</f>
        <v>11.8247</v>
      </c>
      <c r="F451" s="4">
        <f>12.4804 * CHOOSE(CONTROL!$C$15, $D$11, 100%, $F$11)</f>
        <v>12.480399999999999</v>
      </c>
      <c r="G451" s="8">
        <f>11.6161 * CHOOSE( CONTROL!$C$15, $D$11, 100%, $F$11)</f>
        <v>11.616099999999999</v>
      </c>
      <c r="H451" s="4">
        <f>12.5022 * CHOOSE(CONTROL!$C$15, $D$11, 100%, $F$11)</f>
        <v>12.5022</v>
      </c>
      <c r="I451" s="8">
        <f>11.5129 * CHOOSE(CONTROL!$C$15, $D$11, 100%, $F$11)</f>
        <v>11.5129</v>
      </c>
      <c r="J451" s="4">
        <f>11.4131 * CHOOSE(CONTROL!$C$15, $D$11, 100%, $F$11)</f>
        <v>11.4131</v>
      </c>
      <c r="K451" s="4"/>
      <c r="L451" s="9">
        <v>29.306000000000001</v>
      </c>
      <c r="M451" s="9">
        <v>12.063700000000001</v>
      </c>
      <c r="N451" s="9">
        <v>4.9444999999999997</v>
      </c>
      <c r="O451" s="9">
        <v>0.37409999999999999</v>
      </c>
      <c r="P451" s="9">
        <v>1.2927</v>
      </c>
      <c r="Q451" s="9">
        <v>20.007999999999999</v>
      </c>
      <c r="R451" s="9"/>
      <c r="S451" s="11"/>
    </row>
    <row r="452" spans="1:19" ht="15.75">
      <c r="A452" s="13">
        <v>55273</v>
      </c>
      <c r="B452" s="8">
        <f>12.0166 * CHOOSE(CONTROL!$C$15, $D$11, 100%, $F$11)</f>
        <v>12.0166</v>
      </c>
      <c r="C452" s="8">
        <f>12.0211 * CHOOSE(CONTROL!$C$15, $D$11, 100%, $F$11)</f>
        <v>12.021100000000001</v>
      </c>
      <c r="D452" s="8">
        <f>12.0322 * CHOOSE( CONTROL!$C$15, $D$11, 100%, $F$11)</f>
        <v>12.0322</v>
      </c>
      <c r="E452" s="12">
        <f>12.028 * CHOOSE( CONTROL!$C$15, $D$11, 100%, $F$11)</f>
        <v>12.028</v>
      </c>
      <c r="F452" s="4">
        <f>12.7062 * CHOOSE(CONTROL!$C$15, $D$11, 100%, $F$11)</f>
        <v>12.706200000000001</v>
      </c>
      <c r="G452" s="8">
        <f>11.7855 * CHOOSE( CONTROL!$C$15, $D$11, 100%, $F$11)</f>
        <v>11.785500000000001</v>
      </c>
      <c r="H452" s="4">
        <f>12.7243 * CHOOSE(CONTROL!$C$15, $D$11, 100%, $F$11)</f>
        <v>12.724299999999999</v>
      </c>
      <c r="I452" s="8">
        <f>11.6815 * CHOOSE(CONTROL!$C$15, $D$11, 100%, $F$11)</f>
        <v>11.6815</v>
      </c>
      <c r="J452" s="4">
        <f>11.5865 * CHOOSE(CONTROL!$C$15, $D$11, 100%, $F$11)</f>
        <v>11.586499999999999</v>
      </c>
      <c r="K452" s="4"/>
      <c r="L452" s="9">
        <v>30.092199999999998</v>
      </c>
      <c r="M452" s="9">
        <v>11.6745</v>
      </c>
      <c r="N452" s="9">
        <v>4.7850000000000001</v>
      </c>
      <c r="O452" s="9">
        <v>0.36199999999999999</v>
      </c>
      <c r="P452" s="9">
        <v>1.1791</v>
      </c>
      <c r="Q452" s="9">
        <v>19.3626</v>
      </c>
      <c r="R452" s="9"/>
      <c r="S452" s="11"/>
    </row>
    <row r="453" spans="1:19" ht="15.75">
      <c r="A453" s="13">
        <v>55304</v>
      </c>
      <c r="B453" s="8">
        <f>CHOOSE( CONTROL!$C$32, 12.3409, 12.3373) * CHOOSE(CONTROL!$C$15, $D$11, 100%, $F$11)</f>
        <v>12.3409</v>
      </c>
      <c r="C453" s="8">
        <f>CHOOSE( CONTROL!$C$32, 12.3489, 12.3453) * CHOOSE(CONTROL!$C$15, $D$11, 100%, $F$11)</f>
        <v>12.3489</v>
      </c>
      <c r="D453" s="8">
        <f>CHOOSE( CONTROL!$C$32, 12.3549, 12.3514) * CHOOSE( CONTROL!$C$15, $D$11, 100%, $F$11)</f>
        <v>12.354900000000001</v>
      </c>
      <c r="E453" s="12">
        <f>CHOOSE( CONTROL!$C$32, 12.3515, 12.348) * CHOOSE( CONTROL!$C$15, $D$11, 100%, $F$11)</f>
        <v>12.3515</v>
      </c>
      <c r="F453" s="4">
        <f>CHOOSE( CONTROL!$C$32, 13.0292, 13.0256) * CHOOSE(CONTROL!$C$15, $D$11, 100%, $F$11)</f>
        <v>13.029199999999999</v>
      </c>
      <c r="G453" s="8">
        <f>CHOOSE( CONTROL!$C$32, 12.104, 12.1005) * CHOOSE( CONTROL!$C$15, $D$11, 100%, $F$11)</f>
        <v>12.103999999999999</v>
      </c>
      <c r="H453" s="4">
        <f>CHOOSE( CONTROL!$C$32, 13.0419, 13.0384) * CHOOSE(CONTROL!$C$15, $D$11, 100%, $F$11)</f>
        <v>13.0419</v>
      </c>
      <c r="I453" s="8">
        <f>CHOOSE( CONTROL!$C$32, 11.9947, 11.9913) * CHOOSE(CONTROL!$C$15, $D$11, 100%, $F$11)</f>
        <v>11.9947</v>
      </c>
      <c r="J453" s="4">
        <f>CHOOSE( CONTROL!$C$32, 11.8987, 11.8953) * CHOOSE(CONTROL!$C$15, $D$11, 100%, $F$11)</f>
        <v>11.8987</v>
      </c>
      <c r="K453" s="4"/>
      <c r="L453" s="9">
        <v>30.7165</v>
      </c>
      <c r="M453" s="9">
        <v>12.063700000000001</v>
      </c>
      <c r="N453" s="9">
        <v>4.9444999999999997</v>
      </c>
      <c r="O453" s="9">
        <v>0.37409999999999999</v>
      </c>
      <c r="P453" s="9">
        <v>1.2183999999999999</v>
      </c>
      <c r="Q453" s="9">
        <v>20.007999999999999</v>
      </c>
      <c r="R453" s="9"/>
      <c r="S453" s="11"/>
    </row>
    <row r="454" spans="1:19" ht="15.75">
      <c r="A454" s="13">
        <v>55334</v>
      </c>
      <c r="B454" s="8">
        <f>CHOOSE( CONTROL!$C$32, 12.1431, 12.1395) * CHOOSE(CONTROL!$C$15, $D$11, 100%, $F$11)</f>
        <v>12.1431</v>
      </c>
      <c r="C454" s="8">
        <f>CHOOSE( CONTROL!$C$32, 12.1511, 12.1475) * CHOOSE(CONTROL!$C$15, $D$11, 100%, $F$11)</f>
        <v>12.1511</v>
      </c>
      <c r="D454" s="8">
        <f>CHOOSE( CONTROL!$C$32, 12.1574, 12.1538) * CHOOSE( CONTROL!$C$15, $D$11, 100%, $F$11)</f>
        <v>12.157400000000001</v>
      </c>
      <c r="E454" s="12">
        <f>CHOOSE( CONTROL!$C$32, 12.1539, 12.1503) * CHOOSE( CONTROL!$C$15, $D$11, 100%, $F$11)</f>
        <v>12.1539</v>
      </c>
      <c r="F454" s="4">
        <f>CHOOSE( CONTROL!$C$32, 12.8313, 12.8278) * CHOOSE(CONTROL!$C$15, $D$11, 100%, $F$11)</f>
        <v>12.831300000000001</v>
      </c>
      <c r="G454" s="8">
        <f>CHOOSE( CONTROL!$C$32, 11.9099, 11.9064) * CHOOSE( CONTROL!$C$15, $D$11, 100%, $F$11)</f>
        <v>11.9099</v>
      </c>
      <c r="H454" s="4">
        <f>CHOOSE( CONTROL!$C$32, 12.8473, 12.8438) * CHOOSE(CONTROL!$C$15, $D$11, 100%, $F$11)</f>
        <v>12.847300000000001</v>
      </c>
      <c r="I454" s="8">
        <f>CHOOSE( CONTROL!$C$32, 11.8047, 11.8012) * CHOOSE(CONTROL!$C$15, $D$11, 100%, $F$11)</f>
        <v>11.8047</v>
      </c>
      <c r="J454" s="4">
        <f>CHOOSE( CONTROL!$C$32, 11.7075, 11.704) * CHOOSE(CONTROL!$C$15, $D$11, 100%, $F$11)</f>
        <v>11.7075</v>
      </c>
      <c r="K454" s="4"/>
      <c r="L454" s="9">
        <v>29.7257</v>
      </c>
      <c r="M454" s="9">
        <v>11.6745</v>
      </c>
      <c r="N454" s="9">
        <v>4.7850000000000001</v>
      </c>
      <c r="O454" s="9">
        <v>0.36199999999999999</v>
      </c>
      <c r="P454" s="9">
        <v>1.1791</v>
      </c>
      <c r="Q454" s="9">
        <v>19.3626</v>
      </c>
      <c r="R454" s="9"/>
      <c r="S454" s="11"/>
    </row>
    <row r="455" spans="1:19" ht="15.75">
      <c r="A455" s="13">
        <v>55365</v>
      </c>
      <c r="B455" s="8">
        <f>CHOOSE( CONTROL!$C$32, 12.664, 12.6605) * CHOOSE(CONTROL!$C$15, $D$11, 100%, $F$11)</f>
        <v>12.664</v>
      </c>
      <c r="C455" s="8">
        <f>CHOOSE( CONTROL!$C$32, 12.6721, 12.6685) * CHOOSE(CONTROL!$C$15, $D$11, 100%, $F$11)</f>
        <v>12.6721</v>
      </c>
      <c r="D455" s="8">
        <f>CHOOSE( CONTROL!$C$32, 12.6786, 12.6751) * CHOOSE( CONTROL!$C$15, $D$11, 100%, $F$11)</f>
        <v>12.678599999999999</v>
      </c>
      <c r="E455" s="12">
        <f>CHOOSE( CONTROL!$C$32, 12.675, 12.6715) * CHOOSE( CONTROL!$C$15, $D$11, 100%, $F$11)</f>
        <v>12.675000000000001</v>
      </c>
      <c r="F455" s="4">
        <f>CHOOSE( CONTROL!$C$32, 13.3523, 13.3487) * CHOOSE(CONTROL!$C$15, $D$11, 100%, $F$11)</f>
        <v>13.3523</v>
      </c>
      <c r="G455" s="8">
        <f>CHOOSE( CONTROL!$C$32, 12.4227, 12.4192) * CHOOSE( CONTROL!$C$15, $D$11, 100%, $F$11)</f>
        <v>12.422700000000001</v>
      </c>
      <c r="H455" s="4">
        <f>CHOOSE( CONTROL!$C$32, 13.3597, 13.3562) * CHOOSE(CONTROL!$C$15, $D$11, 100%, $F$11)</f>
        <v>13.3597</v>
      </c>
      <c r="I455" s="8">
        <f>CHOOSE( CONTROL!$C$32, 12.31, 12.3066) * CHOOSE(CONTROL!$C$15, $D$11, 100%, $F$11)</f>
        <v>12.31</v>
      </c>
      <c r="J455" s="4">
        <f>CHOOSE( CONTROL!$C$32, 12.2111, 12.2076) * CHOOSE(CONTROL!$C$15, $D$11, 100%, $F$11)</f>
        <v>12.2111</v>
      </c>
      <c r="K455" s="4"/>
      <c r="L455" s="9">
        <v>30.7165</v>
      </c>
      <c r="M455" s="9">
        <v>12.063700000000001</v>
      </c>
      <c r="N455" s="9">
        <v>4.9444999999999997</v>
      </c>
      <c r="O455" s="9">
        <v>0.37409999999999999</v>
      </c>
      <c r="P455" s="9">
        <v>1.2183999999999999</v>
      </c>
      <c r="Q455" s="9">
        <v>20.007999999999999</v>
      </c>
      <c r="R455" s="9"/>
      <c r="S455" s="11"/>
    </row>
    <row r="456" spans="1:19" ht="15.75">
      <c r="A456" s="13">
        <v>55396</v>
      </c>
      <c r="B456" s="8">
        <f>CHOOSE( CONTROL!$C$32, 11.6892, 11.6857) * CHOOSE(CONTROL!$C$15, $D$11, 100%, $F$11)</f>
        <v>11.6892</v>
      </c>
      <c r="C456" s="8">
        <f>CHOOSE( CONTROL!$C$32, 11.6973, 11.6937) * CHOOSE(CONTROL!$C$15, $D$11, 100%, $F$11)</f>
        <v>11.6973</v>
      </c>
      <c r="D456" s="8">
        <f>CHOOSE( CONTROL!$C$32, 11.7039, 11.7004) * CHOOSE( CONTROL!$C$15, $D$11, 100%, $F$11)</f>
        <v>11.703900000000001</v>
      </c>
      <c r="E456" s="12">
        <f>CHOOSE( CONTROL!$C$32, 11.7003, 11.6968) * CHOOSE( CONTROL!$C$15, $D$11, 100%, $F$11)</f>
        <v>11.7003</v>
      </c>
      <c r="F456" s="4">
        <f>CHOOSE( CONTROL!$C$32, 12.3775, 12.3739) * CHOOSE(CONTROL!$C$15, $D$11, 100%, $F$11)</f>
        <v>12.3775</v>
      </c>
      <c r="G456" s="8">
        <f>CHOOSE( CONTROL!$C$32, 11.4642, 11.4607) * CHOOSE( CONTROL!$C$15, $D$11, 100%, $F$11)</f>
        <v>11.4642</v>
      </c>
      <c r="H456" s="4">
        <f>CHOOSE( CONTROL!$C$32, 12.401, 12.3975) * CHOOSE(CONTROL!$C$15, $D$11, 100%, $F$11)</f>
        <v>12.401</v>
      </c>
      <c r="I456" s="8">
        <f>CHOOSE( CONTROL!$C$32, 11.3677, 11.3642) * CHOOSE(CONTROL!$C$15, $D$11, 100%, $F$11)</f>
        <v>11.367699999999999</v>
      </c>
      <c r="J456" s="4">
        <f>CHOOSE( CONTROL!$C$32, 11.2688, 11.2653) * CHOOSE(CONTROL!$C$15, $D$11, 100%, $F$11)</f>
        <v>11.268800000000001</v>
      </c>
      <c r="K456" s="4"/>
      <c r="L456" s="9">
        <v>30.7165</v>
      </c>
      <c r="M456" s="9">
        <v>12.063700000000001</v>
      </c>
      <c r="N456" s="9">
        <v>4.9444999999999997</v>
      </c>
      <c r="O456" s="9">
        <v>0.37409999999999999</v>
      </c>
      <c r="P456" s="9">
        <v>1.2183999999999999</v>
      </c>
      <c r="Q456" s="9">
        <v>20.007999999999999</v>
      </c>
      <c r="R456" s="9"/>
      <c r="S456" s="11"/>
    </row>
    <row r="457" spans="1:19" ht="15.75">
      <c r="A457" s="13">
        <v>55426</v>
      </c>
      <c r="B457" s="8">
        <f>CHOOSE( CONTROL!$C$32, 11.4451, 11.4416) * CHOOSE(CONTROL!$C$15, $D$11, 100%, $F$11)</f>
        <v>11.4451</v>
      </c>
      <c r="C457" s="8">
        <f>CHOOSE( CONTROL!$C$32, 11.4531, 11.4496) * CHOOSE(CONTROL!$C$15, $D$11, 100%, $F$11)</f>
        <v>11.453099999999999</v>
      </c>
      <c r="D457" s="8">
        <f>CHOOSE( CONTROL!$C$32, 11.4598, 11.4563) * CHOOSE( CONTROL!$C$15, $D$11, 100%, $F$11)</f>
        <v>11.4598</v>
      </c>
      <c r="E457" s="12">
        <f>CHOOSE( CONTROL!$C$32, 11.4562, 11.4527) * CHOOSE( CONTROL!$C$15, $D$11, 100%, $F$11)</f>
        <v>11.456200000000001</v>
      </c>
      <c r="F457" s="4">
        <f>CHOOSE( CONTROL!$C$32, 12.1334, 12.1298) * CHOOSE(CONTROL!$C$15, $D$11, 100%, $F$11)</f>
        <v>12.1334</v>
      </c>
      <c r="G457" s="8">
        <f>CHOOSE( CONTROL!$C$32, 11.2241, 11.2206) * CHOOSE( CONTROL!$C$15, $D$11, 100%, $F$11)</f>
        <v>11.2241</v>
      </c>
      <c r="H457" s="4">
        <f>CHOOSE( CONTROL!$C$32, 12.161, 12.1575) * CHOOSE(CONTROL!$C$15, $D$11, 100%, $F$11)</f>
        <v>12.161</v>
      </c>
      <c r="I457" s="8">
        <f>CHOOSE( CONTROL!$C$32, 11.1316, 11.1282) * CHOOSE(CONTROL!$C$15, $D$11, 100%, $F$11)</f>
        <v>11.131600000000001</v>
      </c>
      <c r="J457" s="4">
        <f>CHOOSE( CONTROL!$C$32, 11.0328, 11.0293) * CHOOSE(CONTROL!$C$15, $D$11, 100%, $F$11)</f>
        <v>11.0328</v>
      </c>
      <c r="K457" s="4"/>
      <c r="L457" s="9">
        <v>29.7257</v>
      </c>
      <c r="M457" s="9">
        <v>11.6745</v>
      </c>
      <c r="N457" s="9">
        <v>4.7850000000000001</v>
      </c>
      <c r="O457" s="9">
        <v>0.36199999999999999</v>
      </c>
      <c r="P457" s="9">
        <v>1.1791</v>
      </c>
      <c r="Q457" s="9">
        <v>19.3626</v>
      </c>
      <c r="R457" s="9"/>
      <c r="S457" s="11"/>
    </row>
    <row r="458" spans="1:19" ht="15.75">
      <c r="A458" s="13">
        <v>55457</v>
      </c>
      <c r="B458" s="8">
        <f>11.9467 * CHOOSE(CONTROL!$C$15, $D$11, 100%, $F$11)</f>
        <v>11.9467</v>
      </c>
      <c r="C458" s="8">
        <f>11.9521 * CHOOSE(CONTROL!$C$15, $D$11, 100%, $F$11)</f>
        <v>11.9521</v>
      </c>
      <c r="D458" s="8">
        <f>11.9636 * CHOOSE( CONTROL!$C$15, $D$11, 100%, $F$11)</f>
        <v>11.9636</v>
      </c>
      <c r="E458" s="12">
        <f>11.9592 * CHOOSE( CONTROL!$C$15, $D$11, 100%, $F$11)</f>
        <v>11.959199999999999</v>
      </c>
      <c r="F458" s="4">
        <f>12.6367 * CHOOSE(CONTROL!$C$15, $D$11, 100%, $F$11)</f>
        <v>12.636699999999999</v>
      </c>
      <c r="G458" s="8">
        <f>11.7186 * CHOOSE( CONTROL!$C$15, $D$11, 100%, $F$11)</f>
        <v>11.7186</v>
      </c>
      <c r="H458" s="4">
        <f>12.6559 * CHOOSE(CONTROL!$C$15, $D$11, 100%, $F$11)</f>
        <v>12.655900000000001</v>
      </c>
      <c r="I458" s="8">
        <f>11.6191 * CHOOSE(CONTROL!$C$15, $D$11, 100%, $F$11)</f>
        <v>11.6191</v>
      </c>
      <c r="J458" s="4">
        <f>11.5193 * CHOOSE(CONTROL!$C$15, $D$11, 100%, $F$11)</f>
        <v>11.519299999999999</v>
      </c>
      <c r="K458" s="4"/>
      <c r="L458" s="9">
        <v>31.095300000000002</v>
      </c>
      <c r="M458" s="9">
        <v>12.063700000000001</v>
      </c>
      <c r="N458" s="9">
        <v>4.9444999999999997</v>
      </c>
      <c r="O458" s="9">
        <v>0.37409999999999999</v>
      </c>
      <c r="P458" s="9">
        <v>1.2183999999999999</v>
      </c>
      <c r="Q458" s="9">
        <v>20.007999999999999</v>
      </c>
      <c r="R458" s="9"/>
      <c r="S458" s="11"/>
    </row>
    <row r="459" spans="1:19" ht="15.75">
      <c r="A459" s="13">
        <v>55487</v>
      </c>
      <c r="B459" s="8">
        <f>12.8818 * CHOOSE(CONTROL!$C$15, $D$11, 100%, $F$11)</f>
        <v>12.8818</v>
      </c>
      <c r="C459" s="8">
        <f>12.8869 * CHOOSE(CONTROL!$C$15, $D$11, 100%, $F$11)</f>
        <v>12.886900000000001</v>
      </c>
      <c r="D459" s="8">
        <f>12.8639 * CHOOSE( CONTROL!$C$15, $D$11, 100%, $F$11)</f>
        <v>12.863899999999999</v>
      </c>
      <c r="E459" s="12">
        <f>12.8718 * CHOOSE( CONTROL!$C$15, $D$11, 100%, $F$11)</f>
        <v>12.8718</v>
      </c>
      <c r="F459" s="4">
        <f>13.5267 * CHOOSE(CONTROL!$C$15, $D$11, 100%, $F$11)</f>
        <v>13.5267</v>
      </c>
      <c r="G459" s="8">
        <f>12.6494 * CHOOSE( CONTROL!$C$15, $D$11, 100%, $F$11)</f>
        <v>12.6494</v>
      </c>
      <c r="H459" s="4">
        <f>13.5312 * CHOOSE(CONTROL!$C$15, $D$11, 100%, $F$11)</f>
        <v>13.5312</v>
      </c>
      <c r="I459" s="8">
        <f>12.5486 * CHOOSE(CONTROL!$C$15, $D$11, 100%, $F$11)</f>
        <v>12.5486</v>
      </c>
      <c r="J459" s="4">
        <f>12.4237 * CHOOSE(CONTROL!$C$15, $D$11, 100%, $F$11)</f>
        <v>12.4237</v>
      </c>
      <c r="K459" s="4"/>
      <c r="L459" s="9">
        <v>28.360600000000002</v>
      </c>
      <c r="M459" s="9">
        <v>11.6745</v>
      </c>
      <c r="N459" s="9">
        <v>4.7850000000000001</v>
      </c>
      <c r="O459" s="9">
        <v>0.36199999999999999</v>
      </c>
      <c r="P459" s="9">
        <v>1.2509999999999999</v>
      </c>
      <c r="Q459" s="9">
        <v>19.3626</v>
      </c>
      <c r="R459" s="9"/>
      <c r="S459" s="11"/>
    </row>
    <row r="460" spans="1:19" ht="15.75">
      <c r="A460" s="13">
        <v>55518</v>
      </c>
      <c r="B460" s="8">
        <f>12.8584 * CHOOSE(CONTROL!$C$15, $D$11, 100%, $F$11)</f>
        <v>12.8584</v>
      </c>
      <c r="C460" s="8">
        <f>12.8635 * CHOOSE(CONTROL!$C$15, $D$11, 100%, $F$11)</f>
        <v>12.8635</v>
      </c>
      <c r="D460" s="8">
        <f>12.8419 * CHOOSE( CONTROL!$C$15, $D$11, 100%, $F$11)</f>
        <v>12.841900000000001</v>
      </c>
      <c r="E460" s="12">
        <f>12.8493 * CHOOSE( CONTROL!$C$15, $D$11, 100%, $F$11)</f>
        <v>12.849299999999999</v>
      </c>
      <c r="F460" s="4">
        <f>13.5033 * CHOOSE(CONTROL!$C$15, $D$11, 100%, $F$11)</f>
        <v>13.503299999999999</v>
      </c>
      <c r="G460" s="8">
        <f>12.6274 * CHOOSE( CONTROL!$C$15, $D$11, 100%, $F$11)</f>
        <v>12.6274</v>
      </c>
      <c r="H460" s="4">
        <f>13.5082 * CHOOSE(CONTROL!$C$15, $D$11, 100%, $F$11)</f>
        <v>13.5082</v>
      </c>
      <c r="I460" s="8">
        <f>12.5303 * CHOOSE(CONTROL!$C$15, $D$11, 100%, $F$11)</f>
        <v>12.5303</v>
      </c>
      <c r="J460" s="4">
        <f>12.4011 * CHOOSE(CONTROL!$C$15, $D$11, 100%, $F$11)</f>
        <v>12.4011</v>
      </c>
      <c r="K460" s="4"/>
      <c r="L460" s="9">
        <v>29.306000000000001</v>
      </c>
      <c r="M460" s="9">
        <v>12.063700000000001</v>
      </c>
      <c r="N460" s="9">
        <v>4.9444999999999997</v>
      </c>
      <c r="O460" s="9">
        <v>0.37409999999999999</v>
      </c>
      <c r="P460" s="9">
        <v>1.2927</v>
      </c>
      <c r="Q460" s="9">
        <v>20.007999999999999</v>
      </c>
      <c r="R460" s="9"/>
      <c r="S460" s="11"/>
    </row>
    <row r="461" spans="1:19" ht="15.75">
      <c r="A461" s="13">
        <v>55549</v>
      </c>
      <c r="B461" s="8">
        <f>13.3487 * CHOOSE(CONTROL!$C$15, $D$11, 100%, $F$11)</f>
        <v>13.348699999999999</v>
      </c>
      <c r="C461" s="8">
        <f>13.3538 * CHOOSE(CONTROL!$C$15, $D$11, 100%, $F$11)</f>
        <v>13.3538</v>
      </c>
      <c r="D461" s="8">
        <f>13.328 * CHOOSE( CONTROL!$C$15, $D$11, 100%, $F$11)</f>
        <v>13.327999999999999</v>
      </c>
      <c r="E461" s="12">
        <f>13.3369 * CHOOSE( CONTROL!$C$15, $D$11, 100%, $F$11)</f>
        <v>13.3369</v>
      </c>
      <c r="F461" s="4">
        <f>13.9927 * CHOOSE(CONTROL!$C$15, $D$11, 100%, $F$11)</f>
        <v>13.992699999999999</v>
      </c>
      <c r="G461" s="8">
        <f>13.1032 * CHOOSE( CONTROL!$C$15, $D$11, 100%, $F$11)</f>
        <v>13.103199999999999</v>
      </c>
      <c r="H461" s="4">
        <f>13.9895 * CHOOSE(CONTROL!$C$15, $D$11, 100%, $F$11)</f>
        <v>13.9895</v>
      </c>
      <c r="I461" s="8">
        <f>12.9751 * CHOOSE(CONTROL!$C$15, $D$11, 100%, $F$11)</f>
        <v>12.975099999999999</v>
      </c>
      <c r="J461" s="4">
        <f>12.875 * CHOOSE(CONTROL!$C$15, $D$11, 100%, $F$11)</f>
        <v>12.875</v>
      </c>
      <c r="K461" s="4"/>
      <c r="L461" s="9">
        <v>29.306000000000001</v>
      </c>
      <c r="M461" s="9">
        <v>12.063700000000001</v>
      </c>
      <c r="N461" s="9">
        <v>4.9444999999999997</v>
      </c>
      <c r="O461" s="9">
        <v>0.37409999999999999</v>
      </c>
      <c r="P461" s="9">
        <v>1.2927</v>
      </c>
      <c r="Q461" s="9">
        <v>19.942900000000002</v>
      </c>
      <c r="R461" s="9"/>
      <c r="S461" s="11"/>
    </row>
    <row r="462" spans="1:19" ht="15.75">
      <c r="A462" s="13">
        <v>55577</v>
      </c>
      <c r="B462" s="8">
        <f>12.4877 * CHOOSE(CONTROL!$C$15, $D$11, 100%, $F$11)</f>
        <v>12.4877</v>
      </c>
      <c r="C462" s="8">
        <f>12.4928 * CHOOSE(CONTROL!$C$15, $D$11, 100%, $F$11)</f>
        <v>12.492800000000001</v>
      </c>
      <c r="D462" s="8">
        <f>12.4672 * CHOOSE( CONTROL!$C$15, $D$11, 100%, $F$11)</f>
        <v>12.4672</v>
      </c>
      <c r="E462" s="12">
        <f>12.476 * CHOOSE( CONTROL!$C$15, $D$11, 100%, $F$11)</f>
        <v>12.476000000000001</v>
      </c>
      <c r="F462" s="4">
        <f>13.1317 * CHOOSE(CONTROL!$C$15, $D$11, 100%, $F$11)</f>
        <v>13.1317</v>
      </c>
      <c r="G462" s="8">
        <f>12.2567 * CHOOSE( CONTROL!$C$15, $D$11, 100%, $F$11)</f>
        <v>12.2567</v>
      </c>
      <c r="H462" s="4">
        <f>13.1427 * CHOOSE(CONTROL!$C$15, $D$11, 100%, $F$11)</f>
        <v>13.1427</v>
      </c>
      <c r="I462" s="8">
        <f>12.1431 * CHOOSE(CONTROL!$C$15, $D$11, 100%, $F$11)</f>
        <v>12.1431</v>
      </c>
      <c r="J462" s="4">
        <f>12.0427 * CHOOSE(CONTROL!$C$15, $D$11, 100%, $F$11)</f>
        <v>12.0427</v>
      </c>
      <c r="K462" s="4"/>
      <c r="L462" s="9">
        <v>27.415299999999998</v>
      </c>
      <c r="M462" s="9">
        <v>11.285299999999999</v>
      </c>
      <c r="N462" s="9">
        <v>4.6254999999999997</v>
      </c>
      <c r="O462" s="9">
        <v>0.34989999999999999</v>
      </c>
      <c r="P462" s="9">
        <v>1.2093</v>
      </c>
      <c r="Q462" s="9">
        <v>18.656300000000002</v>
      </c>
      <c r="R462" s="9"/>
      <c r="S462" s="11"/>
    </row>
    <row r="463" spans="1:19" ht="15.75">
      <c r="A463" s="13">
        <v>55609</v>
      </c>
      <c r="B463" s="8">
        <f>12.2225 * CHOOSE(CONTROL!$C$15, $D$11, 100%, $F$11)</f>
        <v>12.2225</v>
      </c>
      <c r="C463" s="8">
        <f>12.2276 * CHOOSE(CONTROL!$C$15, $D$11, 100%, $F$11)</f>
        <v>12.227600000000001</v>
      </c>
      <c r="D463" s="8">
        <f>12.2019 * CHOOSE( CONTROL!$C$15, $D$11, 100%, $F$11)</f>
        <v>12.2019</v>
      </c>
      <c r="E463" s="12">
        <f>12.2108 * CHOOSE( CONTROL!$C$15, $D$11, 100%, $F$11)</f>
        <v>12.210800000000001</v>
      </c>
      <c r="F463" s="4">
        <f>12.8665 * CHOOSE(CONTROL!$C$15, $D$11, 100%, $F$11)</f>
        <v>12.8665</v>
      </c>
      <c r="G463" s="8">
        <f>11.9958 * CHOOSE( CONTROL!$C$15, $D$11, 100%, $F$11)</f>
        <v>11.995799999999999</v>
      </c>
      <c r="H463" s="4">
        <f>12.8819 * CHOOSE(CONTROL!$C$15, $D$11, 100%, $F$11)</f>
        <v>12.8819</v>
      </c>
      <c r="I463" s="8">
        <f>11.8864 * CHOOSE(CONTROL!$C$15, $D$11, 100%, $F$11)</f>
        <v>11.8864</v>
      </c>
      <c r="J463" s="4">
        <f>11.7863 * CHOOSE(CONTROL!$C$15, $D$11, 100%, $F$11)</f>
        <v>11.786300000000001</v>
      </c>
      <c r="K463" s="4"/>
      <c r="L463" s="9">
        <v>29.306000000000001</v>
      </c>
      <c r="M463" s="9">
        <v>12.063700000000001</v>
      </c>
      <c r="N463" s="9">
        <v>4.9444999999999997</v>
      </c>
      <c r="O463" s="9">
        <v>0.37409999999999999</v>
      </c>
      <c r="P463" s="9">
        <v>1.2927</v>
      </c>
      <c r="Q463" s="9">
        <v>19.942900000000002</v>
      </c>
      <c r="R463" s="9"/>
      <c r="S463" s="11"/>
    </row>
    <row r="464" spans="1:19" ht="15.75">
      <c r="A464" s="13">
        <v>55639</v>
      </c>
      <c r="B464" s="8">
        <f>12.4086 * CHOOSE(CONTROL!$C$15, $D$11, 100%, $F$11)</f>
        <v>12.4086</v>
      </c>
      <c r="C464" s="8">
        <f>12.4131 * CHOOSE(CONTROL!$C$15, $D$11, 100%, $F$11)</f>
        <v>12.4131</v>
      </c>
      <c r="D464" s="8">
        <f>12.4241 * CHOOSE( CONTROL!$C$15, $D$11, 100%, $F$11)</f>
        <v>12.424099999999999</v>
      </c>
      <c r="E464" s="12">
        <f>12.42 * CHOOSE( CONTROL!$C$15, $D$11, 100%, $F$11)</f>
        <v>12.42</v>
      </c>
      <c r="F464" s="4">
        <f>13.0982 * CHOOSE(CONTROL!$C$15, $D$11, 100%, $F$11)</f>
        <v>13.0982</v>
      </c>
      <c r="G464" s="8">
        <f>12.1709 * CHOOSE( CONTROL!$C$15, $D$11, 100%, $F$11)</f>
        <v>12.1709</v>
      </c>
      <c r="H464" s="4">
        <f>13.1098 * CHOOSE(CONTROL!$C$15, $D$11, 100%, $F$11)</f>
        <v>13.1098</v>
      </c>
      <c r="I464" s="8">
        <f>12.0606 * CHOOSE(CONTROL!$C$15, $D$11, 100%, $F$11)</f>
        <v>12.060600000000001</v>
      </c>
      <c r="J464" s="4">
        <f>11.9655 * CHOOSE(CONTROL!$C$15, $D$11, 100%, $F$11)</f>
        <v>11.9655</v>
      </c>
      <c r="K464" s="4"/>
      <c r="L464" s="9">
        <v>30.092199999999998</v>
      </c>
      <c r="M464" s="9">
        <v>11.6745</v>
      </c>
      <c r="N464" s="9">
        <v>4.7850000000000001</v>
      </c>
      <c r="O464" s="9">
        <v>0.36199999999999999</v>
      </c>
      <c r="P464" s="9">
        <v>1.1791</v>
      </c>
      <c r="Q464" s="9">
        <v>19.299600000000002</v>
      </c>
      <c r="R464" s="9"/>
      <c r="S464" s="11"/>
    </row>
    <row r="465" spans="1:19" ht="15.75">
      <c r="A465" s="13">
        <v>55670</v>
      </c>
      <c r="B465" s="8">
        <f>CHOOSE( CONTROL!$C$32, 12.7433, 12.7398) * CHOOSE(CONTROL!$C$15, $D$11, 100%, $F$11)</f>
        <v>12.7433</v>
      </c>
      <c r="C465" s="8">
        <f>CHOOSE( CONTROL!$C$32, 12.7513, 12.7478) * CHOOSE(CONTROL!$C$15, $D$11, 100%, $F$11)</f>
        <v>12.751300000000001</v>
      </c>
      <c r="D465" s="8">
        <f>CHOOSE( CONTROL!$C$32, 12.7573, 12.7538) * CHOOSE( CONTROL!$C$15, $D$11, 100%, $F$11)</f>
        <v>12.757300000000001</v>
      </c>
      <c r="E465" s="12">
        <f>CHOOSE( CONTROL!$C$32, 12.7539, 12.7504) * CHOOSE( CONTROL!$C$15, $D$11, 100%, $F$11)</f>
        <v>12.7539</v>
      </c>
      <c r="F465" s="4">
        <f>CHOOSE( CONTROL!$C$32, 13.4316, 13.428) * CHOOSE(CONTROL!$C$15, $D$11, 100%, $F$11)</f>
        <v>13.4316</v>
      </c>
      <c r="G465" s="8">
        <f>CHOOSE( CONTROL!$C$32, 12.4998, 12.4963) * CHOOSE( CONTROL!$C$15, $D$11, 100%, $F$11)</f>
        <v>12.4998</v>
      </c>
      <c r="H465" s="4">
        <f>CHOOSE( CONTROL!$C$32, 13.4376, 13.4341) * CHOOSE(CONTROL!$C$15, $D$11, 100%, $F$11)</f>
        <v>13.4376</v>
      </c>
      <c r="I465" s="8">
        <f>CHOOSE( CONTROL!$C$32, 12.3839, 12.3805) * CHOOSE(CONTROL!$C$15, $D$11, 100%, $F$11)</f>
        <v>12.383900000000001</v>
      </c>
      <c r="J465" s="4">
        <f>CHOOSE( CONTROL!$C$32, 12.2877, 12.2843) * CHOOSE(CONTROL!$C$15, $D$11, 100%, $F$11)</f>
        <v>12.287699999999999</v>
      </c>
      <c r="K465" s="4"/>
      <c r="L465" s="9">
        <v>30.7165</v>
      </c>
      <c r="M465" s="9">
        <v>12.063700000000001</v>
      </c>
      <c r="N465" s="9">
        <v>4.9444999999999997</v>
      </c>
      <c r="O465" s="9">
        <v>0.37409999999999999</v>
      </c>
      <c r="P465" s="9">
        <v>1.2183999999999999</v>
      </c>
      <c r="Q465" s="9">
        <v>19.942900000000002</v>
      </c>
      <c r="R465" s="9"/>
      <c r="S465" s="11"/>
    </row>
    <row r="466" spans="1:19" ht="15.75">
      <c r="A466" s="13">
        <v>55700</v>
      </c>
      <c r="B466" s="8">
        <f>CHOOSE( CONTROL!$C$32, 12.539, 12.5354) * CHOOSE(CONTROL!$C$15, $D$11, 100%, $F$11)</f>
        <v>12.539</v>
      </c>
      <c r="C466" s="8">
        <f>CHOOSE( CONTROL!$C$32, 12.547, 12.5435) * CHOOSE(CONTROL!$C$15, $D$11, 100%, $F$11)</f>
        <v>12.547000000000001</v>
      </c>
      <c r="D466" s="8">
        <f>CHOOSE( CONTROL!$C$32, 12.5533, 12.5497) * CHOOSE( CONTROL!$C$15, $D$11, 100%, $F$11)</f>
        <v>12.5533</v>
      </c>
      <c r="E466" s="12">
        <f>CHOOSE( CONTROL!$C$32, 12.5498, 12.5462) * CHOOSE( CONTROL!$C$15, $D$11, 100%, $F$11)</f>
        <v>12.549799999999999</v>
      </c>
      <c r="F466" s="4">
        <f>CHOOSE( CONTROL!$C$32, 13.2273, 13.2237) * CHOOSE(CONTROL!$C$15, $D$11, 100%, $F$11)</f>
        <v>13.2273</v>
      </c>
      <c r="G466" s="8">
        <f>CHOOSE( CONTROL!$C$32, 12.2993, 12.2958) * CHOOSE( CONTROL!$C$15, $D$11, 100%, $F$11)</f>
        <v>12.299300000000001</v>
      </c>
      <c r="H466" s="4">
        <f>CHOOSE( CONTROL!$C$32, 13.2367, 13.2332) * CHOOSE(CONTROL!$C$15, $D$11, 100%, $F$11)</f>
        <v>13.236700000000001</v>
      </c>
      <c r="I466" s="8">
        <f>CHOOSE( CONTROL!$C$32, 12.1877, 12.1842) * CHOOSE(CONTROL!$C$15, $D$11, 100%, $F$11)</f>
        <v>12.1877</v>
      </c>
      <c r="J466" s="4">
        <f>CHOOSE( CONTROL!$C$32, 12.0902, 12.0868) * CHOOSE(CONTROL!$C$15, $D$11, 100%, $F$11)</f>
        <v>12.090199999999999</v>
      </c>
      <c r="K466" s="4"/>
      <c r="L466" s="9">
        <v>29.7257</v>
      </c>
      <c r="M466" s="9">
        <v>11.6745</v>
      </c>
      <c r="N466" s="9">
        <v>4.7850000000000001</v>
      </c>
      <c r="O466" s="9">
        <v>0.36199999999999999</v>
      </c>
      <c r="P466" s="9">
        <v>1.1791</v>
      </c>
      <c r="Q466" s="9">
        <v>19.299600000000002</v>
      </c>
      <c r="R466" s="9"/>
      <c r="S466" s="11"/>
    </row>
    <row r="467" spans="1:19" ht="15.75">
      <c r="A467" s="13">
        <v>55731</v>
      </c>
      <c r="B467" s="8">
        <f>CHOOSE( CONTROL!$C$32, 13.077, 13.0735) * CHOOSE(CONTROL!$C$15, $D$11, 100%, $F$11)</f>
        <v>13.077</v>
      </c>
      <c r="C467" s="8">
        <f>CHOOSE( CONTROL!$C$32, 13.085, 13.0815) * CHOOSE(CONTROL!$C$15, $D$11, 100%, $F$11)</f>
        <v>13.085000000000001</v>
      </c>
      <c r="D467" s="8">
        <f>CHOOSE( CONTROL!$C$32, 13.0916, 13.0881) * CHOOSE( CONTROL!$C$15, $D$11, 100%, $F$11)</f>
        <v>13.0916</v>
      </c>
      <c r="E467" s="12">
        <f>CHOOSE( CONTROL!$C$32, 13.088, 13.0845) * CHOOSE( CONTROL!$C$15, $D$11, 100%, $F$11)</f>
        <v>13.087999999999999</v>
      </c>
      <c r="F467" s="4">
        <f>CHOOSE( CONTROL!$C$32, 13.7653, 13.7617) * CHOOSE(CONTROL!$C$15, $D$11, 100%, $F$11)</f>
        <v>13.7653</v>
      </c>
      <c r="G467" s="8">
        <f>CHOOSE( CONTROL!$C$32, 12.8288, 12.8253) * CHOOSE( CONTROL!$C$15, $D$11, 100%, $F$11)</f>
        <v>12.828799999999999</v>
      </c>
      <c r="H467" s="4">
        <f>CHOOSE( CONTROL!$C$32, 13.7658, 13.7623) * CHOOSE(CONTROL!$C$15, $D$11, 100%, $F$11)</f>
        <v>13.7658</v>
      </c>
      <c r="I467" s="8">
        <f>CHOOSE( CONTROL!$C$32, 12.7095, 12.706) * CHOOSE(CONTROL!$C$15, $D$11, 100%, $F$11)</f>
        <v>12.7095</v>
      </c>
      <c r="J467" s="4">
        <f>CHOOSE( CONTROL!$C$32, 12.6103, 12.6069) * CHOOSE(CONTROL!$C$15, $D$11, 100%, $F$11)</f>
        <v>12.610300000000001</v>
      </c>
      <c r="K467" s="4"/>
      <c r="L467" s="9">
        <v>30.7165</v>
      </c>
      <c r="M467" s="9">
        <v>12.063700000000001</v>
      </c>
      <c r="N467" s="9">
        <v>4.9444999999999997</v>
      </c>
      <c r="O467" s="9">
        <v>0.37409999999999999</v>
      </c>
      <c r="P467" s="9">
        <v>1.2183999999999999</v>
      </c>
      <c r="Q467" s="9">
        <v>19.942900000000002</v>
      </c>
      <c r="R467" s="9"/>
      <c r="S467" s="11"/>
    </row>
    <row r="468" spans="1:19" ht="15.75">
      <c r="A468" s="13">
        <v>55762</v>
      </c>
      <c r="B468" s="8">
        <f>CHOOSE( CONTROL!$C$32, 12.0703, 12.0668) * CHOOSE(CONTROL!$C$15, $D$11, 100%, $F$11)</f>
        <v>12.0703</v>
      </c>
      <c r="C468" s="8">
        <f>CHOOSE( CONTROL!$C$32, 12.0784, 12.0748) * CHOOSE(CONTROL!$C$15, $D$11, 100%, $F$11)</f>
        <v>12.0784</v>
      </c>
      <c r="D468" s="8">
        <f>CHOOSE( CONTROL!$C$32, 12.085, 12.0815) * CHOOSE( CONTROL!$C$15, $D$11, 100%, $F$11)</f>
        <v>12.085000000000001</v>
      </c>
      <c r="E468" s="12">
        <f>CHOOSE( CONTROL!$C$32, 12.0814, 12.0779) * CHOOSE( CONTROL!$C$15, $D$11, 100%, $F$11)</f>
        <v>12.0814</v>
      </c>
      <c r="F468" s="4">
        <f>CHOOSE( CONTROL!$C$32, 12.7586, 12.755) * CHOOSE(CONTROL!$C$15, $D$11, 100%, $F$11)</f>
        <v>12.758599999999999</v>
      </c>
      <c r="G468" s="8">
        <f>CHOOSE( CONTROL!$C$32, 11.839, 11.8355) * CHOOSE( CONTROL!$C$15, $D$11, 100%, $F$11)</f>
        <v>11.839</v>
      </c>
      <c r="H468" s="4">
        <f>CHOOSE( CONTROL!$C$32, 12.7758, 12.7723) * CHOOSE(CONTROL!$C$15, $D$11, 100%, $F$11)</f>
        <v>12.7758</v>
      </c>
      <c r="I468" s="8">
        <f>CHOOSE( CONTROL!$C$32, 11.7363, 11.7328) * CHOOSE(CONTROL!$C$15, $D$11, 100%, $F$11)</f>
        <v>11.7363</v>
      </c>
      <c r="J468" s="4">
        <f>CHOOSE( CONTROL!$C$32, 11.6372, 11.6337) * CHOOSE(CONTROL!$C$15, $D$11, 100%, $F$11)</f>
        <v>11.6372</v>
      </c>
      <c r="K468" s="4"/>
      <c r="L468" s="9">
        <v>30.7165</v>
      </c>
      <c r="M468" s="9">
        <v>12.063700000000001</v>
      </c>
      <c r="N468" s="9">
        <v>4.9444999999999997</v>
      </c>
      <c r="O468" s="9">
        <v>0.37409999999999999</v>
      </c>
      <c r="P468" s="9">
        <v>1.2183999999999999</v>
      </c>
      <c r="Q468" s="9">
        <v>19.942900000000002</v>
      </c>
      <c r="R468" s="9"/>
      <c r="S468" s="11"/>
    </row>
    <row r="469" spans="1:19" ht="15.75">
      <c r="A469" s="13">
        <v>55792</v>
      </c>
      <c r="B469" s="8">
        <f>CHOOSE( CONTROL!$C$32, 11.8183, 11.8147) * CHOOSE(CONTROL!$C$15, $D$11, 100%, $F$11)</f>
        <v>11.818300000000001</v>
      </c>
      <c r="C469" s="8">
        <f>CHOOSE( CONTROL!$C$32, 11.8263, 11.8227) * CHOOSE(CONTROL!$C$15, $D$11, 100%, $F$11)</f>
        <v>11.8263</v>
      </c>
      <c r="D469" s="8">
        <f>CHOOSE( CONTROL!$C$32, 11.833, 11.8294) * CHOOSE( CONTROL!$C$15, $D$11, 100%, $F$11)</f>
        <v>11.833</v>
      </c>
      <c r="E469" s="12">
        <f>CHOOSE( CONTROL!$C$32, 11.8294, 11.8258) * CHOOSE( CONTROL!$C$15, $D$11, 100%, $F$11)</f>
        <v>11.8294</v>
      </c>
      <c r="F469" s="4">
        <f>CHOOSE( CONTROL!$C$32, 12.5065, 12.503) * CHOOSE(CONTROL!$C$15, $D$11, 100%, $F$11)</f>
        <v>12.506500000000001</v>
      </c>
      <c r="G469" s="8">
        <f>CHOOSE( CONTROL!$C$32, 11.5911, 11.5876) * CHOOSE( CONTROL!$C$15, $D$11, 100%, $F$11)</f>
        <v>11.591100000000001</v>
      </c>
      <c r="H469" s="4">
        <f>CHOOSE( CONTROL!$C$32, 12.5279, 12.5244) * CHOOSE(CONTROL!$C$15, $D$11, 100%, $F$11)</f>
        <v>12.527900000000001</v>
      </c>
      <c r="I469" s="8">
        <f>CHOOSE( CONTROL!$C$32, 11.4925, 11.489) * CHOOSE(CONTROL!$C$15, $D$11, 100%, $F$11)</f>
        <v>11.4925</v>
      </c>
      <c r="J469" s="4">
        <f>CHOOSE( CONTROL!$C$32, 11.3935, 11.39) * CHOOSE(CONTROL!$C$15, $D$11, 100%, $F$11)</f>
        <v>11.3935</v>
      </c>
      <c r="K469" s="4"/>
      <c r="L469" s="9">
        <v>29.7257</v>
      </c>
      <c r="M469" s="9">
        <v>11.6745</v>
      </c>
      <c r="N469" s="9">
        <v>4.7850000000000001</v>
      </c>
      <c r="O469" s="9">
        <v>0.36199999999999999</v>
      </c>
      <c r="P469" s="9">
        <v>1.1791</v>
      </c>
      <c r="Q469" s="9">
        <v>19.299600000000002</v>
      </c>
      <c r="R469" s="9"/>
      <c r="S469" s="11"/>
    </row>
    <row r="470" spans="1:19" ht="15.75">
      <c r="A470" s="13">
        <v>55823</v>
      </c>
      <c r="B470" s="8">
        <f>12.3364 * CHOOSE(CONTROL!$C$15, $D$11, 100%, $F$11)</f>
        <v>12.336399999999999</v>
      </c>
      <c r="C470" s="8">
        <f>12.3418 * CHOOSE(CONTROL!$C$15, $D$11, 100%, $F$11)</f>
        <v>12.341799999999999</v>
      </c>
      <c r="D470" s="8">
        <f>12.3533 * CHOOSE( CONTROL!$C$15, $D$11, 100%, $F$11)</f>
        <v>12.353300000000001</v>
      </c>
      <c r="E470" s="12">
        <f>12.3489 * CHOOSE( CONTROL!$C$15, $D$11, 100%, $F$11)</f>
        <v>12.3489</v>
      </c>
      <c r="F470" s="4">
        <f>13.0264 * CHOOSE(CONTROL!$C$15, $D$11, 100%, $F$11)</f>
        <v>13.026400000000001</v>
      </c>
      <c r="G470" s="8">
        <f>12.1018 * CHOOSE( CONTROL!$C$15, $D$11, 100%, $F$11)</f>
        <v>12.101800000000001</v>
      </c>
      <c r="H470" s="4">
        <f>13.0391 * CHOOSE(CONTROL!$C$15, $D$11, 100%, $F$11)</f>
        <v>13.039099999999999</v>
      </c>
      <c r="I470" s="8">
        <f>11.996 * CHOOSE(CONTROL!$C$15, $D$11, 100%, $F$11)</f>
        <v>11.996</v>
      </c>
      <c r="J470" s="4">
        <f>11.896 * CHOOSE(CONTROL!$C$15, $D$11, 100%, $F$11)</f>
        <v>11.896000000000001</v>
      </c>
      <c r="K470" s="4"/>
      <c r="L470" s="9">
        <v>31.095300000000002</v>
      </c>
      <c r="M470" s="9">
        <v>12.063700000000001</v>
      </c>
      <c r="N470" s="9">
        <v>4.9444999999999997</v>
      </c>
      <c r="O470" s="9">
        <v>0.37409999999999999</v>
      </c>
      <c r="P470" s="9">
        <v>1.2183999999999999</v>
      </c>
      <c r="Q470" s="9">
        <v>19.942900000000002</v>
      </c>
      <c r="R470" s="9"/>
      <c r="S470" s="11"/>
    </row>
    <row r="471" spans="1:19" ht="15.75">
      <c r="A471" s="13">
        <v>55853</v>
      </c>
      <c r="B471" s="8">
        <f>13.3021 * CHOOSE(CONTROL!$C$15, $D$11, 100%, $F$11)</f>
        <v>13.302099999999999</v>
      </c>
      <c r="C471" s="8">
        <f>13.3072 * CHOOSE(CONTROL!$C$15, $D$11, 100%, $F$11)</f>
        <v>13.3072</v>
      </c>
      <c r="D471" s="8">
        <f>13.2842 * CHOOSE( CONTROL!$C$15, $D$11, 100%, $F$11)</f>
        <v>13.2842</v>
      </c>
      <c r="E471" s="12">
        <f>13.2921 * CHOOSE( CONTROL!$C$15, $D$11, 100%, $F$11)</f>
        <v>13.2921</v>
      </c>
      <c r="F471" s="4">
        <f>13.947 * CHOOSE(CONTROL!$C$15, $D$11, 100%, $F$11)</f>
        <v>13.946999999999999</v>
      </c>
      <c r="G471" s="8">
        <f>13.0627 * CHOOSE( CONTROL!$C$15, $D$11, 100%, $F$11)</f>
        <v>13.0627</v>
      </c>
      <c r="H471" s="4">
        <f>13.9445 * CHOOSE(CONTROL!$C$15, $D$11, 100%, $F$11)</f>
        <v>13.9445</v>
      </c>
      <c r="I471" s="8">
        <f>12.9551 * CHOOSE(CONTROL!$C$15, $D$11, 100%, $F$11)</f>
        <v>12.9551</v>
      </c>
      <c r="J471" s="4">
        <f>12.83 * CHOOSE(CONTROL!$C$15, $D$11, 100%, $F$11)</f>
        <v>12.83</v>
      </c>
      <c r="K471" s="4"/>
      <c r="L471" s="9">
        <v>28.360600000000002</v>
      </c>
      <c r="M471" s="9">
        <v>11.6745</v>
      </c>
      <c r="N471" s="9">
        <v>4.7850000000000001</v>
      </c>
      <c r="O471" s="9">
        <v>0.36199999999999999</v>
      </c>
      <c r="P471" s="9">
        <v>1.2509999999999999</v>
      </c>
      <c r="Q471" s="9">
        <v>19.299600000000002</v>
      </c>
      <c r="R471" s="9"/>
      <c r="S471" s="11"/>
    </row>
    <row r="472" spans="1:19" ht="15.75">
      <c r="A472" s="13">
        <v>55884</v>
      </c>
      <c r="B472" s="8">
        <f>13.278 * CHOOSE(CONTROL!$C$15, $D$11, 100%, $F$11)</f>
        <v>13.278</v>
      </c>
      <c r="C472" s="8">
        <f>13.2831 * CHOOSE(CONTROL!$C$15, $D$11, 100%, $F$11)</f>
        <v>13.283099999999999</v>
      </c>
      <c r="D472" s="8">
        <f>13.2614 * CHOOSE( CONTROL!$C$15, $D$11, 100%, $F$11)</f>
        <v>13.2614</v>
      </c>
      <c r="E472" s="12">
        <f>13.2688 * CHOOSE( CONTROL!$C$15, $D$11, 100%, $F$11)</f>
        <v>13.268800000000001</v>
      </c>
      <c r="F472" s="4">
        <f>13.9228 * CHOOSE(CONTROL!$C$15, $D$11, 100%, $F$11)</f>
        <v>13.922800000000001</v>
      </c>
      <c r="G472" s="8">
        <f>13.0399 * CHOOSE( CONTROL!$C$15, $D$11, 100%, $F$11)</f>
        <v>13.039899999999999</v>
      </c>
      <c r="H472" s="4">
        <f>13.9207 * CHOOSE(CONTROL!$C$15, $D$11, 100%, $F$11)</f>
        <v>13.9207</v>
      </c>
      <c r="I472" s="8">
        <f>12.9361 * CHOOSE(CONTROL!$C$15, $D$11, 100%, $F$11)</f>
        <v>12.9361</v>
      </c>
      <c r="J472" s="4">
        <f>12.8066 * CHOOSE(CONTROL!$C$15, $D$11, 100%, $F$11)</f>
        <v>12.8066</v>
      </c>
      <c r="K472" s="4"/>
      <c r="L472" s="9">
        <v>29.306000000000001</v>
      </c>
      <c r="M472" s="9">
        <v>12.063700000000001</v>
      </c>
      <c r="N472" s="9">
        <v>4.9444999999999997</v>
      </c>
      <c r="O472" s="9">
        <v>0.37409999999999999</v>
      </c>
      <c r="P472" s="9">
        <v>1.2927</v>
      </c>
      <c r="Q472" s="9">
        <v>19.942900000000002</v>
      </c>
      <c r="R472" s="9"/>
      <c r="S472" s="11"/>
    </row>
    <row r="473" spans="1:19" ht="15.75">
      <c r="A473" s="13">
        <v>55915</v>
      </c>
      <c r="B473" s="8">
        <f>13.7843 * CHOOSE(CONTROL!$C$15, $D$11, 100%, $F$11)</f>
        <v>13.7843</v>
      </c>
      <c r="C473" s="8">
        <f>13.7894 * CHOOSE(CONTROL!$C$15, $D$11, 100%, $F$11)</f>
        <v>13.789400000000001</v>
      </c>
      <c r="D473" s="8">
        <f>13.7636 * CHOOSE( CONTROL!$C$15, $D$11, 100%, $F$11)</f>
        <v>13.7636</v>
      </c>
      <c r="E473" s="12">
        <f>13.7725 * CHOOSE( CONTROL!$C$15, $D$11, 100%, $F$11)</f>
        <v>13.772500000000001</v>
      </c>
      <c r="F473" s="4">
        <f>14.4283 * CHOOSE(CONTROL!$C$15, $D$11, 100%, $F$11)</f>
        <v>14.4283</v>
      </c>
      <c r="G473" s="8">
        <f>13.5316 * CHOOSE( CONTROL!$C$15, $D$11, 100%, $F$11)</f>
        <v>13.531599999999999</v>
      </c>
      <c r="H473" s="4">
        <f>14.4178 * CHOOSE(CONTROL!$C$15, $D$11, 100%, $F$11)</f>
        <v>14.4178</v>
      </c>
      <c r="I473" s="8">
        <f>13.3964 * CHOOSE(CONTROL!$C$15, $D$11, 100%, $F$11)</f>
        <v>13.3964</v>
      </c>
      <c r="J473" s="4">
        <f>13.2961 * CHOOSE(CONTROL!$C$15, $D$11, 100%, $F$11)</f>
        <v>13.296099999999999</v>
      </c>
      <c r="K473" s="4"/>
      <c r="L473" s="9">
        <v>29.306000000000001</v>
      </c>
      <c r="M473" s="9">
        <v>12.063700000000001</v>
      </c>
      <c r="N473" s="9">
        <v>4.9444999999999997</v>
      </c>
      <c r="O473" s="9">
        <v>0.37409999999999999</v>
      </c>
      <c r="P473" s="9">
        <v>1.2927</v>
      </c>
      <c r="Q473" s="9">
        <v>19.877800000000001</v>
      </c>
      <c r="R473" s="9"/>
      <c r="S473" s="11"/>
    </row>
    <row r="474" spans="1:19" ht="15.75">
      <c r="A474" s="13">
        <v>55943</v>
      </c>
      <c r="B474" s="8">
        <f>12.8951 * CHOOSE(CONTROL!$C$15, $D$11, 100%, $F$11)</f>
        <v>12.895099999999999</v>
      </c>
      <c r="C474" s="8">
        <f>12.9002 * CHOOSE(CONTROL!$C$15, $D$11, 100%, $F$11)</f>
        <v>12.9002</v>
      </c>
      <c r="D474" s="8">
        <f>12.8746 * CHOOSE( CONTROL!$C$15, $D$11, 100%, $F$11)</f>
        <v>12.874599999999999</v>
      </c>
      <c r="E474" s="12">
        <f>12.8834 * CHOOSE( CONTROL!$C$15, $D$11, 100%, $F$11)</f>
        <v>12.8834</v>
      </c>
      <c r="F474" s="4">
        <f>13.5391 * CHOOSE(CONTROL!$C$15, $D$11, 100%, $F$11)</f>
        <v>13.539099999999999</v>
      </c>
      <c r="G474" s="8">
        <f>12.6573 * CHOOSE( CONTROL!$C$15, $D$11, 100%, $F$11)</f>
        <v>12.657299999999999</v>
      </c>
      <c r="H474" s="4">
        <f>13.5434 * CHOOSE(CONTROL!$C$15, $D$11, 100%, $F$11)</f>
        <v>13.5434</v>
      </c>
      <c r="I474" s="8">
        <f>12.5371 * CHOOSE(CONTROL!$C$15, $D$11, 100%, $F$11)</f>
        <v>12.537100000000001</v>
      </c>
      <c r="J474" s="4">
        <f>12.4365 * CHOOSE(CONTROL!$C$15, $D$11, 100%, $F$11)</f>
        <v>12.436500000000001</v>
      </c>
      <c r="K474" s="4"/>
      <c r="L474" s="9">
        <v>26.469899999999999</v>
      </c>
      <c r="M474" s="9">
        <v>10.8962</v>
      </c>
      <c r="N474" s="9">
        <v>4.4660000000000002</v>
      </c>
      <c r="O474" s="9">
        <v>0.33789999999999998</v>
      </c>
      <c r="P474" s="9">
        <v>1.1676</v>
      </c>
      <c r="Q474" s="9">
        <v>17.9542</v>
      </c>
      <c r="R474" s="9"/>
      <c r="S474" s="11"/>
    </row>
    <row r="475" spans="1:19" ht="15.75">
      <c r="A475" s="13">
        <v>55974</v>
      </c>
      <c r="B475" s="8">
        <f>12.6212 * CHOOSE(CONTROL!$C$15, $D$11, 100%, $F$11)</f>
        <v>12.6212</v>
      </c>
      <c r="C475" s="8">
        <f>12.6264 * CHOOSE(CONTROL!$C$15, $D$11, 100%, $F$11)</f>
        <v>12.6264</v>
      </c>
      <c r="D475" s="8">
        <f>12.6007 * CHOOSE( CONTROL!$C$15, $D$11, 100%, $F$11)</f>
        <v>12.6007</v>
      </c>
      <c r="E475" s="12">
        <f>12.6095 * CHOOSE( CONTROL!$C$15, $D$11, 100%, $F$11)</f>
        <v>12.609500000000001</v>
      </c>
      <c r="F475" s="4">
        <f>13.2653 * CHOOSE(CONTROL!$C$15, $D$11, 100%, $F$11)</f>
        <v>13.2653</v>
      </c>
      <c r="G475" s="8">
        <f>12.388 * CHOOSE( CONTROL!$C$15, $D$11, 100%, $F$11)</f>
        <v>12.388</v>
      </c>
      <c r="H475" s="4">
        <f>13.2741 * CHOOSE(CONTROL!$C$15, $D$11, 100%, $F$11)</f>
        <v>13.274100000000001</v>
      </c>
      <c r="I475" s="8">
        <f>12.272 * CHOOSE(CONTROL!$C$15, $D$11, 100%, $F$11)</f>
        <v>12.272</v>
      </c>
      <c r="J475" s="4">
        <f>12.1718 * CHOOSE(CONTROL!$C$15, $D$11, 100%, $F$11)</f>
        <v>12.171799999999999</v>
      </c>
      <c r="K475" s="4"/>
      <c r="L475" s="9">
        <v>29.306000000000001</v>
      </c>
      <c r="M475" s="9">
        <v>12.063700000000001</v>
      </c>
      <c r="N475" s="9">
        <v>4.9444999999999997</v>
      </c>
      <c r="O475" s="9">
        <v>0.37409999999999999</v>
      </c>
      <c r="P475" s="9">
        <v>1.2927</v>
      </c>
      <c r="Q475" s="9">
        <v>19.877800000000001</v>
      </c>
      <c r="R475" s="9"/>
      <c r="S475" s="11"/>
    </row>
    <row r="476" spans="1:19" ht="15.75">
      <c r="A476" s="13">
        <v>56004</v>
      </c>
      <c r="B476" s="8">
        <f>12.8134 * CHOOSE(CONTROL!$C$15, $D$11, 100%, $F$11)</f>
        <v>12.8134</v>
      </c>
      <c r="C476" s="8">
        <f>12.8179 * CHOOSE(CONTROL!$C$15, $D$11, 100%, $F$11)</f>
        <v>12.8179</v>
      </c>
      <c r="D476" s="8">
        <f>12.8289 * CHOOSE( CONTROL!$C$15, $D$11, 100%, $F$11)</f>
        <v>12.828900000000001</v>
      </c>
      <c r="E476" s="12">
        <f>12.8248 * CHOOSE( CONTROL!$C$15, $D$11, 100%, $F$11)</f>
        <v>12.8248</v>
      </c>
      <c r="F476" s="4">
        <f>13.503 * CHOOSE(CONTROL!$C$15, $D$11, 100%, $F$11)</f>
        <v>13.503</v>
      </c>
      <c r="G476" s="8">
        <f>12.569 * CHOOSE( CONTROL!$C$15, $D$11, 100%, $F$11)</f>
        <v>12.569000000000001</v>
      </c>
      <c r="H476" s="4">
        <f>13.5079 * CHOOSE(CONTROL!$C$15, $D$11, 100%, $F$11)</f>
        <v>13.507899999999999</v>
      </c>
      <c r="I476" s="8">
        <f>12.4521 * CHOOSE(CONTROL!$C$15, $D$11, 100%, $F$11)</f>
        <v>12.4521</v>
      </c>
      <c r="J476" s="4">
        <f>12.3568 * CHOOSE(CONTROL!$C$15, $D$11, 100%, $F$11)</f>
        <v>12.3568</v>
      </c>
      <c r="K476" s="4"/>
      <c r="L476" s="9">
        <v>30.092199999999998</v>
      </c>
      <c r="M476" s="9">
        <v>11.6745</v>
      </c>
      <c r="N476" s="9">
        <v>4.7850000000000001</v>
      </c>
      <c r="O476" s="9">
        <v>0.36199999999999999</v>
      </c>
      <c r="P476" s="9">
        <v>1.1791</v>
      </c>
      <c r="Q476" s="9">
        <v>19.236599999999999</v>
      </c>
      <c r="R476" s="9"/>
      <c r="S476" s="11"/>
    </row>
    <row r="477" spans="1:19" ht="15.75">
      <c r="A477" s="13">
        <v>56035</v>
      </c>
      <c r="B477" s="8">
        <f>CHOOSE( CONTROL!$C$32, 13.1589, 13.1553) * CHOOSE(CONTROL!$C$15, $D$11, 100%, $F$11)</f>
        <v>13.158899999999999</v>
      </c>
      <c r="C477" s="8">
        <f>CHOOSE( CONTROL!$C$32, 13.1669, 13.1633) * CHOOSE(CONTROL!$C$15, $D$11, 100%, $F$11)</f>
        <v>13.1669</v>
      </c>
      <c r="D477" s="8">
        <f>CHOOSE( CONTROL!$C$32, 13.1729, 13.1694) * CHOOSE( CONTROL!$C$15, $D$11, 100%, $F$11)</f>
        <v>13.1729</v>
      </c>
      <c r="E477" s="12">
        <f>CHOOSE( CONTROL!$C$32, 13.1695, 13.166) * CHOOSE( CONTROL!$C$15, $D$11, 100%, $F$11)</f>
        <v>13.169499999999999</v>
      </c>
      <c r="F477" s="4">
        <f>CHOOSE( CONTROL!$C$32, 13.8472, 13.8436) * CHOOSE(CONTROL!$C$15, $D$11, 100%, $F$11)</f>
        <v>13.847200000000001</v>
      </c>
      <c r="G477" s="8">
        <f>CHOOSE( CONTROL!$C$32, 12.9085, 12.905) * CHOOSE( CONTROL!$C$15, $D$11, 100%, $F$11)</f>
        <v>12.9085</v>
      </c>
      <c r="H477" s="4">
        <f>CHOOSE( CONTROL!$C$32, 13.8463, 13.8428) * CHOOSE(CONTROL!$C$15, $D$11, 100%, $F$11)</f>
        <v>13.846299999999999</v>
      </c>
      <c r="I477" s="8">
        <f>CHOOSE( CONTROL!$C$32, 12.7859, 12.7824) * CHOOSE(CONTROL!$C$15, $D$11, 100%, $F$11)</f>
        <v>12.7859</v>
      </c>
      <c r="J477" s="4">
        <f>CHOOSE( CONTROL!$C$32, 12.6895, 12.686) * CHOOSE(CONTROL!$C$15, $D$11, 100%, $F$11)</f>
        <v>12.689500000000001</v>
      </c>
      <c r="K477" s="4"/>
      <c r="L477" s="9">
        <v>30.7165</v>
      </c>
      <c r="M477" s="9">
        <v>12.063700000000001</v>
      </c>
      <c r="N477" s="9">
        <v>4.9444999999999997</v>
      </c>
      <c r="O477" s="9">
        <v>0.37409999999999999</v>
      </c>
      <c r="P477" s="9">
        <v>1.2183999999999999</v>
      </c>
      <c r="Q477" s="9">
        <v>19.877800000000001</v>
      </c>
      <c r="R477" s="9"/>
      <c r="S477" s="11"/>
    </row>
    <row r="478" spans="1:19" ht="15.75">
      <c r="A478" s="13">
        <v>56065</v>
      </c>
      <c r="B478" s="8">
        <f>CHOOSE( CONTROL!$C$32, 12.9479, 12.9443) * CHOOSE(CONTROL!$C$15, $D$11, 100%, $F$11)</f>
        <v>12.947900000000001</v>
      </c>
      <c r="C478" s="8">
        <f>CHOOSE( CONTROL!$C$32, 12.9559, 12.9524) * CHOOSE(CONTROL!$C$15, $D$11, 100%, $F$11)</f>
        <v>12.9559</v>
      </c>
      <c r="D478" s="8">
        <f>CHOOSE( CONTROL!$C$32, 12.9622, 12.9586) * CHOOSE( CONTROL!$C$15, $D$11, 100%, $F$11)</f>
        <v>12.962199999999999</v>
      </c>
      <c r="E478" s="12">
        <f>CHOOSE( CONTROL!$C$32, 12.9587, 12.9551) * CHOOSE( CONTROL!$C$15, $D$11, 100%, $F$11)</f>
        <v>12.9587</v>
      </c>
      <c r="F478" s="4">
        <f>CHOOSE( CONTROL!$C$32, 13.6362, 13.6326) * CHOOSE(CONTROL!$C$15, $D$11, 100%, $F$11)</f>
        <v>13.636200000000001</v>
      </c>
      <c r="G478" s="8">
        <f>CHOOSE( CONTROL!$C$32, 12.7014, 12.6979) * CHOOSE( CONTROL!$C$15, $D$11, 100%, $F$11)</f>
        <v>12.7014</v>
      </c>
      <c r="H478" s="4">
        <f>CHOOSE( CONTROL!$C$32, 13.6388, 13.6353) * CHOOSE(CONTROL!$C$15, $D$11, 100%, $F$11)</f>
        <v>13.6388</v>
      </c>
      <c r="I478" s="8">
        <f>CHOOSE( CONTROL!$C$32, 12.5831, 12.5797) * CHOOSE(CONTROL!$C$15, $D$11, 100%, $F$11)</f>
        <v>12.5831</v>
      </c>
      <c r="J478" s="4">
        <f>CHOOSE( CONTROL!$C$32, 12.4855, 12.4821) * CHOOSE(CONTROL!$C$15, $D$11, 100%, $F$11)</f>
        <v>12.4855</v>
      </c>
      <c r="K478" s="4"/>
      <c r="L478" s="9">
        <v>29.7257</v>
      </c>
      <c r="M478" s="9">
        <v>11.6745</v>
      </c>
      <c r="N478" s="9">
        <v>4.7850000000000001</v>
      </c>
      <c r="O478" s="9">
        <v>0.36199999999999999</v>
      </c>
      <c r="P478" s="9">
        <v>1.1791</v>
      </c>
      <c r="Q478" s="9">
        <v>19.236599999999999</v>
      </c>
      <c r="R478" s="9"/>
      <c r="S478" s="11"/>
    </row>
    <row r="479" spans="1:19" ht="15.75">
      <c r="A479" s="13">
        <v>56096</v>
      </c>
      <c r="B479" s="8">
        <f>CHOOSE( CONTROL!$C$32, 13.5035, 13.5) * CHOOSE(CONTROL!$C$15, $D$11, 100%, $F$11)</f>
        <v>13.503500000000001</v>
      </c>
      <c r="C479" s="8">
        <f>CHOOSE( CONTROL!$C$32, 13.5115, 13.508) * CHOOSE(CONTROL!$C$15, $D$11, 100%, $F$11)</f>
        <v>13.5115</v>
      </c>
      <c r="D479" s="8">
        <f>CHOOSE( CONTROL!$C$32, 13.5181, 13.5146) * CHOOSE( CONTROL!$C$15, $D$11, 100%, $F$11)</f>
        <v>13.5181</v>
      </c>
      <c r="E479" s="12">
        <f>CHOOSE( CONTROL!$C$32, 13.5145, 13.511) * CHOOSE( CONTROL!$C$15, $D$11, 100%, $F$11)</f>
        <v>13.5145</v>
      </c>
      <c r="F479" s="4">
        <f>CHOOSE( CONTROL!$C$32, 14.1918, 14.1882) * CHOOSE(CONTROL!$C$15, $D$11, 100%, $F$11)</f>
        <v>14.191800000000001</v>
      </c>
      <c r="G479" s="8">
        <f>CHOOSE( CONTROL!$C$32, 13.2482, 13.2447) * CHOOSE( CONTROL!$C$15, $D$11, 100%, $F$11)</f>
        <v>13.248200000000001</v>
      </c>
      <c r="H479" s="4">
        <f>CHOOSE( CONTROL!$C$32, 14.1852, 14.1817) * CHOOSE(CONTROL!$C$15, $D$11, 100%, $F$11)</f>
        <v>14.1852</v>
      </c>
      <c r="I479" s="8">
        <f>CHOOSE( CONTROL!$C$32, 13.122, 13.1185) * CHOOSE(CONTROL!$C$15, $D$11, 100%, $F$11)</f>
        <v>13.122</v>
      </c>
      <c r="J479" s="4">
        <f>CHOOSE( CONTROL!$C$32, 13.0226, 13.0192) * CHOOSE(CONTROL!$C$15, $D$11, 100%, $F$11)</f>
        <v>13.022600000000001</v>
      </c>
      <c r="K479" s="4"/>
      <c r="L479" s="9">
        <v>30.7165</v>
      </c>
      <c r="M479" s="9">
        <v>12.063700000000001</v>
      </c>
      <c r="N479" s="9">
        <v>4.9444999999999997</v>
      </c>
      <c r="O479" s="9">
        <v>0.37409999999999999</v>
      </c>
      <c r="P479" s="9">
        <v>1.2183999999999999</v>
      </c>
      <c r="Q479" s="9">
        <v>19.877800000000001</v>
      </c>
      <c r="R479" s="9"/>
      <c r="S479" s="11"/>
    </row>
    <row r="480" spans="1:19" ht="15.75">
      <c r="A480" s="13">
        <v>56127</v>
      </c>
      <c r="B480" s="8">
        <f>CHOOSE( CONTROL!$C$32, 12.4639, 12.4604) * CHOOSE(CONTROL!$C$15, $D$11, 100%, $F$11)</f>
        <v>12.463900000000001</v>
      </c>
      <c r="C480" s="8">
        <f>CHOOSE( CONTROL!$C$32, 12.4719, 12.4684) * CHOOSE(CONTROL!$C$15, $D$11, 100%, $F$11)</f>
        <v>12.4719</v>
      </c>
      <c r="D480" s="8">
        <f>CHOOSE( CONTROL!$C$32, 12.4786, 12.4751) * CHOOSE( CONTROL!$C$15, $D$11, 100%, $F$11)</f>
        <v>12.4786</v>
      </c>
      <c r="E480" s="12">
        <f>CHOOSE( CONTROL!$C$32, 12.475, 12.4715) * CHOOSE( CONTROL!$C$15, $D$11, 100%, $F$11)</f>
        <v>12.475</v>
      </c>
      <c r="F480" s="4">
        <f>CHOOSE( CONTROL!$C$32, 13.1522, 13.1486) * CHOOSE(CONTROL!$C$15, $D$11, 100%, $F$11)</f>
        <v>13.152200000000001</v>
      </c>
      <c r="G480" s="8">
        <f>CHOOSE( CONTROL!$C$32, 12.226, 12.2225) * CHOOSE( CONTROL!$C$15, $D$11, 100%, $F$11)</f>
        <v>12.226000000000001</v>
      </c>
      <c r="H480" s="4">
        <f>CHOOSE( CONTROL!$C$32, 13.1629, 13.1594) * CHOOSE(CONTROL!$C$15, $D$11, 100%, $F$11)</f>
        <v>13.1629</v>
      </c>
      <c r="I480" s="8">
        <f>CHOOSE( CONTROL!$C$32, 12.117, 12.1135) * CHOOSE(CONTROL!$C$15, $D$11, 100%, $F$11)</f>
        <v>12.117000000000001</v>
      </c>
      <c r="J480" s="4">
        <f>CHOOSE( CONTROL!$C$32, 12.0176, 12.0142) * CHOOSE(CONTROL!$C$15, $D$11, 100%, $F$11)</f>
        <v>12.0176</v>
      </c>
      <c r="K480" s="4"/>
      <c r="L480" s="9">
        <v>30.7165</v>
      </c>
      <c r="M480" s="9">
        <v>12.063700000000001</v>
      </c>
      <c r="N480" s="9">
        <v>4.9444999999999997</v>
      </c>
      <c r="O480" s="9">
        <v>0.37409999999999999</v>
      </c>
      <c r="P480" s="9">
        <v>1.2183999999999999</v>
      </c>
      <c r="Q480" s="9">
        <v>19.877800000000001</v>
      </c>
      <c r="R480" s="9"/>
      <c r="S480" s="11"/>
    </row>
    <row r="481" spans="1:19" ht="15.75">
      <c r="A481" s="13">
        <v>56157</v>
      </c>
      <c r="B481" s="8">
        <f>CHOOSE( CONTROL!$C$32, 12.2036, 12.2) * CHOOSE(CONTROL!$C$15, $D$11, 100%, $F$11)</f>
        <v>12.2036</v>
      </c>
      <c r="C481" s="8">
        <f>CHOOSE( CONTROL!$C$32, 12.2116, 12.208) * CHOOSE(CONTROL!$C$15, $D$11, 100%, $F$11)</f>
        <v>12.211600000000001</v>
      </c>
      <c r="D481" s="8">
        <f>CHOOSE( CONTROL!$C$32, 12.2183, 12.2147) * CHOOSE( CONTROL!$C$15, $D$11, 100%, $F$11)</f>
        <v>12.218299999999999</v>
      </c>
      <c r="E481" s="12">
        <f>CHOOSE( CONTROL!$C$32, 12.2147, 12.2111) * CHOOSE( CONTROL!$C$15, $D$11, 100%, $F$11)</f>
        <v>12.214700000000001</v>
      </c>
      <c r="F481" s="4">
        <f>CHOOSE( CONTROL!$C$32, 12.8919, 12.8883) * CHOOSE(CONTROL!$C$15, $D$11, 100%, $F$11)</f>
        <v>12.8919</v>
      </c>
      <c r="G481" s="8">
        <f>CHOOSE( CONTROL!$C$32, 11.97, 11.9665) * CHOOSE( CONTROL!$C$15, $D$11, 100%, $F$11)</f>
        <v>11.97</v>
      </c>
      <c r="H481" s="4">
        <f>CHOOSE( CONTROL!$C$32, 12.9069, 12.9033) * CHOOSE(CONTROL!$C$15, $D$11, 100%, $F$11)</f>
        <v>12.9069</v>
      </c>
      <c r="I481" s="8">
        <f>CHOOSE( CONTROL!$C$32, 11.8652, 11.8617) * CHOOSE(CONTROL!$C$15, $D$11, 100%, $F$11)</f>
        <v>11.8652</v>
      </c>
      <c r="J481" s="4">
        <f>CHOOSE( CONTROL!$C$32, 11.766, 11.7625) * CHOOSE(CONTROL!$C$15, $D$11, 100%, $F$11)</f>
        <v>11.766</v>
      </c>
      <c r="K481" s="4"/>
      <c r="L481" s="9">
        <v>29.7257</v>
      </c>
      <c r="M481" s="9">
        <v>11.6745</v>
      </c>
      <c r="N481" s="9">
        <v>4.7850000000000001</v>
      </c>
      <c r="O481" s="9">
        <v>0.36199999999999999</v>
      </c>
      <c r="P481" s="9">
        <v>1.1791</v>
      </c>
      <c r="Q481" s="9">
        <v>19.236599999999999</v>
      </c>
      <c r="R481" s="9"/>
      <c r="S481" s="11"/>
    </row>
    <row r="482" spans="1:19" ht="15.75">
      <c r="A482" s="13">
        <v>56188</v>
      </c>
      <c r="B482" s="8">
        <f>12.7388 * CHOOSE(CONTROL!$C$15, $D$11, 100%, $F$11)</f>
        <v>12.738799999999999</v>
      </c>
      <c r="C482" s="8">
        <f>12.7442 * CHOOSE(CONTROL!$C$15, $D$11, 100%, $F$11)</f>
        <v>12.744199999999999</v>
      </c>
      <c r="D482" s="8">
        <f>12.7557 * CHOOSE( CONTROL!$C$15, $D$11, 100%, $F$11)</f>
        <v>12.755699999999999</v>
      </c>
      <c r="E482" s="12">
        <f>12.7513 * CHOOSE( CONTROL!$C$15, $D$11, 100%, $F$11)</f>
        <v>12.751300000000001</v>
      </c>
      <c r="F482" s="4">
        <f>13.4288 * CHOOSE(CONTROL!$C$15, $D$11, 100%, $F$11)</f>
        <v>13.428800000000001</v>
      </c>
      <c r="G482" s="8">
        <f>12.4976 * CHOOSE( CONTROL!$C$15, $D$11, 100%, $F$11)</f>
        <v>12.4976</v>
      </c>
      <c r="H482" s="4">
        <f>13.4349 * CHOOSE(CONTROL!$C$15, $D$11, 100%, $F$11)</f>
        <v>13.434900000000001</v>
      </c>
      <c r="I482" s="8">
        <f>12.3852 * CHOOSE(CONTROL!$C$15, $D$11, 100%, $F$11)</f>
        <v>12.385199999999999</v>
      </c>
      <c r="J482" s="4">
        <f>12.2851 * CHOOSE(CONTROL!$C$15, $D$11, 100%, $F$11)</f>
        <v>12.2851</v>
      </c>
      <c r="K482" s="4"/>
      <c r="L482" s="9">
        <v>31.095300000000002</v>
      </c>
      <c r="M482" s="9">
        <v>12.063700000000001</v>
      </c>
      <c r="N482" s="9">
        <v>4.9444999999999997</v>
      </c>
      <c r="O482" s="9">
        <v>0.37409999999999999</v>
      </c>
      <c r="P482" s="9">
        <v>1.2183999999999999</v>
      </c>
      <c r="Q482" s="9">
        <v>19.877800000000001</v>
      </c>
      <c r="R482" s="9"/>
      <c r="S482" s="11"/>
    </row>
    <row r="483" spans="1:19" ht="15.75">
      <c r="A483" s="13">
        <v>56218</v>
      </c>
      <c r="B483" s="8">
        <f>13.7361 * CHOOSE(CONTROL!$C$15, $D$11, 100%, $F$11)</f>
        <v>13.7361</v>
      </c>
      <c r="C483" s="8">
        <f>13.7413 * CHOOSE(CONTROL!$C$15, $D$11, 100%, $F$11)</f>
        <v>13.741300000000001</v>
      </c>
      <c r="D483" s="8">
        <f>13.7182 * CHOOSE( CONTROL!$C$15, $D$11, 100%, $F$11)</f>
        <v>13.7182</v>
      </c>
      <c r="E483" s="12">
        <f>13.7261 * CHOOSE( CONTROL!$C$15, $D$11, 100%, $F$11)</f>
        <v>13.726100000000001</v>
      </c>
      <c r="F483" s="4">
        <f>14.381 * CHOOSE(CONTROL!$C$15, $D$11, 100%, $F$11)</f>
        <v>14.381</v>
      </c>
      <c r="G483" s="8">
        <f>13.4895 * CHOOSE( CONTROL!$C$15, $D$11, 100%, $F$11)</f>
        <v>13.4895</v>
      </c>
      <c r="H483" s="4">
        <f>14.3713 * CHOOSE(CONTROL!$C$15, $D$11, 100%, $F$11)</f>
        <v>14.3713</v>
      </c>
      <c r="I483" s="8">
        <f>13.3749 * CHOOSE(CONTROL!$C$15, $D$11, 100%, $F$11)</f>
        <v>13.3749</v>
      </c>
      <c r="J483" s="4">
        <f>13.2496 * CHOOSE(CONTROL!$C$15, $D$11, 100%, $F$11)</f>
        <v>13.249599999999999</v>
      </c>
      <c r="K483" s="4"/>
      <c r="L483" s="9">
        <v>28.360600000000002</v>
      </c>
      <c r="M483" s="9">
        <v>11.6745</v>
      </c>
      <c r="N483" s="9">
        <v>4.7850000000000001</v>
      </c>
      <c r="O483" s="9">
        <v>0.36199999999999999</v>
      </c>
      <c r="P483" s="9">
        <v>1.2509999999999999</v>
      </c>
      <c r="Q483" s="9">
        <v>19.236599999999999</v>
      </c>
      <c r="R483" s="9"/>
      <c r="S483" s="11"/>
    </row>
    <row r="484" spans="1:19" ht="15.75">
      <c r="A484" s="13">
        <v>56249</v>
      </c>
      <c r="B484" s="8">
        <f>13.7112 * CHOOSE(CONTROL!$C$15, $D$11, 100%, $F$11)</f>
        <v>13.7112</v>
      </c>
      <c r="C484" s="8">
        <f>13.7163 * CHOOSE(CONTROL!$C$15, $D$11, 100%, $F$11)</f>
        <v>13.7163</v>
      </c>
      <c r="D484" s="8">
        <f>13.6946 * CHOOSE( CONTROL!$C$15, $D$11, 100%, $F$11)</f>
        <v>13.694599999999999</v>
      </c>
      <c r="E484" s="12">
        <f>13.702 * CHOOSE( CONTROL!$C$15, $D$11, 100%, $F$11)</f>
        <v>13.702</v>
      </c>
      <c r="F484" s="4">
        <f>14.3561 * CHOOSE(CONTROL!$C$15, $D$11, 100%, $F$11)</f>
        <v>14.3561</v>
      </c>
      <c r="G484" s="8">
        <f>13.466 * CHOOSE( CONTROL!$C$15, $D$11, 100%, $F$11)</f>
        <v>13.465999999999999</v>
      </c>
      <c r="H484" s="4">
        <f>14.3468 * CHOOSE(CONTROL!$C$15, $D$11, 100%, $F$11)</f>
        <v>14.3468</v>
      </c>
      <c r="I484" s="8">
        <f>13.3551 * CHOOSE(CONTROL!$C$15, $D$11, 100%, $F$11)</f>
        <v>13.3551</v>
      </c>
      <c r="J484" s="4">
        <f>13.2255 * CHOOSE(CONTROL!$C$15, $D$11, 100%, $F$11)</f>
        <v>13.2255</v>
      </c>
      <c r="K484" s="4"/>
      <c r="L484" s="9">
        <v>29.306000000000001</v>
      </c>
      <c r="M484" s="9">
        <v>12.063700000000001</v>
      </c>
      <c r="N484" s="9">
        <v>4.9444999999999997</v>
      </c>
      <c r="O484" s="9">
        <v>0.37409999999999999</v>
      </c>
      <c r="P484" s="9">
        <v>1.2927</v>
      </c>
      <c r="Q484" s="9">
        <v>19.877800000000001</v>
      </c>
      <c r="R484" s="9"/>
      <c r="S484" s="11"/>
    </row>
    <row r="485" spans="1:19" ht="15.75">
      <c r="A485" s="13">
        <v>56280</v>
      </c>
      <c r="B485" s="8">
        <f>14.2341 * CHOOSE(CONTROL!$C$15, $D$11, 100%, $F$11)</f>
        <v>14.2341</v>
      </c>
      <c r="C485" s="8">
        <f>14.2392 * CHOOSE(CONTROL!$C$15, $D$11, 100%, $F$11)</f>
        <v>14.2392</v>
      </c>
      <c r="D485" s="8">
        <f>14.2134 * CHOOSE( CONTROL!$C$15, $D$11, 100%, $F$11)</f>
        <v>14.2134</v>
      </c>
      <c r="E485" s="12">
        <f>14.2223 * CHOOSE( CONTROL!$C$15, $D$11, 100%, $F$11)</f>
        <v>14.222300000000001</v>
      </c>
      <c r="F485" s="4">
        <f>14.8781 * CHOOSE(CONTROL!$C$15, $D$11, 100%, $F$11)</f>
        <v>14.8781</v>
      </c>
      <c r="G485" s="8">
        <f>13.9739 * CHOOSE( CONTROL!$C$15, $D$11, 100%, $F$11)</f>
        <v>13.9739</v>
      </c>
      <c r="H485" s="4">
        <f>14.8602 * CHOOSE(CONTROL!$C$15, $D$11, 100%, $F$11)</f>
        <v>14.860200000000001</v>
      </c>
      <c r="I485" s="8">
        <f>13.8314 * CHOOSE(CONTROL!$C$15, $D$11, 100%, $F$11)</f>
        <v>13.8314</v>
      </c>
      <c r="J485" s="4">
        <f>13.7309 * CHOOSE(CONTROL!$C$15, $D$11, 100%, $F$11)</f>
        <v>13.7309</v>
      </c>
      <c r="K485" s="4"/>
      <c r="L485" s="9">
        <v>29.306000000000001</v>
      </c>
      <c r="M485" s="9">
        <v>12.063700000000001</v>
      </c>
      <c r="N485" s="9">
        <v>4.9444999999999997</v>
      </c>
      <c r="O485" s="9">
        <v>0.37409999999999999</v>
      </c>
      <c r="P485" s="9">
        <v>1.2927</v>
      </c>
      <c r="Q485" s="9">
        <v>19.814599999999999</v>
      </c>
      <c r="R485" s="9"/>
      <c r="S485" s="11"/>
    </row>
    <row r="486" spans="1:19" ht="15.75">
      <c r="A486" s="13">
        <v>56308</v>
      </c>
      <c r="B486" s="8">
        <f>13.3158 * CHOOSE(CONTROL!$C$15, $D$11, 100%, $F$11)</f>
        <v>13.315799999999999</v>
      </c>
      <c r="C486" s="8">
        <f>13.3209 * CHOOSE(CONTROL!$C$15, $D$11, 100%, $F$11)</f>
        <v>13.3209</v>
      </c>
      <c r="D486" s="8">
        <f>13.2953 * CHOOSE( CONTROL!$C$15, $D$11, 100%, $F$11)</f>
        <v>13.295299999999999</v>
      </c>
      <c r="E486" s="12">
        <f>13.3041 * CHOOSE( CONTROL!$C$15, $D$11, 100%, $F$11)</f>
        <v>13.3041</v>
      </c>
      <c r="F486" s="4">
        <f>13.9599 * CHOOSE(CONTROL!$C$15, $D$11, 100%, $F$11)</f>
        <v>13.959899999999999</v>
      </c>
      <c r="G486" s="8">
        <f>13.0711 * CHOOSE( CONTROL!$C$15, $D$11, 100%, $F$11)</f>
        <v>13.071099999999999</v>
      </c>
      <c r="H486" s="4">
        <f>13.9571 * CHOOSE(CONTROL!$C$15, $D$11, 100%, $F$11)</f>
        <v>13.957100000000001</v>
      </c>
      <c r="I486" s="8">
        <f>12.944 * CHOOSE(CONTROL!$C$15, $D$11, 100%, $F$11)</f>
        <v>12.944000000000001</v>
      </c>
      <c r="J486" s="4">
        <f>12.8432 * CHOOSE(CONTROL!$C$15, $D$11, 100%, $F$11)</f>
        <v>12.8432</v>
      </c>
      <c r="K486" s="4"/>
      <c r="L486" s="9">
        <v>26.469899999999999</v>
      </c>
      <c r="M486" s="9">
        <v>10.8962</v>
      </c>
      <c r="N486" s="9">
        <v>4.4660000000000002</v>
      </c>
      <c r="O486" s="9">
        <v>0.33789999999999998</v>
      </c>
      <c r="P486" s="9">
        <v>1.1676</v>
      </c>
      <c r="Q486" s="9">
        <v>17.896999999999998</v>
      </c>
      <c r="R486" s="9"/>
      <c r="S486" s="11"/>
    </row>
    <row r="487" spans="1:19" ht="15.75">
      <c r="A487" s="13">
        <v>56339</v>
      </c>
      <c r="B487" s="8">
        <f>13.033 * CHOOSE(CONTROL!$C$15, $D$11, 100%, $F$11)</f>
        <v>13.032999999999999</v>
      </c>
      <c r="C487" s="8">
        <f>13.0381 * CHOOSE(CONTROL!$C$15, $D$11, 100%, $F$11)</f>
        <v>13.0381</v>
      </c>
      <c r="D487" s="8">
        <f>13.0124 * CHOOSE( CONTROL!$C$15, $D$11, 100%, $F$11)</f>
        <v>13.0124</v>
      </c>
      <c r="E487" s="12">
        <f>13.0213 * CHOOSE( CONTROL!$C$15, $D$11, 100%, $F$11)</f>
        <v>13.0213</v>
      </c>
      <c r="F487" s="4">
        <f>13.677 * CHOOSE(CONTROL!$C$15, $D$11, 100%, $F$11)</f>
        <v>13.677</v>
      </c>
      <c r="G487" s="8">
        <f>12.7929 * CHOOSE( CONTROL!$C$15, $D$11, 100%, $F$11)</f>
        <v>12.792899999999999</v>
      </c>
      <c r="H487" s="4">
        <f>13.679 * CHOOSE(CONTROL!$C$15, $D$11, 100%, $F$11)</f>
        <v>13.679</v>
      </c>
      <c r="I487" s="8">
        <f>12.6703 * CHOOSE(CONTROL!$C$15, $D$11, 100%, $F$11)</f>
        <v>12.670299999999999</v>
      </c>
      <c r="J487" s="4">
        <f>12.5698 * CHOOSE(CONTROL!$C$15, $D$11, 100%, $F$11)</f>
        <v>12.569800000000001</v>
      </c>
      <c r="K487" s="4"/>
      <c r="L487" s="9">
        <v>29.306000000000001</v>
      </c>
      <c r="M487" s="9">
        <v>12.063700000000001</v>
      </c>
      <c r="N487" s="9">
        <v>4.9444999999999997</v>
      </c>
      <c r="O487" s="9">
        <v>0.37409999999999999</v>
      </c>
      <c r="P487" s="9">
        <v>1.2927</v>
      </c>
      <c r="Q487" s="9">
        <v>19.814599999999999</v>
      </c>
      <c r="R487" s="9"/>
      <c r="S487" s="11"/>
    </row>
    <row r="488" spans="1:19" ht="15.75">
      <c r="A488" s="13">
        <v>56369</v>
      </c>
      <c r="B488" s="8">
        <f>13.2314 * CHOOSE(CONTROL!$C$15, $D$11, 100%, $F$11)</f>
        <v>13.231400000000001</v>
      </c>
      <c r="C488" s="8">
        <f>13.236 * CHOOSE(CONTROL!$C$15, $D$11, 100%, $F$11)</f>
        <v>13.236000000000001</v>
      </c>
      <c r="D488" s="8">
        <f>13.247 * CHOOSE( CONTROL!$C$15, $D$11, 100%, $F$11)</f>
        <v>13.247</v>
      </c>
      <c r="E488" s="12">
        <f>13.2428 * CHOOSE( CONTROL!$C$15, $D$11, 100%, $F$11)</f>
        <v>13.242800000000001</v>
      </c>
      <c r="F488" s="4">
        <f>13.921 * CHOOSE(CONTROL!$C$15, $D$11, 100%, $F$11)</f>
        <v>13.920999999999999</v>
      </c>
      <c r="G488" s="8">
        <f>12.9801 * CHOOSE( CONTROL!$C$15, $D$11, 100%, $F$11)</f>
        <v>12.9801</v>
      </c>
      <c r="H488" s="4">
        <f>13.919 * CHOOSE(CONTROL!$C$15, $D$11, 100%, $F$11)</f>
        <v>13.919</v>
      </c>
      <c r="I488" s="8">
        <f>12.8565 * CHOOSE(CONTROL!$C$15, $D$11, 100%, $F$11)</f>
        <v>12.8565</v>
      </c>
      <c r="J488" s="4">
        <f>12.7609 * CHOOSE(CONTROL!$C$15, $D$11, 100%, $F$11)</f>
        <v>12.760899999999999</v>
      </c>
      <c r="K488" s="4"/>
      <c r="L488" s="9">
        <v>30.092199999999998</v>
      </c>
      <c r="M488" s="9">
        <v>11.6745</v>
      </c>
      <c r="N488" s="9">
        <v>4.7850000000000001</v>
      </c>
      <c r="O488" s="9">
        <v>0.36199999999999999</v>
      </c>
      <c r="P488" s="9">
        <v>1.1791</v>
      </c>
      <c r="Q488" s="9">
        <v>19.1754</v>
      </c>
      <c r="R488" s="9"/>
      <c r="S488" s="11"/>
    </row>
    <row r="489" spans="1:19" ht="15.75">
      <c r="A489" s="13">
        <v>56400</v>
      </c>
      <c r="B489" s="8">
        <f>CHOOSE( CONTROL!$C$32, 13.5881, 13.5845) * CHOOSE(CONTROL!$C$15, $D$11, 100%, $F$11)</f>
        <v>13.588100000000001</v>
      </c>
      <c r="C489" s="8">
        <f>CHOOSE( CONTROL!$C$32, 13.5961, 13.5925) * CHOOSE(CONTROL!$C$15, $D$11, 100%, $F$11)</f>
        <v>13.5961</v>
      </c>
      <c r="D489" s="8">
        <f>CHOOSE( CONTROL!$C$32, 13.6021, 13.5985) * CHOOSE( CONTROL!$C$15, $D$11, 100%, $F$11)</f>
        <v>13.6021</v>
      </c>
      <c r="E489" s="12">
        <f>CHOOSE( CONTROL!$C$32, 13.5987, 13.5951) * CHOOSE( CONTROL!$C$15, $D$11, 100%, $F$11)</f>
        <v>13.598699999999999</v>
      </c>
      <c r="F489" s="4">
        <f>CHOOSE( CONTROL!$C$32, 14.2763, 14.2728) * CHOOSE(CONTROL!$C$15, $D$11, 100%, $F$11)</f>
        <v>14.276300000000001</v>
      </c>
      <c r="G489" s="8">
        <f>CHOOSE( CONTROL!$C$32, 13.3305, 13.327) * CHOOSE( CONTROL!$C$15, $D$11, 100%, $F$11)</f>
        <v>13.330500000000001</v>
      </c>
      <c r="H489" s="4">
        <f>CHOOSE( CONTROL!$C$32, 14.2684, 14.2649) * CHOOSE(CONTROL!$C$15, $D$11, 100%, $F$11)</f>
        <v>14.2684</v>
      </c>
      <c r="I489" s="8">
        <f>CHOOSE( CONTROL!$C$32, 13.201, 13.1975) * CHOOSE(CONTROL!$C$15, $D$11, 100%, $F$11)</f>
        <v>13.201000000000001</v>
      </c>
      <c r="J489" s="4">
        <f>CHOOSE( CONTROL!$C$32, 13.1044, 13.1009) * CHOOSE(CONTROL!$C$15, $D$11, 100%, $F$11)</f>
        <v>13.1044</v>
      </c>
      <c r="K489" s="4"/>
      <c r="L489" s="9">
        <v>30.7165</v>
      </c>
      <c r="M489" s="9">
        <v>12.063700000000001</v>
      </c>
      <c r="N489" s="9">
        <v>4.9444999999999997</v>
      </c>
      <c r="O489" s="9">
        <v>0.37409999999999999</v>
      </c>
      <c r="P489" s="9">
        <v>1.2183999999999999</v>
      </c>
      <c r="Q489" s="9">
        <v>19.814599999999999</v>
      </c>
      <c r="R489" s="9"/>
      <c r="S489" s="11"/>
    </row>
    <row r="490" spans="1:19" ht="15.75">
      <c r="A490" s="13">
        <v>56430</v>
      </c>
      <c r="B490" s="8">
        <f>CHOOSE( CONTROL!$C$32, 13.3702, 13.3666) * CHOOSE(CONTROL!$C$15, $D$11, 100%, $F$11)</f>
        <v>13.370200000000001</v>
      </c>
      <c r="C490" s="8">
        <f>CHOOSE( CONTROL!$C$32, 13.3782, 13.3746) * CHOOSE(CONTROL!$C$15, $D$11, 100%, $F$11)</f>
        <v>13.3782</v>
      </c>
      <c r="D490" s="8">
        <f>CHOOSE( CONTROL!$C$32, 13.3845, 13.3809) * CHOOSE( CONTROL!$C$15, $D$11, 100%, $F$11)</f>
        <v>13.384499999999999</v>
      </c>
      <c r="E490" s="12">
        <f>CHOOSE( CONTROL!$C$32, 13.381, 13.3774) * CHOOSE( CONTROL!$C$15, $D$11, 100%, $F$11)</f>
        <v>13.381</v>
      </c>
      <c r="F490" s="4">
        <f>CHOOSE( CONTROL!$C$32, 14.0585, 14.0549) * CHOOSE(CONTROL!$C$15, $D$11, 100%, $F$11)</f>
        <v>14.0585</v>
      </c>
      <c r="G490" s="8">
        <f>CHOOSE( CONTROL!$C$32, 13.1167, 13.1132) * CHOOSE( CONTROL!$C$15, $D$11, 100%, $F$11)</f>
        <v>13.1167</v>
      </c>
      <c r="H490" s="4">
        <f>CHOOSE( CONTROL!$C$32, 14.0541, 14.0506) * CHOOSE(CONTROL!$C$15, $D$11, 100%, $F$11)</f>
        <v>14.0541</v>
      </c>
      <c r="I490" s="8">
        <f>CHOOSE( CONTROL!$C$32, 12.9915, 12.9881) * CHOOSE(CONTROL!$C$15, $D$11, 100%, $F$11)</f>
        <v>12.9915</v>
      </c>
      <c r="J490" s="4">
        <f>CHOOSE( CONTROL!$C$32, 12.8937, 12.8903) * CHOOSE(CONTROL!$C$15, $D$11, 100%, $F$11)</f>
        <v>12.893700000000001</v>
      </c>
      <c r="K490" s="4"/>
      <c r="L490" s="9">
        <v>29.7257</v>
      </c>
      <c r="M490" s="9">
        <v>11.6745</v>
      </c>
      <c r="N490" s="9">
        <v>4.7850000000000001</v>
      </c>
      <c r="O490" s="9">
        <v>0.36199999999999999</v>
      </c>
      <c r="P490" s="9">
        <v>1.1791</v>
      </c>
      <c r="Q490" s="9">
        <v>19.1754</v>
      </c>
      <c r="R490" s="9"/>
      <c r="S490" s="11"/>
    </row>
    <row r="491" spans="1:19" ht="15.75">
      <c r="A491" s="13">
        <v>56461</v>
      </c>
      <c r="B491" s="8">
        <f>CHOOSE( CONTROL!$C$32, 13.944, 13.9404) * CHOOSE(CONTROL!$C$15, $D$11, 100%, $F$11)</f>
        <v>13.944000000000001</v>
      </c>
      <c r="C491" s="8">
        <f>CHOOSE( CONTROL!$C$32, 13.952, 13.9484) * CHOOSE(CONTROL!$C$15, $D$11, 100%, $F$11)</f>
        <v>13.952</v>
      </c>
      <c r="D491" s="8">
        <f>CHOOSE( CONTROL!$C$32, 13.9586, 13.955) * CHOOSE( CONTROL!$C$15, $D$11, 100%, $F$11)</f>
        <v>13.958600000000001</v>
      </c>
      <c r="E491" s="12">
        <f>CHOOSE( CONTROL!$C$32, 13.955, 13.9514) * CHOOSE( CONTROL!$C$15, $D$11, 100%, $F$11)</f>
        <v>13.955</v>
      </c>
      <c r="F491" s="4">
        <f>CHOOSE( CONTROL!$C$32, 14.6322, 14.6287) * CHOOSE(CONTROL!$C$15, $D$11, 100%, $F$11)</f>
        <v>14.632199999999999</v>
      </c>
      <c r="G491" s="8">
        <f>CHOOSE( CONTROL!$C$32, 13.6814, 13.6779) * CHOOSE( CONTROL!$C$15, $D$11, 100%, $F$11)</f>
        <v>13.6814</v>
      </c>
      <c r="H491" s="4">
        <f>CHOOSE( CONTROL!$C$32, 14.6184, 14.6149) * CHOOSE(CONTROL!$C$15, $D$11, 100%, $F$11)</f>
        <v>14.618399999999999</v>
      </c>
      <c r="I491" s="8">
        <f>CHOOSE( CONTROL!$C$32, 13.548, 13.5445) * CHOOSE(CONTROL!$C$15, $D$11, 100%, $F$11)</f>
        <v>13.548</v>
      </c>
      <c r="J491" s="4">
        <f>CHOOSE( CONTROL!$C$32, 13.4484, 13.4449) * CHOOSE(CONTROL!$C$15, $D$11, 100%, $F$11)</f>
        <v>13.448399999999999</v>
      </c>
      <c r="K491" s="4"/>
      <c r="L491" s="9">
        <v>30.7165</v>
      </c>
      <c r="M491" s="9">
        <v>12.063700000000001</v>
      </c>
      <c r="N491" s="9">
        <v>4.9444999999999997</v>
      </c>
      <c r="O491" s="9">
        <v>0.37409999999999999</v>
      </c>
      <c r="P491" s="9">
        <v>1.2183999999999999</v>
      </c>
      <c r="Q491" s="9">
        <v>19.814599999999999</v>
      </c>
      <c r="R491" s="9"/>
      <c r="S491" s="11"/>
    </row>
    <row r="492" spans="1:19" ht="15.75">
      <c r="A492" s="13">
        <v>56492</v>
      </c>
      <c r="B492" s="8">
        <f>CHOOSE( CONTROL!$C$32, 12.8704, 12.8668) * CHOOSE(CONTROL!$C$15, $D$11, 100%, $F$11)</f>
        <v>12.8704</v>
      </c>
      <c r="C492" s="8">
        <f>CHOOSE( CONTROL!$C$32, 12.8784, 12.8748) * CHOOSE(CONTROL!$C$15, $D$11, 100%, $F$11)</f>
        <v>12.878399999999999</v>
      </c>
      <c r="D492" s="8">
        <f>CHOOSE( CONTROL!$C$32, 12.8851, 12.8815) * CHOOSE( CONTROL!$C$15, $D$11, 100%, $F$11)</f>
        <v>12.8851</v>
      </c>
      <c r="E492" s="12">
        <f>CHOOSE( CONTROL!$C$32, 12.8815, 12.8779) * CHOOSE( CONTROL!$C$15, $D$11, 100%, $F$11)</f>
        <v>12.881500000000001</v>
      </c>
      <c r="F492" s="4">
        <f>CHOOSE( CONTROL!$C$32, 13.5586, 13.5551) * CHOOSE(CONTROL!$C$15, $D$11, 100%, $F$11)</f>
        <v>13.5586</v>
      </c>
      <c r="G492" s="8">
        <f>CHOOSE( CONTROL!$C$32, 12.6257, 12.6222) * CHOOSE( CONTROL!$C$15, $D$11, 100%, $F$11)</f>
        <v>12.6257</v>
      </c>
      <c r="H492" s="4">
        <f>CHOOSE( CONTROL!$C$32, 13.5626, 13.5591) * CHOOSE(CONTROL!$C$15, $D$11, 100%, $F$11)</f>
        <v>13.5626</v>
      </c>
      <c r="I492" s="8">
        <f>CHOOSE( CONTROL!$C$32, 12.5101, 12.5066) * CHOOSE(CONTROL!$C$15, $D$11, 100%, $F$11)</f>
        <v>12.5101</v>
      </c>
      <c r="J492" s="4">
        <f>CHOOSE( CONTROL!$C$32, 12.4105, 12.4071) * CHOOSE(CONTROL!$C$15, $D$11, 100%, $F$11)</f>
        <v>12.410500000000001</v>
      </c>
      <c r="K492" s="4"/>
      <c r="L492" s="9">
        <v>30.7165</v>
      </c>
      <c r="M492" s="9">
        <v>12.063700000000001</v>
      </c>
      <c r="N492" s="9">
        <v>4.9444999999999997</v>
      </c>
      <c r="O492" s="9">
        <v>0.37409999999999999</v>
      </c>
      <c r="P492" s="9">
        <v>1.2183999999999999</v>
      </c>
      <c r="Q492" s="9">
        <v>19.814599999999999</v>
      </c>
      <c r="R492" s="9"/>
      <c r="S492" s="11"/>
    </row>
    <row r="493" spans="1:19" ht="15.75">
      <c r="A493" s="13">
        <v>56522</v>
      </c>
      <c r="B493" s="8">
        <f>CHOOSE( CONTROL!$C$32, 12.6015, 12.598) * CHOOSE(CONTROL!$C$15, $D$11, 100%, $F$11)</f>
        <v>12.6015</v>
      </c>
      <c r="C493" s="8">
        <f>CHOOSE( CONTROL!$C$32, 12.6095, 12.606) * CHOOSE(CONTROL!$C$15, $D$11, 100%, $F$11)</f>
        <v>12.609500000000001</v>
      </c>
      <c r="D493" s="8">
        <f>CHOOSE( CONTROL!$C$32, 12.6162, 12.6127) * CHOOSE( CONTROL!$C$15, $D$11, 100%, $F$11)</f>
        <v>12.616199999999999</v>
      </c>
      <c r="E493" s="12">
        <f>CHOOSE( CONTROL!$C$32, 12.6126, 12.6091) * CHOOSE( CONTROL!$C$15, $D$11, 100%, $F$11)</f>
        <v>12.6126</v>
      </c>
      <c r="F493" s="4">
        <f>CHOOSE( CONTROL!$C$32, 13.2898, 13.2862) * CHOOSE(CONTROL!$C$15, $D$11, 100%, $F$11)</f>
        <v>13.2898</v>
      </c>
      <c r="G493" s="8">
        <f>CHOOSE( CONTROL!$C$32, 12.3613, 12.3578) * CHOOSE( CONTROL!$C$15, $D$11, 100%, $F$11)</f>
        <v>12.3613</v>
      </c>
      <c r="H493" s="4">
        <f>CHOOSE( CONTROL!$C$32, 13.2982, 13.2947) * CHOOSE(CONTROL!$C$15, $D$11, 100%, $F$11)</f>
        <v>13.2982</v>
      </c>
      <c r="I493" s="8">
        <f>CHOOSE( CONTROL!$C$32, 12.25, 12.2466) * CHOOSE(CONTROL!$C$15, $D$11, 100%, $F$11)</f>
        <v>12.25</v>
      </c>
      <c r="J493" s="4">
        <f>CHOOSE( CONTROL!$C$32, 12.1507, 12.1472) * CHOOSE(CONTROL!$C$15, $D$11, 100%, $F$11)</f>
        <v>12.150700000000001</v>
      </c>
      <c r="K493" s="4"/>
      <c r="L493" s="9">
        <v>29.7257</v>
      </c>
      <c r="M493" s="9">
        <v>11.6745</v>
      </c>
      <c r="N493" s="9">
        <v>4.7850000000000001</v>
      </c>
      <c r="O493" s="9">
        <v>0.36199999999999999</v>
      </c>
      <c r="P493" s="9">
        <v>1.1791</v>
      </c>
      <c r="Q493" s="9">
        <v>19.1754</v>
      </c>
      <c r="R493" s="9"/>
      <c r="S493" s="11"/>
    </row>
    <row r="494" spans="1:19" ht="15.75">
      <c r="A494" s="13">
        <v>56553</v>
      </c>
      <c r="B494" s="8">
        <f>13.1544 * CHOOSE(CONTROL!$C$15, $D$11, 100%, $F$11)</f>
        <v>13.154400000000001</v>
      </c>
      <c r="C494" s="8">
        <f>13.1598 * CHOOSE(CONTROL!$C$15, $D$11, 100%, $F$11)</f>
        <v>13.159800000000001</v>
      </c>
      <c r="D494" s="8">
        <f>13.1713 * CHOOSE( CONTROL!$C$15, $D$11, 100%, $F$11)</f>
        <v>13.1713</v>
      </c>
      <c r="E494" s="12">
        <f>13.1669 * CHOOSE( CONTROL!$C$15, $D$11, 100%, $F$11)</f>
        <v>13.1669</v>
      </c>
      <c r="F494" s="4">
        <f>13.8444 * CHOOSE(CONTROL!$C$15, $D$11, 100%, $F$11)</f>
        <v>13.8444</v>
      </c>
      <c r="G494" s="8">
        <f>12.9063 * CHOOSE( CONTROL!$C$15, $D$11, 100%, $F$11)</f>
        <v>12.9063</v>
      </c>
      <c r="H494" s="4">
        <f>13.8436 * CHOOSE(CONTROL!$C$15, $D$11, 100%, $F$11)</f>
        <v>13.8436</v>
      </c>
      <c r="I494" s="8">
        <f>12.7872 * CHOOSE(CONTROL!$C$15, $D$11, 100%, $F$11)</f>
        <v>12.7872</v>
      </c>
      <c r="J494" s="4">
        <f>12.6868 * CHOOSE(CONTROL!$C$15, $D$11, 100%, $F$11)</f>
        <v>12.6868</v>
      </c>
      <c r="K494" s="4"/>
      <c r="L494" s="9">
        <v>31.095300000000002</v>
      </c>
      <c r="M494" s="9">
        <v>12.063700000000001</v>
      </c>
      <c r="N494" s="9">
        <v>4.9444999999999997</v>
      </c>
      <c r="O494" s="9">
        <v>0.37409999999999999</v>
      </c>
      <c r="P494" s="9">
        <v>1.2183999999999999</v>
      </c>
      <c r="Q494" s="9">
        <v>19.814599999999999</v>
      </c>
      <c r="R494" s="9"/>
      <c r="S494" s="11"/>
    </row>
    <row r="495" spans="1:19" ht="15.75">
      <c r="A495" s="13">
        <v>56583</v>
      </c>
      <c r="B495" s="8">
        <f>14.1844 * CHOOSE(CONTROL!$C$15, $D$11, 100%, $F$11)</f>
        <v>14.1844</v>
      </c>
      <c r="C495" s="8">
        <f>14.1895 * CHOOSE(CONTROL!$C$15, $D$11, 100%, $F$11)</f>
        <v>14.189500000000001</v>
      </c>
      <c r="D495" s="8">
        <f>14.1664 * CHOOSE( CONTROL!$C$15, $D$11, 100%, $F$11)</f>
        <v>14.166399999999999</v>
      </c>
      <c r="E495" s="12">
        <f>14.1743 * CHOOSE( CONTROL!$C$15, $D$11, 100%, $F$11)</f>
        <v>14.174300000000001</v>
      </c>
      <c r="F495" s="4">
        <f>14.8293 * CHOOSE(CONTROL!$C$15, $D$11, 100%, $F$11)</f>
        <v>14.8293</v>
      </c>
      <c r="G495" s="8">
        <f>13.9303 * CHOOSE( CONTROL!$C$15, $D$11, 100%, $F$11)</f>
        <v>13.930300000000001</v>
      </c>
      <c r="H495" s="4">
        <f>14.8121 * CHOOSE(CONTROL!$C$15, $D$11, 100%, $F$11)</f>
        <v>14.812099999999999</v>
      </c>
      <c r="I495" s="8">
        <f>13.8084 * CHOOSE(CONTROL!$C$15, $D$11, 100%, $F$11)</f>
        <v>13.808400000000001</v>
      </c>
      <c r="J495" s="4">
        <f>13.6829 * CHOOSE(CONTROL!$C$15, $D$11, 100%, $F$11)</f>
        <v>13.6829</v>
      </c>
      <c r="K495" s="4"/>
      <c r="L495" s="9">
        <v>28.360600000000002</v>
      </c>
      <c r="M495" s="9">
        <v>11.6745</v>
      </c>
      <c r="N495" s="9">
        <v>4.7850000000000001</v>
      </c>
      <c r="O495" s="9">
        <v>0.36199999999999999</v>
      </c>
      <c r="P495" s="9">
        <v>1.2509999999999999</v>
      </c>
      <c r="Q495" s="9">
        <v>19.1754</v>
      </c>
      <c r="R495" s="9"/>
      <c r="S495" s="11"/>
    </row>
    <row r="496" spans="1:19" ht="15.75">
      <c r="A496" s="13">
        <v>56614</v>
      </c>
      <c r="B496" s="8">
        <f>14.1586 * CHOOSE(CONTROL!$C$15, $D$11, 100%, $F$11)</f>
        <v>14.1586</v>
      </c>
      <c r="C496" s="8">
        <f>14.1637 * CHOOSE(CONTROL!$C$15, $D$11, 100%, $F$11)</f>
        <v>14.1637</v>
      </c>
      <c r="D496" s="8">
        <f>14.1421 * CHOOSE( CONTROL!$C$15, $D$11, 100%, $F$11)</f>
        <v>14.142099999999999</v>
      </c>
      <c r="E496" s="12">
        <f>14.1495 * CHOOSE( CONTROL!$C$15, $D$11, 100%, $F$11)</f>
        <v>14.1495</v>
      </c>
      <c r="F496" s="4">
        <f>14.8035 * CHOOSE(CONTROL!$C$15, $D$11, 100%, $F$11)</f>
        <v>14.8035</v>
      </c>
      <c r="G496" s="8">
        <f>13.906 * CHOOSE( CONTROL!$C$15, $D$11, 100%, $F$11)</f>
        <v>13.906000000000001</v>
      </c>
      <c r="H496" s="4">
        <f>14.7868 * CHOOSE(CONTROL!$C$15, $D$11, 100%, $F$11)</f>
        <v>14.786799999999999</v>
      </c>
      <c r="I496" s="8">
        <f>13.7879 * CHOOSE(CONTROL!$C$15, $D$11, 100%, $F$11)</f>
        <v>13.7879</v>
      </c>
      <c r="J496" s="4">
        <f>13.658 * CHOOSE(CONTROL!$C$15, $D$11, 100%, $F$11)</f>
        <v>13.657999999999999</v>
      </c>
      <c r="K496" s="4"/>
      <c r="L496" s="9">
        <v>29.306000000000001</v>
      </c>
      <c r="M496" s="9">
        <v>12.063700000000001</v>
      </c>
      <c r="N496" s="9">
        <v>4.9444999999999997</v>
      </c>
      <c r="O496" s="9">
        <v>0.37409999999999999</v>
      </c>
      <c r="P496" s="9">
        <v>1.2927</v>
      </c>
      <c r="Q496" s="9">
        <v>19.814599999999999</v>
      </c>
      <c r="R496" s="9"/>
      <c r="S496" s="11"/>
    </row>
    <row r="497" spans="1:19" ht="15.75">
      <c r="A497" s="13">
        <v>56645</v>
      </c>
      <c r="B497" s="8">
        <f>14.6986 * CHOOSE(CONTROL!$C$15, $D$11, 100%, $F$11)</f>
        <v>14.698600000000001</v>
      </c>
      <c r="C497" s="8">
        <f>14.7037 * CHOOSE(CONTROL!$C$15, $D$11, 100%, $F$11)</f>
        <v>14.7037</v>
      </c>
      <c r="D497" s="8">
        <f>14.6779 * CHOOSE( CONTROL!$C$15, $D$11, 100%, $F$11)</f>
        <v>14.677899999999999</v>
      </c>
      <c r="E497" s="12">
        <f>14.6868 * CHOOSE( CONTROL!$C$15, $D$11, 100%, $F$11)</f>
        <v>14.6868</v>
      </c>
      <c r="F497" s="4">
        <f>15.3426 * CHOOSE(CONTROL!$C$15, $D$11, 100%, $F$11)</f>
        <v>15.342599999999999</v>
      </c>
      <c r="G497" s="8">
        <f>14.4308 * CHOOSE( CONTROL!$C$15, $D$11, 100%, $F$11)</f>
        <v>14.4308</v>
      </c>
      <c r="H497" s="4">
        <f>15.317 * CHOOSE(CONTROL!$C$15, $D$11, 100%, $F$11)</f>
        <v>15.317</v>
      </c>
      <c r="I497" s="8">
        <f>14.2807 * CHOOSE(CONTROL!$C$15, $D$11, 100%, $F$11)</f>
        <v>14.2807</v>
      </c>
      <c r="J497" s="4">
        <f>14.18 * CHOOSE(CONTROL!$C$15, $D$11, 100%, $F$11)</f>
        <v>14.18</v>
      </c>
      <c r="K497" s="4"/>
      <c r="L497" s="9">
        <v>29.306000000000001</v>
      </c>
      <c r="M497" s="9">
        <v>12.063700000000001</v>
      </c>
      <c r="N497" s="9">
        <v>4.9444999999999997</v>
      </c>
      <c r="O497" s="9">
        <v>0.37409999999999999</v>
      </c>
      <c r="P497" s="9">
        <v>1.2927</v>
      </c>
      <c r="Q497" s="9">
        <v>19.751300000000001</v>
      </c>
      <c r="R497" s="9"/>
      <c r="S497" s="11"/>
    </row>
    <row r="498" spans="1:19" ht="15.75">
      <c r="A498" s="13">
        <v>56673</v>
      </c>
      <c r="B498" s="8">
        <f>13.7503 * CHOOSE(CONTROL!$C$15, $D$11, 100%, $F$11)</f>
        <v>13.750299999999999</v>
      </c>
      <c r="C498" s="8">
        <f>13.7554 * CHOOSE(CONTROL!$C$15, $D$11, 100%, $F$11)</f>
        <v>13.7554</v>
      </c>
      <c r="D498" s="8">
        <f>13.7298 * CHOOSE( CONTROL!$C$15, $D$11, 100%, $F$11)</f>
        <v>13.729799999999999</v>
      </c>
      <c r="E498" s="12">
        <f>13.7386 * CHOOSE( CONTROL!$C$15, $D$11, 100%, $F$11)</f>
        <v>13.7386</v>
      </c>
      <c r="F498" s="4">
        <f>14.3943 * CHOOSE(CONTROL!$C$15, $D$11, 100%, $F$11)</f>
        <v>14.394299999999999</v>
      </c>
      <c r="G498" s="8">
        <f>13.4984 * CHOOSE( CONTROL!$C$15, $D$11, 100%, $F$11)</f>
        <v>13.4984</v>
      </c>
      <c r="H498" s="4">
        <f>14.3844 * CHOOSE(CONTROL!$C$15, $D$11, 100%, $F$11)</f>
        <v>14.384399999999999</v>
      </c>
      <c r="I498" s="8">
        <f>13.3643 * CHOOSE(CONTROL!$C$15, $D$11, 100%, $F$11)</f>
        <v>13.3643</v>
      </c>
      <c r="J498" s="4">
        <f>13.2633 * CHOOSE(CONTROL!$C$15, $D$11, 100%, $F$11)</f>
        <v>13.263299999999999</v>
      </c>
      <c r="K498" s="4"/>
      <c r="L498" s="9">
        <v>26.469899999999999</v>
      </c>
      <c r="M498" s="9">
        <v>10.8962</v>
      </c>
      <c r="N498" s="9">
        <v>4.4660000000000002</v>
      </c>
      <c r="O498" s="9">
        <v>0.33789999999999998</v>
      </c>
      <c r="P498" s="9">
        <v>1.1676</v>
      </c>
      <c r="Q498" s="9">
        <v>17.8399</v>
      </c>
      <c r="R498" s="9"/>
      <c r="S498" s="11"/>
    </row>
    <row r="499" spans="1:19" ht="15.75">
      <c r="A499" s="13">
        <v>56704</v>
      </c>
      <c r="B499" s="8">
        <f>13.4583 * CHOOSE(CONTROL!$C$15, $D$11, 100%, $F$11)</f>
        <v>13.458299999999999</v>
      </c>
      <c r="C499" s="8">
        <f>13.4634 * CHOOSE(CONTROL!$C$15, $D$11, 100%, $F$11)</f>
        <v>13.4634</v>
      </c>
      <c r="D499" s="8">
        <f>13.4377 * CHOOSE( CONTROL!$C$15, $D$11, 100%, $F$11)</f>
        <v>13.4377</v>
      </c>
      <c r="E499" s="12">
        <f>13.4466 * CHOOSE( CONTROL!$C$15, $D$11, 100%, $F$11)</f>
        <v>13.4466</v>
      </c>
      <c r="F499" s="4">
        <f>14.1023 * CHOOSE(CONTROL!$C$15, $D$11, 100%, $F$11)</f>
        <v>14.1023</v>
      </c>
      <c r="G499" s="8">
        <f>13.2111 * CHOOSE( CONTROL!$C$15, $D$11, 100%, $F$11)</f>
        <v>13.2111</v>
      </c>
      <c r="H499" s="4">
        <f>14.0972 * CHOOSE(CONTROL!$C$15, $D$11, 100%, $F$11)</f>
        <v>14.097200000000001</v>
      </c>
      <c r="I499" s="8">
        <f>13.0816 * CHOOSE(CONTROL!$C$15, $D$11, 100%, $F$11)</f>
        <v>13.0816</v>
      </c>
      <c r="J499" s="4">
        <f>12.9809 * CHOOSE(CONTROL!$C$15, $D$11, 100%, $F$11)</f>
        <v>12.9809</v>
      </c>
      <c r="K499" s="4"/>
      <c r="L499" s="9">
        <v>29.306000000000001</v>
      </c>
      <c r="M499" s="9">
        <v>12.063700000000001</v>
      </c>
      <c r="N499" s="9">
        <v>4.9444999999999997</v>
      </c>
      <c r="O499" s="9">
        <v>0.37409999999999999</v>
      </c>
      <c r="P499" s="9">
        <v>1.2927</v>
      </c>
      <c r="Q499" s="9">
        <v>19.751300000000001</v>
      </c>
      <c r="R499" s="9"/>
      <c r="S499" s="11"/>
    </row>
    <row r="500" spans="1:19" ht="15.75">
      <c r="A500" s="13">
        <v>56734</v>
      </c>
      <c r="B500" s="8">
        <f>13.6631 * CHOOSE(CONTROL!$C$15, $D$11, 100%, $F$11)</f>
        <v>13.6631</v>
      </c>
      <c r="C500" s="8">
        <f>13.6677 * CHOOSE(CONTROL!$C$15, $D$11, 100%, $F$11)</f>
        <v>13.6677</v>
      </c>
      <c r="D500" s="8">
        <f>13.6787 * CHOOSE( CONTROL!$C$15, $D$11, 100%, $F$11)</f>
        <v>13.678699999999999</v>
      </c>
      <c r="E500" s="12">
        <f>13.6745 * CHOOSE( CONTROL!$C$15, $D$11, 100%, $F$11)</f>
        <v>13.6745</v>
      </c>
      <c r="F500" s="4">
        <f>14.3527 * CHOOSE(CONTROL!$C$15, $D$11, 100%, $F$11)</f>
        <v>14.3527</v>
      </c>
      <c r="G500" s="8">
        <f>13.4047 * CHOOSE( CONTROL!$C$15, $D$11, 100%, $F$11)</f>
        <v>13.4047</v>
      </c>
      <c r="H500" s="4">
        <f>14.3435 * CHOOSE(CONTROL!$C$15, $D$11, 100%, $F$11)</f>
        <v>14.343500000000001</v>
      </c>
      <c r="I500" s="8">
        <f>13.274 * CHOOSE(CONTROL!$C$15, $D$11, 100%, $F$11)</f>
        <v>13.273999999999999</v>
      </c>
      <c r="J500" s="4">
        <f>13.1782 * CHOOSE(CONTROL!$C$15, $D$11, 100%, $F$11)</f>
        <v>13.1782</v>
      </c>
      <c r="K500" s="4"/>
      <c r="L500" s="9">
        <v>30.092199999999998</v>
      </c>
      <c r="M500" s="9">
        <v>11.6745</v>
      </c>
      <c r="N500" s="9">
        <v>4.7850000000000001</v>
      </c>
      <c r="O500" s="9">
        <v>0.36199999999999999</v>
      </c>
      <c r="P500" s="9">
        <v>1.1791</v>
      </c>
      <c r="Q500" s="9">
        <v>19.1142</v>
      </c>
      <c r="R500" s="9"/>
      <c r="S500" s="11"/>
    </row>
    <row r="501" spans="1:19" ht="15.75">
      <c r="A501" s="13">
        <v>56765</v>
      </c>
      <c r="B501" s="8">
        <f>CHOOSE( CONTROL!$C$32, 14.0313, 14.0277) * CHOOSE(CONTROL!$C$15, $D$11, 100%, $F$11)</f>
        <v>14.0313</v>
      </c>
      <c r="C501" s="8">
        <f>CHOOSE( CONTROL!$C$32, 14.0393, 14.0357) * CHOOSE(CONTROL!$C$15, $D$11, 100%, $F$11)</f>
        <v>14.039300000000001</v>
      </c>
      <c r="D501" s="8">
        <f>CHOOSE( CONTROL!$C$32, 14.0453, 14.0417) * CHOOSE( CONTROL!$C$15, $D$11, 100%, $F$11)</f>
        <v>14.045299999999999</v>
      </c>
      <c r="E501" s="12">
        <f>CHOOSE( CONTROL!$C$32, 14.0419, 14.0383) * CHOOSE( CONTROL!$C$15, $D$11, 100%, $F$11)</f>
        <v>14.0419</v>
      </c>
      <c r="F501" s="4">
        <f>CHOOSE( CONTROL!$C$32, 14.7195, 14.716) * CHOOSE(CONTROL!$C$15, $D$11, 100%, $F$11)</f>
        <v>14.7195</v>
      </c>
      <c r="G501" s="8">
        <f>CHOOSE( CONTROL!$C$32, 13.7664, 13.7629) * CHOOSE( CONTROL!$C$15, $D$11, 100%, $F$11)</f>
        <v>13.766400000000001</v>
      </c>
      <c r="H501" s="4">
        <f>CHOOSE( CONTROL!$C$32, 14.7042, 14.7007) * CHOOSE(CONTROL!$C$15, $D$11, 100%, $F$11)</f>
        <v>14.7042</v>
      </c>
      <c r="I501" s="8">
        <f>CHOOSE( CONTROL!$C$32, 13.6296, 13.6262) * CHOOSE(CONTROL!$C$15, $D$11, 100%, $F$11)</f>
        <v>13.6296</v>
      </c>
      <c r="J501" s="4">
        <f>CHOOSE( CONTROL!$C$32, 13.5328, 13.5294) * CHOOSE(CONTROL!$C$15, $D$11, 100%, $F$11)</f>
        <v>13.5328</v>
      </c>
      <c r="K501" s="4"/>
      <c r="L501" s="9">
        <v>30.7165</v>
      </c>
      <c r="M501" s="9">
        <v>12.063700000000001</v>
      </c>
      <c r="N501" s="9">
        <v>4.9444999999999997</v>
      </c>
      <c r="O501" s="9">
        <v>0.37409999999999999</v>
      </c>
      <c r="P501" s="9">
        <v>1.2183999999999999</v>
      </c>
      <c r="Q501" s="9">
        <v>19.751300000000001</v>
      </c>
      <c r="R501" s="9"/>
      <c r="S501" s="11"/>
    </row>
    <row r="502" spans="1:19" ht="15.75">
      <c r="A502" s="13">
        <v>56795</v>
      </c>
      <c r="B502" s="8">
        <f>CHOOSE( CONTROL!$C$32, 13.8063, 13.8027) * CHOOSE(CONTROL!$C$15, $D$11, 100%, $F$11)</f>
        <v>13.8063</v>
      </c>
      <c r="C502" s="8">
        <f>CHOOSE( CONTROL!$C$32, 13.8143, 13.8107) * CHOOSE(CONTROL!$C$15, $D$11, 100%, $F$11)</f>
        <v>13.814299999999999</v>
      </c>
      <c r="D502" s="8">
        <f>CHOOSE( CONTROL!$C$32, 13.8206, 13.817) * CHOOSE( CONTROL!$C$15, $D$11, 100%, $F$11)</f>
        <v>13.820600000000001</v>
      </c>
      <c r="E502" s="12">
        <f>CHOOSE( CONTROL!$C$32, 13.8171, 13.8135) * CHOOSE( CONTROL!$C$15, $D$11, 100%, $F$11)</f>
        <v>13.8171</v>
      </c>
      <c r="F502" s="4">
        <f>CHOOSE( CONTROL!$C$32, 14.4945, 14.491) * CHOOSE(CONTROL!$C$15, $D$11, 100%, $F$11)</f>
        <v>14.4945</v>
      </c>
      <c r="G502" s="8">
        <f>CHOOSE( CONTROL!$C$32, 13.5455, 13.542) * CHOOSE( CONTROL!$C$15, $D$11, 100%, $F$11)</f>
        <v>13.545500000000001</v>
      </c>
      <c r="H502" s="4">
        <f>CHOOSE( CONTROL!$C$32, 14.483, 14.4794) * CHOOSE(CONTROL!$C$15, $D$11, 100%, $F$11)</f>
        <v>14.483000000000001</v>
      </c>
      <c r="I502" s="8">
        <f>CHOOSE( CONTROL!$C$32, 13.4133, 13.4099) * CHOOSE(CONTROL!$C$15, $D$11, 100%, $F$11)</f>
        <v>13.4133</v>
      </c>
      <c r="J502" s="4">
        <f>CHOOSE( CONTROL!$C$32, 13.3153, 13.3118) * CHOOSE(CONTROL!$C$15, $D$11, 100%, $F$11)</f>
        <v>13.315300000000001</v>
      </c>
      <c r="K502" s="4"/>
      <c r="L502" s="9">
        <v>29.7257</v>
      </c>
      <c r="M502" s="9">
        <v>11.6745</v>
      </c>
      <c r="N502" s="9">
        <v>4.7850000000000001</v>
      </c>
      <c r="O502" s="9">
        <v>0.36199999999999999</v>
      </c>
      <c r="P502" s="9">
        <v>1.1791</v>
      </c>
      <c r="Q502" s="9">
        <v>19.1142</v>
      </c>
      <c r="R502" s="9"/>
      <c r="S502" s="11"/>
    </row>
    <row r="503" spans="1:19" ht="15.75">
      <c r="A503" s="13">
        <v>56826</v>
      </c>
      <c r="B503" s="8">
        <f>CHOOSE( CONTROL!$C$32, 14.3988, 14.3952) * CHOOSE(CONTROL!$C$15, $D$11, 100%, $F$11)</f>
        <v>14.3988</v>
      </c>
      <c r="C503" s="8">
        <f>CHOOSE( CONTROL!$C$32, 14.4068, 14.4033) * CHOOSE(CONTROL!$C$15, $D$11, 100%, $F$11)</f>
        <v>14.4068</v>
      </c>
      <c r="D503" s="8">
        <f>CHOOSE( CONTROL!$C$32, 14.4134, 14.4099) * CHOOSE( CONTROL!$C$15, $D$11, 100%, $F$11)</f>
        <v>14.413399999999999</v>
      </c>
      <c r="E503" s="12">
        <f>CHOOSE( CONTROL!$C$32, 14.4098, 14.4063) * CHOOSE( CONTROL!$C$15, $D$11, 100%, $F$11)</f>
        <v>14.409800000000001</v>
      </c>
      <c r="F503" s="4">
        <f>CHOOSE( CONTROL!$C$32, 15.0871, 15.0835) * CHOOSE(CONTROL!$C$15, $D$11, 100%, $F$11)</f>
        <v>15.0871</v>
      </c>
      <c r="G503" s="8">
        <f>CHOOSE( CONTROL!$C$32, 14.1287, 14.1252) * CHOOSE( CONTROL!$C$15, $D$11, 100%, $F$11)</f>
        <v>14.1287</v>
      </c>
      <c r="H503" s="4">
        <f>CHOOSE( CONTROL!$C$32, 15.0657, 15.0622) * CHOOSE(CONTROL!$C$15, $D$11, 100%, $F$11)</f>
        <v>15.0657</v>
      </c>
      <c r="I503" s="8">
        <f>CHOOSE( CONTROL!$C$32, 13.9879, 13.9844) * CHOOSE(CONTROL!$C$15, $D$11, 100%, $F$11)</f>
        <v>13.9879</v>
      </c>
      <c r="J503" s="4">
        <f>CHOOSE( CONTROL!$C$32, 13.8881, 13.8846) * CHOOSE(CONTROL!$C$15, $D$11, 100%, $F$11)</f>
        <v>13.8881</v>
      </c>
      <c r="K503" s="4"/>
      <c r="L503" s="9">
        <v>30.7165</v>
      </c>
      <c r="M503" s="9">
        <v>12.063700000000001</v>
      </c>
      <c r="N503" s="9">
        <v>4.9444999999999997</v>
      </c>
      <c r="O503" s="9">
        <v>0.37409999999999999</v>
      </c>
      <c r="P503" s="9">
        <v>1.2183999999999999</v>
      </c>
      <c r="Q503" s="9">
        <v>19.751300000000001</v>
      </c>
      <c r="R503" s="9"/>
      <c r="S503" s="11"/>
    </row>
    <row r="504" spans="1:19" ht="15.75">
      <c r="A504" s="13">
        <v>56857</v>
      </c>
      <c r="B504" s="8">
        <f>CHOOSE( CONTROL!$C$32, 13.2901, 13.2865) * CHOOSE(CONTROL!$C$15, $D$11, 100%, $F$11)</f>
        <v>13.290100000000001</v>
      </c>
      <c r="C504" s="8">
        <f>CHOOSE( CONTROL!$C$32, 13.2981, 13.2945) * CHOOSE(CONTROL!$C$15, $D$11, 100%, $F$11)</f>
        <v>13.2981</v>
      </c>
      <c r="D504" s="8">
        <f>CHOOSE( CONTROL!$C$32, 13.3048, 13.3012) * CHOOSE( CONTROL!$C$15, $D$11, 100%, $F$11)</f>
        <v>13.3048</v>
      </c>
      <c r="E504" s="12">
        <f>CHOOSE( CONTROL!$C$32, 13.3012, 13.2976) * CHOOSE( CONTROL!$C$15, $D$11, 100%, $F$11)</f>
        <v>13.3012</v>
      </c>
      <c r="F504" s="4">
        <f>CHOOSE( CONTROL!$C$32, 13.9784, 13.9748) * CHOOSE(CONTROL!$C$15, $D$11, 100%, $F$11)</f>
        <v>13.978400000000001</v>
      </c>
      <c r="G504" s="8">
        <f>CHOOSE( CONTROL!$C$32, 13.0385, 13.035) * CHOOSE( CONTROL!$C$15, $D$11, 100%, $F$11)</f>
        <v>13.038500000000001</v>
      </c>
      <c r="H504" s="4">
        <f>CHOOSE( CONTROL!$C$32, 13.9753, 13.9718) * CHOOSE(CONTROL!$C$15, $D$11, 100%, $F$11)</f>
        <v>13.975300000000001</v>
      </c>
      <c r="I504" s="8">
        <f>CHOOSE( CONTROL!$C$32, 12.916, 12.9126) * CHOOSE(CONTROL!$C$15, $D$11, 100%, $F$11)</f>
        <v>12.916</v>
      </c>
      <c r="J504" s="4">
        <f>CHOOSE( CONTROL!$C$32, 12.8163, 12.8129) * CHOOSE(CONTROL!$C$15, $D$11, 100%, $F$11)</f>
        <v>12.8163</v>
      </c>
      <c r="K504" s="4"/>
      <c r="L504" s="9">
        <v>30.7165</v>
      </c>
      <c r="M504" s="9">
        <v>12.063700000000001</v>
      </c>
      <c r="N504" s="9">
        <v>4.9444999999999997</v>
      </c>
      <c r="O504" s="9">
        <v>0.37409999999999999</v>
      </c>
      <c r="P504" s="9">
        <v>1.2183999999999999</v>
      </c>
      <c r="Q504" s="9">
        <v>19.751300000000001</v>
      </c>
      <c r="R504" s="9"/>
      <c r="S504" s="11"/>
    </row>
    <row r="505" spans="1:19" ht="15.75">
      <c r="A505" s="13">
        <v>56887</v>
      </c>
      <c r="B505" s="8">
        <f>CHOOSE( CONTROL!$C$32, 13.0125, 13.0089) * CHOOSE(CONTROL!$C$15, $D$11, 100%, $F$11)</f>
        <v>13.012499999999999</v>
      </c>
      <c r="C505" s="8">
        <f>CHOOSE( CONTROL!$C$32, 13.0205, 13.0169) * CHOOSE(CONTROL!$C$15, $D$11, 100%, $F$11)</f>
        <v>13.0205</v>
      </c>
      <c r="D505" s="8">
        <f>CHOOSE( CONTROL!$C$32, 13.0272, 13.0236) * CHOOSE( CONTROL!$C$15, $D$11, 100%, $F$11)</f>
        <v>13.027200000000001</v>
      </c>
      <c r="E505" s="12">
        <f>CHOOSE( CONTROL!$C$32, 13.0236, 13.02) * CHOOSE( CONTROL!$C$15, $D$11, 100%, $F$11)</f>
        <v>13.0236</v>
      </c>
      <c r="F505" s="4">
        <f>CHOOSE( CONTROL!$C$32, 13.7007, 13.6972) * CHOOSE(CONTROL!$C$15, $D$11, 100%, $F$11)</f>
        <v>13.700699999999999</v>
      </c>
      <c r="G505" s="8">
        <f>CHOOSE( CONTROL!$C$32, 12.7655, 12.762) * CHOOSE( CONTROL!$C$15, $D$11, 100%, $F$11)</f>
        <v>12.765499999999999</v>
      </c>
      <c r="H505" s="4">
        <f>CHOOSE( CONTROL!$C$32, 13.7023, 13.6988) * CHOOSE(CONTROL!$C$15, $D$11, 100%, $F$11)</f>
        <v>13.702299999999999</v>
      </c>
      <c r="I505" s="8">
        <f>CHOOSE( CONTROL!$C$32, 12.6475, 12.644) * CHOOSE(CONTROL!$C$15, $D$11, 100%, $F$11)</f>
        <v>12.647500000000001</v>
      </c>
      <c r="J505" s="4">
        <f>CHOOSE( CONTROL!$C$32, 12.5479, 12.5445) * CHOOSE(CONTROL!$C$15, $D$11, 100%, $F$11)</f>
        <v>12.5479</v>
      </c>
      <c r="K505" s="4"/>
      <c r="L505" s="9">
        <v>29.7257</v>
      </c>
      <c r="M505" s="9">
        <v>11.6745</v>
      </c>
      <c r="N505" s="9">
        <v>4.7850000000000001</v>
      </c>
      <c r="O505" s="9">
        <v>0.36199999999999999</v>
      </c>
      <c r="P505" s="9">
        <v>1.1791</v>
      </c>
      <c r="Q505" s="9">
        <v>19.1142</v>
      </c>
      <c r="R505" s="9"/>
      <c r="S505" s="11"/>
    </row>
    <row r="506" spans="1:19" ht="15.75">
      <c r="A506" s="13">
        <v>56918</v>
      </c>
      <c r="B506" s="8">
        <f>13.5836 * CHOOSE(CONTROL!$C$15, $D$11, 100%, $F$11)</f>
        <v>13.583600000000001</v>
      </c>
      <c r="C506" s="8">
        <f>13.589 * CHOOSE(CONTROL!$C$15, $D$11, 100%, $F$11)</f>
        <v>13.589</v>
      </c>
      <c r="D506" s="8">
        <f>13.6005 * CHOOSE( CONTROL!$C$15, $D$11, 100%, $F$11)</f>
        <v>13.6005</v>
      </c>
      <c r="E506" s="12">
        <f>13.5961 * CHOOSE( CONTROL!$C$15, $D$11, 100%, $F$11)</f>
        <v>13.5961</v>
      </c>
      <c r="F506" s="4">
        <f>14.2736 * CHOOSE(CONTROL!$C$15, $D$11, 100%, $F$11)</f>
        <v>14.2736</v>
      </c>
      <c r="G506" s="8">
        <f>13.3284 * CHOOSE( CONTROL!$C$15, $D$11, 100%, $F$11)</f>
        <v>13.3284</v>
      </c>
      <c r="H506" s="4">
        <f>14.2657 * CHOOSE(CONTROL!$C$15, $D$11, 100%, $F$11)</f>
        <v>14.265700000000001</v>
      </c>
      <c r="I506" s="8">
        <f>13.2023 * CHOOSE(CONTROL!$C$15, $D$11, 100%, $F$11)</f>
        <v>13.202299999999999</v>
      </c>
      <c r="J506" s="4">
        <f>13.1017 * CHOOSE(CONTROL!$C$15, $D$11, 100%, $F$11)</f>
        <v>13.101699999999999</v>
      </c>
      <c r="K506" s="4"/>
      <c r="L506" s="9">
        <v>31.095300000000002</v>
      </c>
      <c r="M506" s="9">
        <v>12.063700000000001</v>
      </c>
      <c r="N506" s="9">
        <v>4.9444999999999997</v>
      </c>
      <c r="O506" s="9">
        <v>0.37409999999999999</v>
      </c>
      <c r="P506" s="9">
        <v>1.2183999999999999</v>
      </c>
      <c r="Q506" s="9">
        <v>19.751300000000001</v>
      </c>
      <c r="R506" s="9"/>
      <c r="S506" s="11"/>
    </row>
    <row r="507" spans="1:19" ht="15.75">
      <c r="A507" s="13">
        <v>56948</v>
      </c>
      <c r="B507" s="8">
        <f>14.6473 * CHOOSE(CONTROL!$C$15, $D$11, 100%, $F$11)</f>
        <v>14.6473</v>
      </c>
      <c r="C507" s="8">
        <f>14.6524 * CHOOSE(CONTROL!$C$15, $D$11, 100%, $F$11)</f>
        <v>14.6524</v>
      </c>
      <c r="D507" s="8">
        <f>14.6293 * CHOOSE( CONTROL!$C$15, $D$11, 100%, $F$11)</f>
        <v>14.629300000000001</v>
      </c>
      <c r="E507" s="12">
        <f>14.6372 * CHOOSE( CONTROL!$C$15, $D$11, 100%, $F$11)</f>
        <v>14.6372</v>
      </c>
      <c r="F507" s="4">
        <f>15.2922 * CHOOSE(CONTROL!$C$15, $D$11, 100%, $F$11)</f>
        <v>15.292199999999999</v>
      </c>
      <c r="G507" s="8">
        <f>14.3855 * CHOOSE( CONTROL!$C$15, $D$11, 100%, $F$11)</f>
        <v>14.3855</v>
      </c>
      <c r="H507" s="4">
        <f>15.2673 * CHOOSE(CONTROL!$C$15, $D$11, 100%, $F$11)</f>
        <v>15.267300000000001</v>
      </c>
      <c r="I507" s="8">
        <f>14.2561 * CHOOSE(CONTROL!$C$15, $D$11, 100%, $F$11)</f>
        <v>14.2561</v>
      </c>
      <c r="J507" s="4">
        <f>14.1303 * CHOOSE(CONTROL!$C$15, $D$11, 100%, $F$11)</f>
        <v>14.1303</v>
      </c>
      <c r="K507" s="4"/>
      <c r="L507" s="9">
        <v>28.360600000000002</v>
      </c>
      <c r="M507" s="9">
        <v>11.6745</v>
      </c>
      <c r="N507" s="9">
        <v>4.7850000000000001</v>
      </c>
      <c r="O507" s="9">
        <v>0.36199999999999999</v>
      </c>
      <c r="P507" s="9">
        <v>1.2509999999999999</v>
      </c>
      <c r="Q507" s="9">
        <v>19.1142</v>
      </c>
      <c r="R507" s="9"/>
      <c r="S507" s="11"/>
    </row>
    <row r="508" spans="1:19" ht="15.75">
      <c r="A508" s="13">
        <v>56979</v>
      </c>
      <c r="B508" s="8">
        <f>14.6207 * CHOOSE(CONTROL!$C$15, $D$11, 100%, $F$11)</f>
        <v>14.620699999999999</v>
      </c>
      <c r="C508" s="8">
        <f>14.6258 * CHOOSE(CONTROL!$C$15, $D$11, 100%, $F$11)</f>
        <v>14.6258</v>
      </c>
      <c r="D508" s="8">
        <f>14.6041 * CHOOSE( CONTROL!$C$15, $D$11, 100%, $F$11)</f>
        <v>14.604100000000001</v>
      </c>
      <c r="E508" s="12">
        <f>14.6115 * CHOOSE( CONTROL!$C$15, $D$11, 100%, $F$11)</f>
        <v>14.611499999999999</v>
      </c>
      <c r="F508" s="4">
        <f>15.2656 * CHOOSE(CONTROL!$C$15, $D$11, 100%, $F$11)</f>
        <v>15.265599999999999</v>
      </c>
      <c r="G508" s="8">
        <f>14.3604 * CHOOSE( CONTROL!$C$15, $D$11, 100%, $F$11)</f>
        <v>14.3604</v>
      </c>
      <c r="H508" s="4">
        <f>15.2412 * CHOOSE(CONTROL!$C$15, $D$11, 100%, $F$11)</f>
        <v>15.241199999999999</v>
      </c>
      <c r="I508" s="8">
        <f>14.2347 * CHOOSE(CONTROL!$C$15, $D$11, 100%, $F$11)</f>
        <v>14.2347</v>
      </c>
      <c r="J508" s="4">
        <f>14.1046 * CHOOSE(CONTROL!$C$15, $D$11, 100%, $F$11)</f>
        <v>14.1046</v>
      </c>
      <c r="K508" s="4"/>
      <c r="L508" s="9">
        <v>29.306000000000001</v>
      </c>
      <c r="M508" s="9">
        <v>12.063700000000001</v>
      </c>
      <c r="N508" s="9">
        <v>4.9444999999999997</v>
      </c>
      <c r="O508" s="9">
        <v>0.37409999999999999</v>
      </c>
      <c r="P508" s="9">
        <v>1.2927</v>
      </c>
      <c r="Q508" s="9">
        <v>19.751300000000001</v>
      </c>
      <c r="R508" s="9"/>
      <c r="S508" s="11"/>
    </row>
    <row r="509" spans="1:19" ht="15.75">
      <c r="A509" s="13">
        <v>57010</v>
      </c>
      <c r="B509" s="8">
        <f>15.1783 * CHOOSE(CONTROL!$C$15, $D$11, 100%, $F$11)</f>
        <v>15.1783</v>
      </c>
      <c r="C509" s="8">
        <f>15.1834 * CHOOSE(CONTROL!$C$15, $D$11, 100%, $F$11)</f>
        <v>15.183400000000001</v>
      </c>
      <c r="D509" s="8">
        <f>15.1576 * CHOOSE( CONTROL!$C$15, $D$11, 100%, $F$11)</f>
        <v>15.1576</v>
      </c>
      <c r="E509" s="12">
        <f>15.1665 * CHOOSE( CONTROL!$C$15, $D$11, 100%, $F$11)</f>
        <v>15.166499999999999</v>
      </c>
      <c r="F509" s="4">
        <f>15.8223 * CHOOSE(CONTROL!$C$15, $D$11, 100%, $F$11)</f>
        <v>15.8223</v>
      </c>
      <c r="G509" s="8">
        <f>14.9025 * CHOOSE( CONTROL!$C$15, $D$11, 100%, $F$11)</f>
        <v>14.9025</v>
      </c>
      <c r="H509" s="4">
        <f>15.7887 * CHOOSE(CONTROL!$C$15, $D$11, 100%, $F$11)</f>
        <v>15.7887</v>
      </c>
      <c r="I509" s="8">
        <f>14.7447 * CHOOSE(CONTROL!$C$15, $D$11, 100%, $F$11)</f>
        <v>14.7447</v>
      </c>
      <c r="J509" s="4">
        <f>14.6437 * CHOOSE(CONTROL!$C$15, $D$11, 100%, $F$11)</f>
        <v>14.643700000000001</v>
      </c>
      <c r="K509" s="4"/>
      <c r="L509" s="9">
        <v>29.306000000000001</v>
      </c>
      <c r="M509" s="9">
        <v>12.063700000000001</v>
      </c>
      <c r="N509" s="9">
        <v>4.9444999999999997</v>
      </c>
      <c r="O509" s="9">
        <v>0.37409999999999999</v>
      </c>
      <c r="P509" s="9">
        <v>1.2927</v>
      </c>
      <c r="Q509" s="9">
        <v>19.688099999999999</v>
      </c>
      <c r="R509" s="9"/>
      <c r="S509" s="11"/>
    </row>
    <row r="510" spans="1:19" ht="15.75">
      <c r="A510" s="13">
        <v>57038</v>
      </c>
      <c r="B510" s="8">
        <f>14.199 * CHOOSE(CONTROL!$C$15, $D$11, 100%, $F$11)</f>
        <v>14.199</v>
      </c>
      <c r="C510" s="8">
        <f>14.2041 * CHOOSE(CONTROL!$C$15, $D$11, 100%, $F$11)</f>
        <v>14.2041</v>
      </c>
      <c r="D510" s="8">
        <f>14.1785 * CHOOSE( CONTROL!$C$15, $D$11, 100%, $F$11)</f>
        <v>14.1785</v>
      </c>
      <c r="E510" s="12">
        <f>14.1873 * CHOOSE( CONTROL!$C$15, $D$11, 100%, $F$11)</f>
        <v>14.1873</v>
      </c>
      <c r="F510" s="4">
        <f>14.843 * CHOOSE(CONTROL!$C$15, $D$11, 100%, $F$11)</f>
        <v>14.843</v>
      </c>
      <c r="G510" s="8">
        <f>13.9396 * CHOOSE( CONTROL!$C$15, $D$11, 100%, $F$11)</f>
        <v>13.9396</v>
      </c>
      <c r="H510" s="4">
        <f>14.8257 * CHOOSE(CONTROL!$C$15, $D$11, 100%, $F$11)</f>
        <v>14.825699999999999</v>
      </c>
      <c r="I510" s="8">
        <f>13.7982 * CHOOSE(CONTROL!$C$15, $D$11, 100%, $F$11)</f>
        <v>13.7982</v>
      </c>
      <c r="J510" s="4">
        <f>13.697 * CHOOSE(CONTROL!$C$15, $D$11, 100%, $F$11)</f>
        <v>13.696999999999999</v>
      </c>
      <c r="K510" s="4"/>
      <c r="L510" s="9">
        <v>27.415299999999998</v>
      </c>
      <c r="M510" s="9">
        <v>11.285299999999999</v>
      </c>
      <c r="N510" s="9">
        <v>4.6254999999999997</v>
      </c>
      <c r="O510" s="9">
        <v>0.34989999999999999</v>
      </c>
      <c r="P510" s="9">
        <v>1.2093</v>
      </c>
      <c r="Q510" s="9">
        <v>18.417899999999999</v>
      </c>
      <c r="R510" s="9"/>
      <c r="S510" s="11"/>
    </row>
    <row r="511" spans="1:19" ht="15.75">
      <c r="A511" s="13">
        <v>57070</v>
      </c>
      <c r="B511" s="8">
        <f>13.8974 * CHOOSE(CONTROL!$C$15, $D$11, 100%, $F$11)</f>
        <v>13.897399999999999</v>
      </c>
      <c r="C511" s="8">
        <f>13.9025 * CHOOSE(CONTROL!$C$15, $D$11, 100%, $F$11)</f>
        <v>13.9025</v>
      </c>
      <c r="D511" s="8">
        <f>13.8768 * CHOOSE( CONTROL!$C$15, $D$11, 100%, $F$11)</f>
        <v>13.876799999999999</v>
      </c>
      <c r="E511" s="12">
        <f>13.8857 * CHOOSE( CONTROL!$C$15, $D$11, 100%, $F$11)</f>
        <v>13.8857</v>
      </c>
      <c r="F511" s="4">
        <f>14.5414 * CHOOSE(CONTROL!$C$15, $D$11, 100%, $F$11)</f>
        <v>14.541399999999999</v>
      </c>
      <c r="G511" s="8">
        <f>13.643 * CHOOSE( CONTROL!$C$15, $D$11, 100%, $F$11)</f>
        <v>13.643000000000001</v>
      </c>
      <c r="H511" s="4">
        <f>14.5291 * CHOOSE(CONTROL!$C$15, $D$11, 100%, $F$11)</f>
        <v>14.5291</v>
      </c>
      <c r="I511" s="8">
        <f>13.5063 * CHOOSE(CONTROL!$C$15, $D$11, 100%, $F$11)</f>
        <v>13.5063</v>
      </c>
      <c r="J511" s="4">
        <f>13.4054 * CHOOSE(CONTROL!$C$15, $D$11, 100%, $F$11)</f>
        <v>13.4054</v>
      </c>
      <c r="K511" s="4"/>
      <c r="L511" s="9">
        <v>29.306000000000001</v>
      </c>
      <c r="M511" s="9">
        <v>12.063700000000001</v>
      </c>
      <c r="N511" s="9">
        <v>4.9444999999999997</v>
      </c>
      <c r="O511" s="9">
        <v>0.37409999999999999</v>
      </c>
      <c r="P511" s="9">
        <v>1.2927</v>
      </c>
      <c r="Q511" s="9">
        <v>19.688099999999999</v>
      </c>
      <c r="R511" s="9"/>
      <c r="S511" s="11"/>
    </row>
    <row r="512" spans="1:19" ht="15.75">
      <c r="A512" s="13">
        <v>57100</v>
      </c>
      <c r="B512" s="8">
        <f>14.1089 * CHOOSE(CONTROL!$C$15, $D$11, 100%, $F$11)</f>
        <v>14.1089</v>
      </c>
      <c r="C512" s="8">
        <f>14.1135 * CHOOSE(CONTROL!$C$15, $D$11, 100%, $F$11)</f>
        <v>14.1135</v>
      </c>
      <c r="D512" s="8">
        <f>14.1245 * CHOOSE( CONTROL!$C$15, $D$11, 100%, $F$11)</f>
        <v>14.124499999999999</v>
      </c>
      <c r="E512" s="12">
        <f>14.1203 * CHOOSE( CONTROL!$C$15, $D$11, 100%, $F$11)</f>
        <v>14.1203</v>
      </c>
      <c r="F512" s="4">
        <f>14.7986 * CHOOSE(CONTROL!$C$15, $D$11, 100%, $F$11)</f>
        <v>14.7986</v>
      </c>
      <c r="G512" s="8">
        <f>13.8431 * CHOOSE( CONTROL!$C$15, $D$11, 100%, $F$11)</f>
        <v>13.8431</v>
      </c>
      <c r="H512" s="4">
        <f>14.7819 * CHOOSE(CONTROL!$C$15, $D$11, 100%, $F$11)</f>
        <v>14.7819</v>
      </c>
      <c r="I512" s="8">
        <f>13.7052 * CHOOSE(CONTROL!$C$15, $D$11, 100%, $F$11)</f>
        <v>13.7052</v>
      </c>
      <c r="J512" s="4">
        <f>13.6092 * CHOOSE(CONTROL!$C$15, $D$11, 100%, $F$11)</f>
        <v>13.6092</v>
      </c>
      <c r="K512" s="4"/>
      <c r="L512" s="9">
        <v>30.092199999999998</v>
      </c>
      <c r="M512" s="9">
        <v>11.6745</v>
      </c>
      <c r="N512" s="9">
        <v>4.7850000000000001</v>
      </c>
      <c r="O512" s="9">
        <v>0.36199999999999999</v>
      </c>
      <c r="P512" s="9">
        <v>1.1791</v>
      </c>
      <c r="Q512" s="9">
        <v>19.053000000000001</v>
      </c>
      <c r="R512" s="9"/>
      <c r="S512" s="11"/>
    </row>
    <row r="513" spans="1:19" ht="15.75">
      <c r="A513" s="13">
        <v>57131</v>
      </c>
      <c r="B513" s="8">
        <f>CHOOSE( CONTROL!$C$32, 14.489, 14.4854) * CHOOSE(CONTROL!$C$15, $D$11, 100%, $F$11)</f>
        <v>14.489000000000001</v>
      </c>
      <c r="C513" s="8">
        <f>CHOOSE( CONTROL!$C$32, 14.497, 14.4934) * CHOOSE(CONTROL!$C$15, $D$11, 100%, $F$11)</f>
        <v>14.497</v>
      </c>
      <c r="D513" s="8">
        <f>CHOOSE( CONTROL!$C$32, 14.503, 14.4994) * CHOOSE( CONTROL!$C$15, $D$11, 100%, $F$11)</f>
        <v>14.503</v>
      </c>
      <c r="E513" s="12">
        <f>CHOOSE( CONTROL!$C$32, 14.4996, 14.496) * CHOOSE( CONTROL!$C$15, $D$11, 100%, $F$11)</f>
        <v>14.499599999999999</v>
      </c>
      <c r="F513" s="4">
        <f>CHOOSE( CONTROL!$C$32, 15.1772, 15.1737) * CHOOSE(CONTROL!$C$15, $D$11, 100%, $F$11)</f>
        <v>15.177199999999999</v>
      </c>
      <c r="G513" s="8">
        <f>CHOOSE( CONTROL!$C$32, 14.2165, 14.213) * CHOOSE( CONTROL!$C$15, $D$11, 100%, $F$11)</f>
        <v>14.2165</v>
      </c>
      <c r="H513" s="4">
        <f>CHOOSE( CONTROL!$C$32, 15.1543, 15.1508) * CHOOSE(CONTROL!$C$15, $D$11, 100%, $F$11)</f>
        <v>15.154299999999999</v>
      </c>
      <c r="I513" s="8">
        <f>CHOOSE( CONTROL!$C$32, 14.0723, 14.0689) * CHOOSE(CONTROL!$C$15, $D$11, 100%, $F$11)</f>
        <v>14.0723</v>
      </c>
      <c r="J513" s="4">
        <f>CHOOSE( CONTROL!$C$32, 13.9753, 13.9718) * CHOOSE(CONTROL!$C$15, $D$11, 100%, $F$11)</f>
        <v>13.975300000000001</v>
      </c>
      <c r="K513" s="4"/>
      <c r="L513" s="9">
        <v>30.7165</v>
      </c>
      <c r="M513" s="9">
        <v>12.063700000000001</v>
      </c>
      <c r="N513" s="9">
        <v>4.9444999999999997</v>
      </c>
      <c r="O513" s="9">
        <v>0.37409999999999999</v>
      </c>
      <c r="P513" s="9">
        <v>1.2183999999999999</v>
      </c>
      <c r="Q513" s="9">
        <v>19.688099999999999</v>
      </c>
      <c r="R513" s="9"/>
      <c r="S513" s="11"/>
    </row>
    <row r="514" spans="1:19" ht="15.75">
      <c r="A514" s="13">
        <v>57161</v>
      </c>
      <c r="B514" s="8">
        <f>CHOOSE( CONTROL!$C$32, 14.2566, 14.253) * CHOOSE(CONTROL!$C$15, $D$11, 100%, $F$11)</f>
        <v>14.256600000000001</v>
      </c>
      <c r="C514" s="8">
        <f>CHOOSE( CONTROL!$C$32, 14.2646, 14.2611) * CHOOSE(CONTROL!$C$15, $D$11, 100%, $F$11)</f>
        <v>14.2646</v>
      </c>
      <c r="D514" s="8">
        <f>CHOOSE( CONTROL!$C$32, 14.2709, 14.2673) * CHOOSE( CONTROL!$C$15, $D$11, 100%, $F$11)</f>
        <v>14.270899999999999</v>
      </c>
      <c r="E514" s="12">
        <f>CHOOSE( CONTROL!$C$32, 14.2674, 14.2638) * CHOOSE( CONTROL!$C$15, $D$11, 100%, $F$11)</f>
        <v>14.2674</v>
      </c>
      <c r="F514" s="4">
        <f>CHOOSE( CONTROL!$C$32, 14.9449, 14.9413) * CHOOSE(CONTROL!$C$15, $D$11, 100%, $F$11)</f>
        <v>14.944900000000001</v>
      </c>
      <c r="G514" s="8">
        <f>CHOOSE( CONTROL!$C$32, 13.9884, 13.9849) * CHOOSE( CONTROL!$C$15, $D$11, 100%, $F$11)</f>
        <v>13.9884</v>
      </c>
      <c r="H514" s="4">
        <f>CHOOSE( CONTROL!$C$32, 14.9258, 14.9223) * CHOOSE(CONTROL!$C$15, $D$11, 100%, $F$11)</f>
        <v>14.925800000000001</v>
      </c>
      <c r="I514" s="8">
        <f>CHOOSE( CONTROL!$C$32, 13.8489, 13.8454) * CHOOSE(CONTROL!$C$15, $D$11, 100%, $F$11)</f>
        <v>13.8489</v>
      </c>
      <c r="J514" s="4">
        <f>CHOOSE( CONTROL!$C$32, 13.7506, 13.7472) * CHOOSE(CONTROL!$C$15, $D$11, 100%, $F$11)</f>
        <v>13.7506</v>
      </c>
      <c r="K514" s="4"/>
      <c r="L514" s="9">
        <v>29.7257</v>
      </c>
      <c r="M514" s="9">
        <v>11.6745</v>
      </c>
      <c r="N514" s="9">
        <v>4.7850000000000001</v>
      </c>
      <c r="O514" s="9">
        <v>0.36199999999999999</v>
      </c>
      <c r="P514" s="9">
        <v>1.1791</v>
      </c>
      <c r="Q514" s="9">
        <v>19.053000000000001</v>
      </c>
      <c r="R514" s="9"/>
      <c r="S514" s="11"/>
    </row>
    <row r="515" spans="1:19" ht="15.75">
      <c r="A515" s="13">
        <v>57192</v>
      </c>
      <c r="B515" s="8">
        <f>CHOOSE( CONTROL!$C$32, 14.8685, 14.865) * CHOOSE(CONTROL!$C$15, $D$11, 100%, $F$11)</f>
        <v>14.868499999999999</v>
      </c>
      <c r="C515" s="8">
        <f>CHOOSE( CONTROL!$C$32, 14.8765, 14.873) * CHOOSE(CONTROL!$C$15, $D$11, 100%, $F$11)</f>
        <v>14.8765</v>
      </c>
      <c r="D515" s="8">
        <f>CHOOSE( CONTROL!$C$32, 14.8831, 14.8796) * CHOOSE( CONTROL!$C$15, $D$11, 100%, $F$11)</f>
        <v>14.883100000000001</v>
      </c>
      <c r="E515" s="12">
        <f>CHOOSE( CONTROL!$C$32, 14.8795, 14.876) * CHOOSE( CONTROL!$C$15, $D$11, 100%, $F$11)</f>
        <v>14.8795</v>
      </c>
      <c r="F515" s="4">
        <f>CHOOSE( CONTROL!$C$32, 15.5568, 15.5532) * CHOOSE(CONTROL!$C$15, $D$11, 100%, $F$11)</f>
        <v>15.556800000000001</v>
      </c>
      <c r="G515" s="8">
        <f>CHOOSE( CONTROL!$C$32, 14.5906, 14.5871) * CHOOSE( CONTROL!$C$15, $D$11, 100%, $F$11)</f>
        <v>14.5906</v>
      </c>
      <c r="H515" s="4">
        <f>CHOOSE( CONTROL!$C$32, 15.5276, 15.5241) * CHOOSE(CONTROL!$C$15, $D$11, 100%, $F$11)</f>
        <v>15.5276</v>
      </c>
      <c r="I515" s="8">
        <f>CHOOSE( CONTROL!$C$32, 14.4422, 14.4387) * CHOOSE(CONTROL!$C$15, $D$11, 100%, $F$11)</f>
        <v>14.4422</v>
      </c>
      <c r="J515" s="4">
        <f>CHOOSE( CONTROL!$C$32, 14.3422, 14.3387) * CHOOSE(CONTROL!$C$15, $D$11, 100%, $F$11)</f>
        <v>14.3422</v>
      </c>
      <c r="K515" s="4"/>
      <c r="L515" s="9">
        <v>30.7165</v>
      </c>
      <c r="M515" s="9">
        <v>12.063700000000001</v>
      </c>
      <c r="N515" s="9">
        <v>4.9444999999999997</v>
      </c>
      <c r="O515" s="9">
        <v>0.37409999999999999</v>
      </c>
      <c r="P515" s="9">
        <v>1.2183999999999999</v>
      </c>
      <c r="Q515" s="9">
        <v>19.688099999999999</v>
      </c>
      <c r="R515" s="9"/>
      <c r="S515" s="11"/>
    </row>
    <row r="516" spans="1:19" ht="15.75">
      <c r="A516" s="13">
        <v>57223</v>
      </c>
      <c r="B516" s="8">
        <f>CHOOSE( CONTROL!$C$32, 13.7236, 13.72) * CHOOSE(CONTROL!$C$15, $D$11, 100%, $F$11)</f>
        <v>13.723599999999999</v>
      </c>
      <c r="C516" s="8">
        <f>CHOOSE( CONTROL!$C$32, 13.7316, 13.728) * CHOOSE(CONTROL!$C$15, $D$11, 100%, $F$11)</f>
        <v>13.7316</v>
      </c>
      <c r="D516" s="8">
        <f>CHOOSE( CONTROL!$C$32, 13.7383, 13.7347) * CHOOSE( CONTROL!$C$15, $D$11, 100%, $F$11)</f>
        <v>13.738300000000001</v>
      </c>
      <c r="E516" s="12">
        <f>CHOOSE( CONTROL!$C$32, 13.7347, 13.7311) * CHOOSE( CONTROL!$C$15, $D$11, 100%, $F$11)</f>
        <v>13.7347</v>
      </c>
      <c r="F516" s="4">
        <f>CHOOSE( CONTROL!$C$32, 14.4118, 14.4083) * CHOOSE(CONTROL!$C$15, $D$11, 100%, $F$11)</f>
        <v>14.411799999999999</v>
      </c>
      <c r="G516" s="8">
        <f>CHOOSE( CONTROL!$C$32, 13.4648, 13.4613) * CHOOSE( CONTROL!$C$15, $D$11, 100%, $F$11)</f>
        <v>13.4648</v>
      </c>
      <c r="H516" s="4">
        <f>CHOOSE( CONTROL!$C$32, 14.4016, 14.3981) * CHOOSE(CONTROL!$C$15, $D$11, 100%, $F$11)</f>
        <v>14.4016</v>
      </c>
      <c r="I516" s="8">
        <f>CHOOSE( CONTROL!$C$32, 13.3353, 13.3318) * CHOOSE(CONTROL!$C$15, $D$11, 100%, $F$11)</f>
        <v>13.3353</v>
      </c>
      <c r="J516" s="4">
        <f>CHOOSE( CONTROL!$C$32, 13.2353, 13.2319) * CHOOSE(CONTROL!$C$15, $D$11, 100%, $F$11)</f>
        <v>13.235300000000001</v>
      </c>
      <c r="K516" s="4"/>
      <c r="L516" s="9">
        <v>30.7165</v>
      </c>
      <c r="M516" s="9">
        <v>12.063700000000001</v>
      </c>
      <c r="N516" s="9">
        <v>4.9444999999999997</v>
      </c>
      <c r="O516" s="9">
        <v>0.37409999999999999</v>
      </c>
      <c r="P516" s="9">
        <v>1.2183999999999999</v>
      </c>
      <c r="Q516" s="9">
        <v>19.688099999999999</v>
      </c>
      <c r="R516" s="9"/>
      <c r="S516" s="11"/>
    </row>
    <row r="517" spans="1:19" ht="15.75">
      <c r="A517" s="13">
        <v>57253</v>
      </c>
      <c r="B517" s="8">
        <f>CHOOSE( CONTROL!$C$32, 13.4368, 13.4333) * CHOOSE(CONTROL!$C$15, $D$11, 100%, $F$11)</f>
        <v>13.4368</v>
      </c>
      <c r="C517" s="8">
        <f>CHOOSE( CONTROL!$C$32, 13.4449, 13.4413) * CHOOSE(CONTROL!$C$15, $D$11, 100%, $F$11)</f>
        <v>13.444900000000001</v>
      </c>
      <c r="D517" s="8">
        <f>CHOOSE( CONTROL!$C$32, 13.4515, 13.448) * CHOOSE( CONTROL!$C$15, $D$11, 100%, $F$11)</f>
        <v>13.451499999999999</v>
      </c>
      <c r="E517" s="12">
        <f>CHOOSE( CONTROL!$C$32, 13.4479, 13.4444) * CHOOSE( CONTROL!$C$15, $D$11, 100%, $F$11)</f>
        <v>13.447900000000001</v>
      </c>
      <c r="F517" s="4">
        <f>CHOOSE( CONTROL!$C$32, 14.1251, 14.1215) * CHOOSE(CONTROL!$C$15, $D$11, 100%, $F$11)</f>
        <v>14.1251</v>
      </c>
      <c r="G517" s="8">
        <f>CHOOSE( CONTROL!$C$32, 13.1828, 13.1793) * CHOOSE( CONTROL!$C$15, $D$11, 100%, $F$11)</f>
        <v>13.1828</v>
      </c>
      <c r="H517" s="4">
        <f>CHOOSE( CONTROL!$C$32, 14.1197, 14.1162) * CHOOSE(CONTROL!$C$15, $D$11, 100%, $F$11)</f>
        <v>14.1197</v>
      </c>
      <c r="I517" s="8">
        <f>CHOOSE( CONTROL!$C$32, 13.058, 13.0545) * CHOOSE(CONTROL!$C$15, $D$11, 100%, $F$11)</f>
        <v>13.058</v>
      </c>
      <c r="J517" s="4">
        <f>CHOOSE( CONTROL!$C$32, 12.9582, 12.9547) * CHOOSE(CONTROL!$C$15, $D$11, 100%, $F$11)</f>
        <v>12.9582</v>
      </c>
      <c r="K517" s="4"/>
      <c r="L517" s="9">
        <v>29.7257</v>
      </c>
      <c r="M517" s="9">
        <v>11.6745</v>
      </c>
      <c r="N517" s="9">
        <v>4.7850000000000001</v>
      </c>
      <c r="O517" s="9">
        <v>0.36199999999999999</v>
      </c>
      <c r="P517" s="9">
        <v>1.1791</v>
      </c>
      <c r="Q517" s="9">
        <v>19.053000000000001</v>
      </c>
      <c r="R517" s="9"/>
      <c r="S517" s="11"/>
    </row>
    <row r="518" spans="1:19" ht="15.75">
      <c r="A518" s="13">
        <v>57284</v>
      </c>
      <c r="B518" s="8">
        <f>14.0269 * CHOOSE(CONTROL!$C$15, $D$11, 100%, $F$11)</f>
        <v>14.026899999999999</v>
      </c>
      <c r="C518" s="8">
        <f>14.0322 * CHOOSE(CONTROL!$C$15, $D$11, 100%, $F$11)</f>
        <v>14.0322</v>
      </c>
      <c r="D518" s="8">
        <f>14.0438 * CHOOSE( CONTROL!$C$15, $D$11, 100%, $F$11)</f>
        <v>14.043799999999999</v>
      </c>
      <c r="E518" s="12">
        <f>14.0394 * CHOOSE( CONTROL!$C$15, $D$11, 100%, $F$11)</f>
        <v>14.039400000000001</v>
      </c>
      <c r="F518" s="4">
        <f>14.7169 * CHOOSE(CONTROL!$C$15, $D$11, 100%, $F$11)</f>
        <v>14.716900000000001</v>
      </c>
      <c r="G518" s="8">
        <f>13.7642 * CHOOSE( CONTROL!$C$15, $D$11, 100%, $F$11)</f>
        <v>13.764200000000001</v>
      </c>
      <c r="H518" s="4">
        <f>14.7016 * CHOOSE(CONTROL!$C$15, $D$11, 100%, $F$11)</f>
        <v>14.701599999999999</v>
      </c>
      <c r="I518" s="8">
        <f>13.631 * CHOOSE(CONTROL!$C$15, $D$11, 100%, $F$11)</f>
        <v>13.631</v>
      </c>
      <c r="J518" s="4">
        <f>13.5302 * CHOOSE(CONTROL!$C$15, $D$11, 100%, $F$11)</f>
        <v>13.530200000000001</v>
      </c>
      <c r="K518" s="4"/>
      <c r="L518" s="9">
        <v>31.095300000000002</v>
      </c>
      <c r="M518" s="9">
        <v>12.063700000000001</v>
      </c>
      <c r="N518" s="9">
        <v>4.9444999999999997</v>
      </c>
      <c r="O518" s="9">
        <v>0.37409999999999999</v>
      </c>
      <c r="P518" s="9">
        <v>1.2183999999999999</v>
      </c>
      <c r="Q518" s="9">
        <v>19.688099999999999</v>
      </c>
      <c r="R518" s="9"/>
      <c r="S518" s="11"/>
    </row>
    <row r="519" spans="1:19" ht="15.75">
      <c r="A519" s="13">
        <v>57314</v>
      </c>
      <c r="B519" s="8">
        <f>15.1253 * CHOOSE(CONTROL!$C$15, $D$11, 100%, $F$11)</f>
        <v>15.125299999999999</v>
      </c>
      <c r="C519" s="8">
        <f>15.1304 * CHOOSE(CONTROL!$C$15, $D$11, 100%, $F$11)</f>
        <v>15.1304</v>
      </c>
      <c r="D519" s="8">
        <f>15.1074 * CHOOSE( CONTROL!$C$15, $D$11, 100%, $F$11)</f>
        <v>15.1074</v>
      </c>
      <c r="E519" s="12">
        <f>15.1153 * CHOOSE( CONTROL!$C$15, $D$11, 100%, $F$11)</f>
        <v>15.1153</v>
      </c>
      <c r="F519" s="4">
        <f>15.7702 * CHOOSE(CONTROL!$C$15, $D$11, 100%, $F$11)</f>
        <v>15.770200000000001</v>
      </c>
      <c r="G519" s="8">
        <f>14.8557 * CHOOSE( CONTROL!$C$15, $D$11, 100%, $F$11)</f>
        <v>14.855700000000001</v>
      </c>
      <c r="H519" s="4">
        <f>15.7375 * CHOOSE(CONTROL!$C$15, $D$11, 100%, $F$11)</f>
        <v>15.737500000000001</v>
      </c>
      <c r="I519" s="8">
        <f>14.7184 * CHOOSE(CONTROL!$C$15, $D$11, 100%, $F$11)</f>
        <v>14.718400000000001</v>
      </c>
      <c r="J519" s="4">
        <f>14.5925 * CHOOSE(CONTROL!$C$15, $D$11, 100%, $F$11)</f>
        <v>14.592499999999999</v>
      </c>
      <c r="K519" s="4"/>
      <c r="L519" s="9">
        <v>28.360600000000002</v>
      </c>
      <c r="M519" s="9">
        <v>11.6745</v>
      </c>
      <c r="N519" s="9">
        <v>4.7850000000000001</v>
      </c>
      <c r="O519" s="9">
        <v>0.36199999999999999</v>
      </c>
      <c r="P519" s="9">
        <v>1.2509999999999999</v>
      </c>
      <c r="Q519" s="9">
        <v>19.053000000000001</v>
      </c>
      <c r="R519" s="9"/>
      <c r="S519" s="11"/>
    </row>
    <row r="520" spans="1:19" ht="15.75">
      <c r="A520" s="13">
        <v>57345</v>
      </c>
      <c r="B520" s="8">
        <f>15.0978 * CHOOSE(CONTROL!$C$15, $D$11, 100%, $F$11)</f>
        <v>15.097799999999999</v>
      </c>
      <c r="C520" s="8">
        <f>15.103 * CHOOSE(CONTROL!$C$15, $D$11, 100%, $F$11)</f>
        <v>15.103</v>
      </c>
      <c r="D520" s="8">
        <f>15.0813 * CHOOSE( CONTROL!$C$15, $D$11, 100%, $F$11)</f>
        <v>15.081300000000001</v>
      </c>
      <c r="E520" s="12">
        <f>15.0887 * CHOOSE( CONTROL!$C$15, $D$11, 100%, $F$11)</f>
        <v>15.088699999999999</v>
      </c>
      <c r="F520" s="4">
        <f>15.7427 * CHOOSE(CONTROL!$C$15, $D$11, 100%, $F$11)</f>
        <v>15.742699999999999</v>
      </c>
      <c r="G520" s="8">
        <f>14.8297 * CHOOSE( CONTROL!$C$15, $D$11, 100%, $F$11)</f>
        <v>14.829700000000001</v>
      </c>
      <c r="H520" s="4">
        <f>15.7105 * CHOOSE(CONTROL!$C$15, $D$11, 100%, $F$11)</f>
        <v>15.7105</v>
      </c>
      <c r="I520" s="8">
        <f>14.6962 * CHOOSE(CONTROL!$C$15, $D$11, 100%, $F$11)</f>
        <v>14.696199999999999</v>
      </c>
      <c r="J520" s="4">
        <f>14.5659 * CHOOSE(CONTROL!$C$15, $D$11, 100%, $F$11)</f>
        <v>14.565899999999999</v>
      </c>
      <c r="K520" s="4"/>
      <c r="L520" s="9">
        <v>29.306000000000001</v>
      </c>
      <c r="M520" s="9">
        <v>12.063700000000001</v>
      </c>
      <c r="N520" s="9">
        <v>4.9444999999999997</v>
      </c>
      <c r="O520" s="9">
        <v>0.37409999999999999</v>
      </c>
      <c r="P520" s="9">
        <v>1.2927</v>
      </c>
      <c r="Q520" s="9">
        <v>19.688099999999999</v>
      </c>
      <c r="R520" s="9"/>
      <c r="S520" s="11"/>
    </row>
    <row r="521" spans="1:19" ht="15.75">
      <c r="A521" s="13">
        <v>57376</v>
      </c>
      <c r="B521" s="8">
        <f>15.6737 * CHOOSE(CONTROL!$C$15, $D$11, 100%, $F$11)</f>
        <v>15.6737</v>
      </c>
      <c r="C521" s="8">
        <f>15.6788 * CHOOSE(CONTROL!$C$15, $D$11, 100%, $F$11)</f>
        <v>15.678800000000001</v>
      </c>
      <c r="D521" s="8">
        <f>15.653 * CHOOSE( CONTROL!$C$15, $D$11, 100%, $F$11)</f>
        <v>15.653</v>
      </c>
      <c r="E521" s="12">
        <f>15.6619 * CHOOSE( CONTROL!$C$15, $D$11, 100%, $F$11)</f>
        <v>15.661899999999999</v>
      </c>
      <c r="F521" s="4">
        <f>16.3177 * CHOOSE(CONTROL!$C$15, $D$11, 100%, $F$11)</f>
        <v>16.317699999999999</v>
      </c>
      <c r="G521" s="8">
        <f>15.3897 * CHOOSE( CONTROL!$C$15, $D$11, 100%, $F$11)</f>
        <v>15.389699999999999</v>
      </c>
      <c r="H521" s="4">
        <f>16.2759 * CHOOSE(CONTROL!$C$15, $D$11, 100%, $F$11)</f>
        <v>16.2759</v>
      </c>
      <c r="I521" s="8">
        <f>15.2238 * CHOOSE(CONTROL!$C$15, $D$11, 100%, $F$11)</f>
        <v>15.223800000000001</v>
      </c>
      <c r="J521" s="4">
        <f>15.1226 * CHOOSE(CONTROL!$C$15, $D$11, 100%, $F$11)</f>
        <v>15.1226</v>
      </c>
      <c r="K521" s="4"/>
      <c r="L521" s="9">
        <v>29.306000000000001</v>
      </c>
      <c r="M521" s="9">
        <v>12.063700000000001</v>
      </c>
      <c r="N521" s="9">
        <v>4.9444999999999997</v>
      </c>
      <c r="O521" s="9">
        <v>0.37409999999999999</v>
      </c>
      <c r="P521" s="9">
        <v>1.2927</v>
      </c>
      <c r="Q521" s="9">
        <v>19.688099999999999</v>
      </c>
      <c r="R521" s="9"/>
      <c r="S521" s="11"/>
    </row>
    <row r="522" spans="1:19" ht="15.75">
      <c r="A522" s="13">
        <v>57404</v>
      </c>
      <c r="B522" s="8">
        <f>14.6624 * CHOOSE(CONTROL!$C$15, $D$11, 100%, $F$11)</f>
        <v>14.6624</v>
      </c>
      <c r="C522" s="8">
        <f>14.6675 * CHOOSE(CONTROL!$C$15, $D$11, 100%, $F$11)</f>
        <v>14.6675</v>
      </c>
      <c r="D522" s="8">
        <f>14.6419 * CHOOSE( CONTROL!$C$15, $D$11, 100%, $F$11)</f>
        <v>14.6419</v>
      </c>
      <c r="E522" s="12">
        <f>14.6507 * CHOOSE( CONTROL!$C$15, $D$11, 100%, $F$11)</f>
        <v>14.650700000000001</v>
      </c>
      <c r="F522" s="4">
        <f>15.3064 * CHOOSE(CONTROL!$C$15, $D$11, 100%, $F$11)</f>
        <v>15.3064</v>
      </c>
      <c r="G522" s="8">
        <f>14.3953 * CHOOSE( CONTROL!$C$15, $D$11, 100%, $F$11)</f>
        <v>14.395300000000001</v>
      </c>
      <c r="H522" s="4">
        <f>15.2814 * CHOOSE(CONTROL!$C$15, $D$11, 100%, $F$11)</f>
        <v>15.2814</v>
      </c>
      <c r="I522" s="8">
        <f>14.2464 * CHOOSE(CONTROL!$C$15, $D$11, 100%, $F$11)</f>
        <v>14.2464</v>
      </c>
      <c r="J522" s="4">
        <f>14.145 * CHOOSE(CONTROL!$C$15, $D$11, 100%, $F$11)</f>
        <v>14.145</v>
      </c>
      <c r="K522" s="4"/>
      <c r="L522" s="9">
        <v>26.469899999999999</v>
      </c>
      <c r="M522" s="9">
        <v>10.8962</v>
      </c>
      <c r="N522" s="9">
        <v>4.4660000000000002</v>
      </c>
      <c r="O522" s="9">
        <v>0.33789999999999998</v>
      </c>
      <c r="P522" s="9">
        <v>1.1676</v>
      </c>
      <c r="Q522" s="9">
        <v>17.782800000000002</v>
      </c>
      <c r="R522" s="9"/>
      <c r="S522" s="11"/>
    </row>
    <row r="523" spans="1:19" ht="15.75">
      <c r="A523" s="13">
        <v>57435</v>
      </c>
      <c r="B523" s="8">
        <f>14.3509 * CHOOSE(CONTROL!$C$15, $D$11, 100%, $F$11)</f>
        <v>14.350899999999999</v>
      </c>
      <c r="C523" s="8">
        <f>14.356 * CHOOSE(CONTROL!$C$15, $D$11, 100%, $F$11)</f>
        <v>14.356</v>
      </c>
      <c r="D523" s="8">
        <f>14.3303 * CHOOSE( CONTROL!$C$15, $D$11, 100%, $F$11)</f>
        <v>14.330299999999999</v>
      </c>
      <c r="E523" s="12">
        <f>14.3392 * CHOOSE( CONTROL!$C$15, $D$11, 100%, $F$11)</f>
        <v>14.3392</v>
      </c>
      <c r="F523" s="4">
        <f>14.9949 * CHOOSE(CONTROL!$C$15, $D$11, 100%, $F$11)</f>
        <v>14.994899999999999</v>
      </c>
      <c r="G523" s="8">
        <f>14.0889 * CHOOSE( CONTROL!$C$15, $D$11, 100%, $F$11)</f>
        <v>14.088900000000001</v>
      </c>
      <c r="H523" s="4">
        <f>14.9751 * CHOOSE(CONTROL!$C$15, $D$11, 100%, $F$11)</f>
        <v>14.975099999999999</v>
      </c>
      <c r="I523" s="8">
        <f>13.9449 * CHOOSE(CONTROL!$C$15, $D$11, 100%, $F$11)</f>
        <v>13.944900000000001</v>
      </c>
      <c r="J523" s="4">
        <f>13.8439 * CHOOSE(CONTROL!$C$15, $D$11, 100%, $F$11)</f>
        <v>13.8439</v>
      </c>
      <c r="K523" s="4"/>
      <c r="L523" s="9">
        <v>29.306000000000001</v>
      </c>
      <c r="M523" s="9">
        <v>12.063700000000001</v>
      </c>
      <c r="N523" s="9">
        <v>4.9444999999999997</v>
      </c>
      <c r="O523" s="9">
        <v>0.37409999999999999</v>
      </c>
      <c r="P523" s="9">
        <v>1.2927</v>
      </c>
      <c r="Q523" s="9">
        <v>19.688099999999999</v>
      </c>
      <c r="R523" s="9"/>
      <c r="S523" s="11"/>
    </row>
    <row r="524" spans="1:19" ht="15.75">
      <c r="A524" s="13">
        <v>57465</v>
      </c>
      <c r="B524" s="8">
        <f>14.5693 * CHOOSE(CONTROL!$C$15, $D$11, 100%, $F$11)</f>
        <v>14.5693</v>
      </c>
      <c r="C524" s="8">
        <f>14.5739 * CHOOSE(CONTROL!$C$15, $D$11, 100%, $F$11)</f>
        <v>14.5739</v>
      </c>
      <c r="D524" s="8">
        <f>14.5849 * CHOOSE( CONTROL!$C$15, $D$11, 100%, $F$11)</f>
        <v>14.584899999999999</v>
      </c>
      <c r="E524" s="12">
        <f>14.5807 * CHOOSE( CONTROL!$C$15, $D$11, 100%, $F$11)</f>
        <v>14.5807</v>
      </c>
      <c r="F524" s="4">
        <f>15.259 * CHOOSE(CONTROL!$C$15, $D$11, 100%, $F$11)</f>
        <v>15.259</v>
      </c>
      <c r="G524" s="8">
        <f>14.2959 * CHOOSE( CONTROL!$C$15, $D$11, 100%, $F$11)</f>
        <v>14.2959</v>
      </c>
      <c r="H524" s="4">
        <f>15.2347 * CHOOSE(CONTROL!$C$15, $D$11, 100%, $F$11)</f>
        <v>15.2347</v>
      </c>
      <c r="I524" s="8">
        <f>14.1505 * CHOOSE(CONTROL!$C$15, $D$11, 100%, $F$11)</f>
        <v>14.150499999999999</v>
      </c>
      <c r="J524" s="4">
        <f>14.0543 * CHOOSE(CONTROL!$C$15, $D$11, 100%, $F$11)</f>
        <v>14.0543</v>
      </c>
      <c r="K524" s="4"/>
      <c r="L524" s="9">
        <v>30.092199999999998</v>
      </c>
      <c r="M524" s="9">
        <v>11.6745</v>
      </c>
      <c r="N524" s="9">
        <v>4.7850000000000001</v>
      </c>
      <c r="O524" s="9">
        <v>0.36199999999999999</v>
      </c>
      <c r="P524" s="9">
        <v>1.1791</v>
      </c>
      <c r="Q524" s="9">
        <v>19.053000000000001</v>
      </c>
      <c r="R524" s="9"/>
      <c r="S524" s="11"/>
    </row>
    <row r="525" spans="1:19" ht="15.75">
      <c r="A525" s="13">
        <v>57496</v>
      </c>
      <c r="B525" s="8">
        <f>CHOOSE( CONTROL!$C$32, 14.9616, 14.9581) * CHOOSE(CONTROL!$C$15, $D$11, 100%, $F$11)</f>
        <v>14.961600000000001</v>
      </c>
      <c r="C525" s="8">
        <f>CHOOSE( CONTROL!$C$32, 14.9697, 14.9661) * CHOOSE(CONTROL!$C$15, $D$11, 100%, $F$11)</f>
        <v>14.9697</v>
      </c>
      <c r="D525" s="8">
        <f>CHOOSE( CONTROL!$C$32, 14.9757, 14.9721) * CHOOSE( CONTROL!$C$15, $D$11, 100%, $F$11)</f>
        <v>14.9757</v>
      </c>
      <c r="E525" s="12">
        <f>CHOOSE( CONTROL!$C$32, 14.9723, 14.9687) * CHOOSE( CONTROL!$C$15, $D$11, 100%, $F$11)</f>
        <v>14.972300000000001</v>
      </c>
      <c r="F525" s="4">
        <f>CHOOSE( CONTROL!$C$32, 15.6499, 15.6464) * CHOOSE(CONTROL!$C$15, $D$11, 100%, $F$11)</f>
        <v>15.649900000000001</v>
      </c>
      <c r="G525" s="8">
        <f>CHOOSE( CONTROL!$C$32, 14.6813, 14.6778) * CHOOSE( CONTROL!$C$15, $D$11, 100%, $F$11)</f>
        <v>14.6813</v>
      </c>
      <c r="H525" s="4">
        <f>CHOOSE( CONTROL!$C$32, 15.6192, 15.6157) * CHOOSE(CONTROL!$C$15, $D$11, 100%, $F$11)</f>
        <v>15.619199999999999</v>
      </c>
      <c r="I525" s="8">
        <f>CHOOSE( CONTROL!$C$32, 14.5295, 14.526) * CHOOSE(CONTROL!$C$15, $D$11, 100%, $F$11)</f>
        <v>14.529500000000001</v>
      </c>
      <c r="J525" s="4">
        <f>CHOOSE( CONTROL!$C$32, 14.4322, 14.4287) * CHOOSE(CONTROL!$C$15, $D$11, 100%, $F$11)</f>
        <v>14.4322</v>
      </c>
      <c r="K525" s="4"/>
      <c r="L525" s="9">
        <v>30.7165</v>
      </c>
      <c r="M525" s="9">
        <v>12.063700000000001</v>
      </c>
      <c r="N525" s="9">
        <v>4.9444999999999997</v>
      </c>
      <c r="O525" s="9">
        <v>0.37409999999999999</v>
      </c>
      <c r="P525" s="9">
        <v>1.2183999999999999</v>
      </c>
      <c r="Q525" s="9">
        <v>19.688099999999999</v>
      </c>
      <c r="R525" s="9"/>
      <c r="S525" s="11"/>
    </row>
    <row r="526" spans="1:19" ht="15.75">
      <c r="A526" s="13">
        <v>57526</v>
      </c>
      <c r="B526" s="8">
        <f>CHOOSE( CONTROL!$C$32, 14.7217, 14.7181) * CHOOSE(CONTROL!$C$15, $D$11, 100%, $F$11)</f>
        <v>14.7217</v>
      </c>
      <c r="C526" s="8">
        <f>CHOOSE( CONTROL!$C$32, 14.7297, 14.7261) * CHOOSE(CONTROL!$C$15, $D$11, 100%, $F$11)</f>
        <v>14.729699999999999</v>
      </c>
      <c r="D526" s="8">
        <f>CHOOSE( CONTROL!$C$32, 14.736, 14.7324) * CHOOSE( CONTROL!$C$15, $D$11, 100%, $F$11)</f>
        <v>14.736000000000001</v>
      </c>
      <c r="E526" s="12">
        <f>CHOOSE( CONTROL!$C$32, 14.7325, 14.7289) * CHOOSE( CONTROL!$C$15, $D$11, 100%, $F$11)</f>
        <v>14.7325</v>
      </c>
      <c r="F526" s="4">
        <f>CHOOSE( CONTROL!$C$32, 15.4099, 15.4064) * CHOOSE(CONTROL!$C$15, $D$11, 100%, $F$11)</f>
        <v>15.4099</v>
      </c>
      <c r="G526" s="8">
        <f>CHOOSE( CONTROL!$C$32, 14.4457, 14.4422) * CHOOSE( CONTROL!$C$15, $D$11, 100%, $F$11)</f>
        <v>14.4457</v>
      </c>
      <c r="H526" s="4">
        <f>CHOOSE( CONTROL!$C$32, 15.3832, 15.3797) * CHOOSE(CONTROL!$C$15, $D$11, 100%, $F$11)</f>
        <v>15.3832</v>
      </c>
      <c r="I526" s="8">
        <f>CHOOSE( CONTROL!$C$32, 14.2987, 14.2952) * CHOOSE(CONTROL!$C$15, $D$11, 100%, $F$11)</f>
        <v>14.2987</v>
      </c>
      <c r="J526" s="4">
        <f>CHOOSE( CONTROL!$C$32, 14.2002, 14.1968) * CHOOSE(CONTROL!$C$15, $D$11, 100%, $F$11)</f>
        <v>14.200200000000001</v>
      </c>
      <c r="K526" s="4"/>
      <c r="L526" s="9">
        <v>29.7257</v>
      </c>
      <c r="M526" s="9">
        <v>11.6745</v>
      </c>
      <c r="N526" s="9">
        <v>4.7850000000000001</v>
      </c>
      <c r="O526" s="9">
        <v>0.36199999999999999</v>
      </c>
      <c r="P526" s="9">
        <v>1.1791</v>
      </c>
      <c r="Q526" s="9">
        <v>19.053000000000001</v>
      </c>
      <c r="R526" s="9"/>
      <c r="S526" s="11"/>
    </row>
    <row r="527" spans="1:19" ht="15.75">
      <c r="A527" s="13">
        <v>57557</v>
      </c>
      <c r="B527" s="8">
        <f>CHOOSE( CONTROL!$C$32, 15.3536, 15.35) * CHOOSE(CONTROL!$C$15, $D$11, 100%, $F$11)</f>
        <v>15.3536</v>
      </c>
      <c r="C527" s="8">
        <f>CHOOSE( CONTROL!$C$32, 15.3616, 15.3581) * CHOOSE(CONTROL!$C$15, $D$11, 100%, $F$11)</f>
        <v>15.361599999999999</v>
      </c>
      <c r="D527" s="8">
        <f>CHOOSE( CONTROL!$C$32, 15.3682, 15.3647) * CHOOSE( CONTROL!$C$15, $D$11, 100%, $F$11)</f>
        <v>15.3682</v>
      </c>
      <c r="E527" s="12">
        <f>CHOOSE( CONTROL!$C$32, 15.3646, 15.3611) * CHOOSE( CONTROL!$C$15, $D$11, 100%, $F$11)</f>
        <v>15.364599999999999</v>
      </c>
      <c r="F527" s="4">
        <f>CHOOSE( CONTROL!$C$32, 16.0419, 16.0383) * CHOOSE(CONTROL!$C$15, $D$11, 100%, $F$11)</f>
        <v>16.041899999999998</v>
      </c>
      <c r="G527" s="8">
        <f>CHOOSE( CONTROL!$C$32, 15.0677, 15.0642) * CHOOSE( CONTROL!$C$15, $D$11, 100%, $F$11)</f>
        <v>15.0677</v>
      </c>
      <c r="H527" s="4">
        <f>CHOOSE( CONTROL!$C$32, 16.0046, 16.0011) * CHOOSE(CONTROL!$C$15, $D$11, 100%, $F$11)</f>
        <v>16.0046</v>
      </c>
      <c r="I527" s="8">
        <f>CHOOSE( CONTROL!$C$32, 14.9114, 14.9079) * CHOOSE(CONTROL!$C$15, $D$11, 100%, $F$11)</f>
        <v>14.9114</v>
      </c>
      <c r="J527" s="4">
        <f>CHOOSE( CONTROL!$C$32, 14.8111, 14.8077) * CHOOSE(CONTROL!$C$15, $D$11, 100%, $F$11)</f>
        <v>14.8111</v>
      </c>
      <c r="K527" s="4"/>
      <c r="L527" s="9">
        <v>30.7165</v>
      </c>
      <c r="M527" s="9">
        <v>12.063700000000001</v>
      </c>
      <c r="N527" s="9">
        <v>4.9444999999999997</v>
      </c>
      <c r="O527" s="9">
        <v>0.37409999999999999</v>
      </c>
      <c r="P527" s="9">
        <v>1.2183999999999999</v>
      </c>
      <c r="Q527" s="9">
        <v>19.688099999999999</v>
      </c>
      <c r="R527" s="9"/>
      <c r="S527" s="11"/>
    </row>
    <row r="528" spans="1:19" ht="15.75">
      <c r="A528" s="13">
        <v>57588</v>
      </c>
      <c r="B528" s="8">
        <f>CHOOSE( CONTROL!$C$32, 14.1712, 14.1676) * CHOOSE(CONTROL!$C$15, $D$11, 100%, $F$11)</f>
        <v>14.171200000000001</v>
      </c>
      <c r="C528" s="8">
        <f>CHOOSE( CONTROL!$C$32, 14.1792, 14.1756) * CHOOSE(CONTROL!$C$15, $D$11, 100%, $F$11)</f>
        <v>14.1792</v>
      </c>
      <c r="D528" s="8">
        <f>CHOOSE( CONTROL!$C$32, 14.1859, 14.1823) * CHOOSE( CONTROL!$C$15, $D$11, 100%, $F$11)</f>
        <v>14.1859</v>
      </c>
      <c r="E528" s="12">
        <f>CHOOSE( CONTROL!$C$32, 14.1823, 14.1787) * CHOOSE( CONTROL!$C$15, $D$11, 100%, $F$11)</f>
        <v>14.1823</v>
      </c>
      <c r="F528" s="4">
        <f>CHOOSE( CONTROL!$C$32, 14.8595, 14.8559) * CHOOSE(CONTROL!$C$15, $D$11, 100%, $F$11)</f>
        <v>14.859500000000001</v>
      </c>
      <c r="G528" s="8">
        <f>CHOOSE( CONTROL!$C$32, 13.905, 13.9015) * CHOOSE( CONTROL!$C$15, $D$11, 100%, $F$11)</f>
        <v>13.904999999999999</v>
      </c>
      <c r="H528" s="4">
        <f>CHOOSE( CONTROL!$C$32, 14.8418, 14.8383) * CHOOSE(CONTROL!$C$15, $D$11, 100%, $F$11)</f>
        <v>14.841799999999999</v>
      </c>
      <c r="I528" s="8">
        <f>CHOOSE( CONTROL!$C$32, 13.7682, 13.7648) * CHOOSE(CONTROL!$C$15, $D$11, 100%, $F$11)</f>
        <v>13.7682</v>
      </c>
      <c r="J528" s="4">
        <f>CHOOSE( CONTROL!$C$32, 13.6681, 13.6646) * CHOOSE(CONTROL!$C$15, $D$11, 100%, $F$11)</f>
        <v>13.668100000000001</v>
      </c>
      <c r="K528" s="4"/>
      <c r="L528" s="9">
        <v>30.7165</v>
      </c>
      <c r="M528" s="9">
        <v>12.063700000000001</v>
      </c>
      <c r="N528" s="9">
        <v>4.9444999999999997</v>
      </c>
      <c r="O528" s="9">
        <v>0.37409999999999999</v>
      </c>
      <c r="P528" s="9">
        <v>1.2183999999999999</v>
      </c>
      <c r="Q528" s="9">
        <v>19.688099999999999</v>
      </c>
      <c r="R528" s="9"/>
      <c r="S528" s="11"/>
    </row>
    <row r="529" spans="1:19" ht="15.75">
      <c r="A529" s="13">
        <v>57618</v>
      </c>
      <c r="B529" s="8">
        <f>CHOOSE( CONTROL!$C$32, 13.8751, 13.8715) * CHOOSE(CONTROL!$C$15, $D$11, 100%, $F$11)</f>
        <v>13.8751</v>
      </c>
      <c r="C529" s="8">
        <f>CHOOSE( CONTROL!$C$32, 13.8831, 13.8796) * CHOOSE(CONTROL!$C$15, $D$11, 100%, $F$11)</f>
        <v>13.883100000000001</v>
      </c>
      <c r="D529" s="8">
        <f>CHOOSE( CONTROL!$C$32, 13.8898, 13.8862) * CHOOSE( CONTROL!$C$15, $D$11, 100%, $F$11)</f>
        <v>13.889799999999999</v>
      </c>
      <c r="E529" s="12">
        <f>CHOOSE( CONTROL!$C$32, 13.8862, 13.8826) * CHOOSE( CONTROL!$C$15, $D$11, 100%, $F$11)</f>
        <v>13.886200000000001</v>
      </c>
      <c r="F529" s="4">
        <f>CHOOSE( CONTROL!$C$32, 14.5634, 14.5598) * CHOOSE(CONTROL!$C$15, $D$11, 100%, $F$11)</f>
        <v>14.5634</v>
      </c>
      <c r="G529" s="8">
        <f>CHOOSE( CONTROL!$C$32, 13.6138, 13.6103) * CHOOSE( CONTROL!$C$15, $D$11, 100%, $F$11)</f>
        <v>13.613799999999999</v>
      </c>
      <c r="H529" s="4">
        <f>CHOOSE( CONTROL!$C$32, 14.5507, 14.5471) * CHOOSE(CONTROL!$C$15, $D$11, 100%, $F$11)</f>
        <v>14.550700000000001</v>
      </c>
      <c r="I529" s="8">
        <f>CHOOSE( CONTROL!$C$32, 13.4818, 13.4784) * CHOOSE(CONTROL!$C$15, $D$11, 100%, $F$11)</f>
        <v>13.4818</v>
      </c>
      <c r="J529" s="4">
        <f>CHOOSE( CONTROL!$C$32, 13.3818, 13.3784) * CHOOSE(CONTROL!$C$15, $D$11, 100%, $F$11)</f>
        <v>13.3818</v>
      </c>
      <c r="K529" s="4"/>
      <c r="L529" s="9">
        <v>29.7257</v>
      </c>
      <c r="M529" s="9">
        <v>11.6745</v>
      </c>
      <c r="N529" s="9">
        <v>4.7850000000000001</v>
      </c>
      <c r="O529" s="9">
        <v>0.36199999999999999</v>
      </c>
      <c r="P529" s="9">
        <v>1.1791</v>
      </c>
      <c r="Q529" s="9">
        <v>19.053000000000001</v>
      </c>
      <c r="R529" s="9"/>
      <c r="S529" s="11"/>
    </row>
    <row r="530" spans="1:19" ht="15.75">
      <c r="A530" s="13">
        <v>57649</v>
      </c>
      <c r="B530" s="8">
        <f>14.4846 * CHOOSE(CONTROL!$C$15, $D$11, 100%, $F$11)</f>
        <v>14.4846</v>
      </c>
      <c r="C530" s="8">
        <f>14.49 * CHOOSE(CONTROL!$C$15, $D$11, 100%, $F$11)</f>
        <v>14.49</v>
      </c>
      <c r="D530" s="8">
        <f>14.5015 * CHOOSE( CONTROL!$C$15, $D$11, 100%, $F$11)</f>
        <v>14.5015</v>
      </c>
      <c r="E530" s="12">
        <f>14.4971 * CHOOSE( CONTROL!$C$15, $D$11, 100%, $F$11)</f>
        <v>14.4971</v>
      </c>
      <c r="F530" s="4">
        <f>15.1746 * CHOOSE(CONTROL!$C$15, $D$11, 100%, $F$11)</f>
        <v>15.1746</v>
      </c>
      <c r="G530" s="8">
        <f>14.2144 * CHOOSE( CONTROL!$C$15, $D$11, 100%, $F$11)</f>
        <v>14.214399999999999</v>
      </c>
      <c r="H530" s="4">
        <f>15.1517 * CHOOSE(CONTROL!$C$15, $D$11, 100%, $F$11)</f>
        <v>15.1517</v>
      </c>
      <c r="I530" s="8">
        <f>14.0737 * CHOOSE(CONTROL!$C$15, $D$11, 100%, $F$11)</f>
        <v>14.073700000000001</v>
      </c>
      <c r="J530" s="4">
        <f>13.9727 * CHOOSE(CONTROL!$C$15, $D$11, 100%, $F$11)</f>
        <v>13.9727</v>
      </c>
      <c r="K530" s="4"/>
      <c r="L530" s="9">
        <v>31.095300000000002</v>
      </c>
      <c r="M530" s="9">
        <v>12.063700000000001</v>
      </c>
      <c r="N530" s="9">
        <v>4.9444999999999997</v>
      </c>
      <c r="O530" s="9">
        <v>0.37409999999999999</v>
      </c>
      <c r="P530" s="9">
        <v>1.2183999999999999</v>
      </c>
      <c r="Q530" s="9">
        <v>19.688099999999999</v>
      </c>
      <c r="R530" s="9"/>
      <c r="S530" s="11"/>
    </row>
    <row r="531" spans="1:19" ht="15.75">
      <c r="A531" s="13">
        <v>57679</v>
      </c>
      <c r="B531" s="8">
        <f>15.619 * CHOOSE(CONTROL!$C$15, $D$11, 100%, $F$11)</f>
        <v>15.619</v>
      </c>
      <c r="C531" s="8">
        <f>15.6241 * CHOOSE(CONTROL!$C$15, $D$11, 100%, $F$11)</f>
        <v>15.6241</v>
      </c>
      <c r="D531" s="8">
        <f>15.601 * CHOOSE( CONTROL!$C$15, $D$11, 100%, $F$11)</f>
        <v>15.601000000000001</v>
      </c>
      <c r="E531" s="12">
        <f>15.6089 * CHOOSE( CONTROL!$C$15, $D$11, 100%, $F$11)</f>
        <v>15.6089</v>
      </c>
      <c r="F531" s="4">
        <f>16.2639 * CHOOSE(CONTROL!$C$15, $D$11, 100%, $F$11)</f>
        <v>16.2639</v>
      </c>
      <c r="G531" s="8">
        <f>15.3411 * CHOOSE( CONTROL!$C$15, $D$11, 100%, $F$11)</f>
        <v>15.341100000000001</v>
      </c>
      <c r="H531" s="4">
        <f>16.2229 * CHOOSE(CONTROL!$C$15, $D$11, 100%, $F$11)</f>
        <v>16.222899999999999</v>
      </c>
      <c r="I531" s="8">
        <f>15.1959 * CHOOSE(CONTROL!$C$15, $D$11, 100%, $F$11)</f>
        <v>15.1959</v>
      </c>
      <c r="J531" s="4">
        <f>15.0697 * CHOOSE(CONTROL!$C$15, $D$11, 100%, $F$11)</f>
        <v>15.069699999999999</v>
      </c>
      <c r="K531" s="4"/>
      <c r="L531" s="9">
        <v>28.360600000000002</v>
      </c>
      <c r="M531" s="9">
        <v>11.6745</v>
      </c>
      <c r="N531" s="9">
        <v>4.7850000000000001</v>
      </c>
      <c r="O531" s="9">
        <v>0.36199999999999999</v>
      </c>
      <c r="P531" s="9">
        <v>1.2509999999999999</v>
      </c>
      <c r="Q531" s="9">
        <v>19.053000000000001</v>
      </c>
      <c r="R531" s="9"/>
      <c r="S531" s="11"/>
    </row>
    <row r="532" spans="1:19" ht="15.75">
      <c r="A532" s="13">
        <v>57710</v>
      </c>
      <c r="B532" s="8">
        <f>15.5906 * CHOOSE(CONTROL!$C$15, $D$11, 100%, $F$11)</f>
        <v>15.5906</v>
      </c>
      <c r="C532" s="8">
        <f>15.5957 * CHOOSE(CONTROL!$C$15, $D$11, 100%, $F$11)</f>
        <v>15.595700000000001</v>
      </c>
      <c r="D532" s="8">
        <f>15.574 * CHOOSE( CONTROL!$C$15, $D$11, 100%, $F$11)</f>
        <v>15.574</v>
      </c>
      <c r="E532" s="12">
        <f>15.5814 * CHOOSE( CONTROL!$C$15, $D$11, 100%, $F$11)</f>
        <v>15.5814</v>
      </c>
      <c r="F532" s="4">
        <f>16.2355 * CHOOSE(CONTROL!$C$15, $D$11, 100%, $F$11)</f>
        <v>16.235499999999998</v>
      </c>
      <c r="G532" s="8">
        <f>15.3143 * CHOOSE( CONTROL!$C$15, $D$11, 100%, $F$11)</f>
        <v>15.314299999999999</v>
      </c>
      <c r="H532" s="4">
        <f>16.1951 * CHOOSE(CONTROL!$C$15, $D$11, 100%, $F$11)</f>
        <v>16.1951</v>
      </c>
      <c r="I532" s="8">
        <f>15.1728 * CHOOSE(CONTROL!$C$15, $D$11, 100%, $F$11)</f>
        <v>15.172800000000001</v>
      </c>
      <c r="J532" s="4">
        <f>15.0423 * CHOOSE(CONTROL!$C$15, $D$11, 100%, $F$11)</f>
        <v>15.042299999999999</v>
      </c>
      <c r="K532" s="4"/>
      <c r="L532" s="9">
        <v>29.306000000000001</v>
      </c>
      <c r="M532" s="9">
        <v>12.063700000000001</v>
      </c>
      <c r="N532" s="9">
        <v>4.9444999999999997</v>
      </c>
      <c r="O532" s="9">
        <v>0.37409999999999999</v>
      </c>
      <c r="P532" s="9">
        <v>1.2927</v>
      </c>
      <c r="Q532" s="9">
        <v>19.688099999999999</v>
      </c>
      <c r="R532" s="9"/>
      <c r="S532" s="11"/>
    </row>
    <row r="533" spans="1:19" ht="15.75">
      <c r="A533" s="13">
        <v>57741</v>
      </c>
      <c r="B533" s="8">
        <f>16.1853 * CHOOSE(CONTROL!$C$15, $D$11, 100%, $F$11)</f>
        <v>16.185300000000002</v>
      </c>
      <c r="C533" s="8">
        <f>16.1904 * CHOOSE(CONTROL!$C$15, $D$11, 100%, $F$11)</f>
        <v>16.1904</v>
      </c>
      <c r="D533" s="8">
        <f>16.1646 * CHOOSE( CONTROL!$C$15, $D$11, 100%, $F$11)</f>
        <v>16.1646</v>
      </c>
      <c r="E533" s="12">
        <f>16.1735 * CHOOSE( CONTROL!$C$15, $D$11, 100%, $F$11)</f>
        <v>16.173500000000001</v>
      </c>
      <c r="F533" s="4">
        <f>16.8293 * CHOOSE(CONTROL!$C$15, $D$11, 100%, $F$11)</f>
        <v>16.8293</v>
      </c>
      <c r="G533" s="8">
        <f>15.8928 * CHOOSE( CONTROL!$C$15, $D$11, 100%, $F$11)</f>
        <v>15.892799999999999</v>
      </c>
      <c r="H533" s="4">
        <f>16.7791 * CHOOSE(CONTROL!$C$15, $D$11, 100%, $F$11)</f>
        <v>16.7791</v>
      </c>
      <c r="I533" s="8">
        <f>15.7186 * CHOOSE(CONTROL!$C$15, $D$11, 100%, $F$11)</f>
        <v>15.7186</v>
      </c>
      <c r="J533" s="4">
        <f>15.6172 * CHOOSE(CONTROL!$C$15, $D$11, 100%, $F$11)</f>
        <v>15.6172</v>
      </c>
      <c r="K533" s="4"/>
      <c r="L533" s="9">
        <v>29.306000000000001</v>
      </c>
      <c r="M533" s="9">
        <v>12.063700000000001</v>
      </c>
      <c r="N533" s="9">
        <v>4.9444999999999997</v>
      </c>
      <c r="O533" s="9">
        <v>0.37409999999999999</v>
      </c>
      <c r="P533" s="9">
        <v>1.2927</v>
      </c>
      <c r="Q533" s="9">
        <v>19.688099999999999</v>
      </c>
      <c r="R533" s="9"/>
      <c r="S533" s="11"/>
    </row>
    <row r="534" spans="1:19" ht="15.75">
      <c r="A534" s="13">
        <v>57769</v>
      </c>
      <c r="B534" s="8">
        <f>15.1409 * CHOOSE(CONTROL!$C$15, $D$11, 100%, $F$11)</f>
        <v>15.1409</v>
      </c>
      <c r="C534" s="8">
        <f>15.146 * CHOOSE(CONTROL!$C$15, $D$11, 100%, $F$11)</f>
        <v>15.146000000000001</v>
      </c>
      <c r="D534" s="8">
        <f>15.1204 * CHOOSE( CONTROL!$C$15, $D$11, 100%, $F$11)</f>
        <v>15.1204</v>
      </c>
      <c r="E534" s="12">
        <f>15.1292 * CHOOSE( CONTROL!$C$15, $D$11, 100%, $F$11)</f>
        <v>15.129200000000001</v>
      </c>
      <c r="F534" s="4">
        <f>15.7849 * CHOOSE(CONTROL!$C$15, $D$11, 100%, $F$11)</f>
        <v>15.7849</v>
      </c>
      <c r="G534" s="8">
        <f>14.8659 * CHOOSE( CONTROL!$C$15, $D$11, 100%, $F$11)</f>
        <v>14.8659</v>
      </c>
      <c r="H534" s="4">
        <f>15.752 * CHOOSE(CONTROL!$C$15, $D$11, 100%, $F$11)</f>
        <v>15.752000000000001</v>
      </c>
      <c r="I534" s="8">
        <f>14.7092 * CHOOSE(CONTROL!$C$15, $D$11, 100%, $F$11)</f>
        <v>14.709199999999999</v>
      </c>
      <c r="J534" s="4">
        <f>14.6076 * CHOOSE(CONTROL!$C$15, $D$11, 100%, $F$11)</f>
        <v>14.6076</v>
      </c>
      <c r="K534" s="4"/>
      <c r="L534" s="9">
        <v>26.469899999999999</v>
      </c>
      <c r="M534" s="9">
        <v>10.8962</v>
      </c>
      <c r="N534" s="9">
        <v>4.4660000000000002</v>
      </c>
      <c r="O534" s="9">
        <v>0.33789999999999998</v>
      </c>
      <c r="P534" s="9">
        <v>1.1676</v>
      </c>
      <c r="Q534" s="9">
        <v>17.782800000000002</v>
      </c>
      <c r="R534" s="9"/>
      <c r="S534" s="11"/>
    </row>
    <row r="535" spans="1:19" ht="15.75">
      <c r="A535" s="13">
        <v>57800</v>
      </c>
      <c r="B535" s="8">
        <f>14.8193 * CHOOSE(CONTROL!$C$15, $D$11, 100%, $F$11)</f>
        <v>14.8193</v>
      </c>
      <c r="C535" s="8">
        <f>14.8244 * CHOOSE(CONTROL!$C$15, $D$11, 100%, $F$11)</f>
        <v>14.824400000000001</v>
      </c>
      <c r="D535" s="8">
        <f>14.7987 * CHOOSE( CONTROL!$C$15, $D$11, 100%, $F$11)</f>
        <v>14.7987</v>
      </c>
      <c r="E535" s="12">
        <f>14.8076 * CHOOSE( CONTROL!$C$15, $D$11, 100%, $F$11)</f>
        <v>14.807600000000001</v>
      </c>
      <c r="F535" s="4">
        <f>15.4633 * CHOOSE(CONTROL!$C$15, $D$11, 100%, $F$11)</f>
        <v>15.4633</v>
      </c>
      <c r="G535" s="8">
        <f>14.5495 * CHOOSE( CONTROL!$C$15, $D$11, 100%, $F$11)</f>
        <v>14.5495</v>
      </c>
      <c r="H535" s="4">
        <f>15.4356 * CHOOSE(CONTROL!$C$15, $D$11, 100%, $F$11)</f>
        <v>15.435600000000001</v>
      </c>
      <c r="I535" s="8">
        <f>14.3979 * CHOOSE(CONTROL!$C$15, $D$11, 100%, $F$11)</f>
        <v>14.3979</v>
      </c>
      <c r="J535" s="4">
        <f>14.2966 * CHOOSE(CONTROL!$C$15, $D$11, 100%, $F$11)</f>
        <v>14.2966</v>
      </c>
      <c r="K535" s="4"/>
      <c r="L535" s="9">
        <v>29.306000000000001</v>
      </c>
      <c r="M535" s="9">
        <v>12.063700000000001</v>
      </c>
      <c r="N535" s="9">
        <v>4.9444999999999997</v>
      </c>
      <c r="O535" s="9">
        <v>0.37409999999999999</v>
      </c>
      <c r="P535" s="9">
        <v>1.2927</v>
      </c>
      <c r="Q535" s="9">
        <v>19.688099999999999</v>
      </c>
      <c r="R535" s="9"/>
      <c r="S535" s="11"/>
    </row>
    <row r="536" spans="1:19" ht="15.75">
      <c r="A536" s="13">
        <v>57830</v>
      </c>
      <c r="B536" s="8">
        <f>15.0448 * CHOOSE(CONTROL!$C$15, $D$11, 100%, $F$11)</f>
        <v>15.0448</v>
      </c>
      <c r="C536" s="8">
        <f>15.0493 * CHOOSE(CONTROL!$C$15, $D$11, 100%, $F$11)</f>
        <v>15.049300000000001</v>
      </c>
      <c r="D536" s="8">
        <f>15.0604 * CHOOSE( CONTROL!$C$15, $D$11, 100%, $F$11)</f>
        <v>15.0604</v>
      </c>
      <c r="E536" s="12">
        <f>15.0562 * CHOOSE( CONTROL!$C$15, $D$11, 100%, $F$11)</f>
        <v>15.0562</v>
      </c>
      <c r="F536" s="4">
        <f>15.7344 * CHOOSE(CONTROL!$C$15, $D$11, 100%, $F$11)</f>
        <v>15.734400000000001</v>
      </c>
      <c r="G536" s="8">
        <f>14.7634 * CHOOSE( CONTROL!$C$15, $D$11, 100%, $F$11)</f>
        <v>14.763400000000001</v>
      </c>
      <c r="H536" s="4">
        <f>15.7023 * CHOOSE(CONTROL!$C$15, $D$11, 100%, $F$11)</f>
        <v>15.702299999999999</v>
      </c>
      <c r="I536" s="8">
        <f>14.6103 * CHOOSE(CONTROL!$C$15, $D$11, 100%, $F$11)</f>
        <v>14.610300000000001</v>
      </c>
      <c r="J536" s="4">
        <f>14.5139 * CHOOSE(CONTROL!$C$15, $D$11, 100%, $F$11)</f>
        <v>14.5139</v>
      </c>
      <c r="K536" s="4"/>
      <c r="L536" s="9">
        <v>30.092199999999998</v>
      </c>
      <c r="M536" s="9">
        <v>11.6745</v>
      </c>
      <c r="N536" s="9">
        <v>4.7850000000000001</v>
      </c>
      <c r="O536" s="9">
        <v>0.36199999999999999</v>
      </c>
      <c r="P536" s="9">
        <v>1.1791</v>
      </c>
      <c r="Q536" s="9">
        <v>19.053000000000001</v>
      </c>
      <c r="R536" s="9"/>
      <c r="S536" s="11"/>
    </row>
    <row r="537" spans="1:19" ht="15.75">
      <c r="A537" s="13">
        <v>57861</v>
      </c>
      <c r="B537" s="8">
        <f>CHOOSE( CONTROL!$C$32, 15.4498, 15.4462) * CHOOSE(CONTROL!$C$15, $D$11, 100%, $F$11)</f>
        <v>15.4498</v>
      </c>
      <c r="C537" s="8">
        <f>CHOOSE( CONTROL!$C$32, 15.4578, 15.4542) * CHOOSE(CONTROL!$C$15, $D$11, 100%, $F$11)</f>
        <v>15.457800000000001</v>
      </c>
      <c r="D537" s="8">
        <f>CHOOSE( CONTROL!$C$32, 15.4638, 15.4602) * CHOOSE( CONTROL!$C$15, $D$11, 100%, $F$11)</f>
        <v>15.463800000000001</v>
      </c>
      <c r="E537" s="12">
        <f>CHOOSE( CONTROL!$C$32, 15.4604, 15.4568) * CHOOSE( CONTROL!$C$15, $D$11, 100%, $F$11)</f>
        <v>15.4604</v>
      </c>
      <c r="F537" s="4">
        <f>CHOOSE( CONTROL!$C$32, 16.138, 16.1345) * CHOOSE(CONTROL!$C$15, $D$11, 100%, $F$11)</f>
        <v>16.138000000000002</v>
      </c>
      <c r="G537" s="8">
        <f>CHOOSE( CONTROL!$C$32, 15.1614, 15.1578) * CHOOSE( CONTROL!$C$15, $D$11, 100%, $F$11)</f>
        <v>15.1614</v>
      </c>
      <c r="H537" s="4">
        <f>CHOOSE( CONTROL!$C$32, 16.0992, 16.0957) * CHOOSE(CONTROL!$C$15, $D$11, 100%, $F$11)</f>
        <v>16.0992</v>
      </c>
      <c r="I537" s="8">
        <f>CHOOSE( CONTROL!$C$32, 15.0016, 14.9981) * CHOOSE(CONTROL!$C$15, $D$11, 100%, $F$11)</f>
        <v>15.0016</v>
      </c>
      <c r="J537" s="4">
        <f>CHOOSE( CONTROL!$C$32, 14.9041, 14.9006) * CHOOSE(CONTROL!$C$15, $D$11, 100%, $F$11)</f>
        <v>14.9041</v>
      </c>
      <c r="K537" s="4"/>
      <c r="L537" s="9">
        <v>30.7165</v>
      </c>
      <c r="M537" s="9">
        <v>12.063700000000001</v>
      </c>
      <c r="N537" s="9">
        <v>4.9444999999999997</v>
      </c>
      <c r="O537" s="9">
        <v>0.37409999999999999</v>
      </c>
      <c r="P537" s="9">
        <v>1.2183999999999999</v>
      </c>
      <c r="Q537" s="9">
        <v>19.688099999999999</v>
      </c>
      <c r="R537" s="9"/>
      <c r="S537" s="11"/>
    </row>
    <row r="538" spans="1:19" ht="15.75">
      <c r="A538" s="13">
        <v>57891</v>
      </c>
      <c r="B538" s="8">
        <f>CHOOSE( CONTROL!$C$32, 15.202, 15.1984) * CHOOSE(CONTROL!$C$15, $D$11, 100%, $F$11)</f>
        <v>15.202</v>
      </c>
      <c r="C538" s="8">
        <f>CHOOSE( CONTROL!$C$32, 15.21, 15.2064) * CHOOSE(CONTROL!$C$15, $D$11, 100%, $F$11)</f>
        <v>15.21</v>
      </c>
      <c r="D538" s="8">
        <f>CHOOSE( CONTROL!$C$32, 15.2163, 15.2127) * CHOOSE( CONTROL!$C$15, $D$11, 100%, $F$11)</f>
        <v>15.2163</v>
      </c>
      <c r="E538" s="12">
        <f>CHOOSE( CONTROL!$C$32, 15.2128, 15.2092) * CHOOSE( CONTROL!$C$15, $D$11, 100%, $F$11)</f>
        <v>15.2128</v>
      </c>
      <c r="F538" s="4">
        <f>CHOOSE( CONTROL!$C$32, 15.8902, 15.8867) * CHOOSE(CONTROL!$C$15, $D$11, 100%, $F$11)</f>
        <v>15.8902</v>
      </c>
      <c r="G538" s="8">
        <f>CHOOSE( CONTROL!$C$32, 14.9181, 14.9146) * CHOOSE( CONTROL!$C$15, $D$11, 100%, $F$11)</f>
        <v>14.918100000000001</v>
      </c>
      <c r="H538" s="4">
        <f>CHOOSE( CONTROL!$C$32, 15.8555, 15.852) * CHOOSE(CONTROL!$C$15, $D$11, 100%, $F$11)</f>
        <v>15.855499999999999</v>
      </c>
      <c r="I538" s="8">
        <f>CHOOSE( CONTROL!$C$32, 14.7632, 14.7598) * CHOOSE(CONTROL!$C$15, $D$11, 100%, $F$11)</f>
        <v>14.763199999999999</v>
      </c>
      <c r="J538" s="4">
        <f>CHOOSE( CONTROL!$C$32, 14.6645, 14.6611) * CHOOSE(CONTROL!$C$15, $D$11, 100%, $F$11)</f>
        <v>14.6645</v>
      </c>
      <c r="K538" s="4"/>
      <c r="L538" s="9">
        <v>29.7257</v>
      </c>
      <c r="M538" s="9">
        <v>11.6745</v>
      </c>
      <c r="N538" s="9">
        <v>4.7850000000000001</v>
      </c>
      <c r="O538" s="9">
        <v>0.36199999999999999</v>
      </c>
      <c r="P538" s="9">
        <v>1.1791</v>
      </c>
      <c r="Q538" s="9">
        <v>19.053000000000001</v>
      </c>
      <c r="R538" s="9"/>
      <c r="S538" s="11"/>
    </row>
    <row r="539" spans="1:19" ht="15.75">
      <c r="A539" s="13">
        <v>57922</v>
      </c>
      <c r="B539" s="8">
        <f>CHOOSE( CONTROL!$C$32, 15.8546, 15.851) * CHOOSE(CONTROL!$C$15, $D$11, 100%, $F$11)</f>
        <v>15.8546</v>
      </c>
      <c r="C539" s="8">
        <f>CHOOSE( CONTROL!$C$32, 15.8626, 15.859) * CHOOSE(CONTROL!$C$15, $D$11, 100%, $F$11)</f>
        <v>15.8626</v>
      </c>
      <c r="D539" s="8">
        <f>CHOOSE( CONTROL!$C$32, 15.8692, 15.8656) * CHOOSE( CONTROL!$C$15, $D$11, 100%, $F$11)</f>
        <v>15.869199999999999</v>
      </c>
      <c r="E539" s="12">
        <f>CHOOSE( CONTROL!$C$32, 15.8656, 15.862) * CHOOSE( CONTROL!$C$15, $D$11, 100%, $F$11)</f>
        <v>15.865600000000001</v>
      </c>
      <c r="F539" s="4">
        <f>CHOOSE( CONTROL!$C$32, 16.5428, 16.5393) * CHOOSE(CONTROL!$C$15, $D$11, 100%, $F$11)</f>
        <v>16.5428</v>
      </c>
      <c r="G539" s="8">
        <f>CHOOSE( CONTROL!$C$32, 15.5603, 15.5568) * CHOOSE( CONTROL!$C$15, $D$11, 100%, $F$11)</f>
        <v>15.5603</v>
      </c>
      <c r="H539" s="4">
        <f>CHOOSE( CONTROL!$C$32, 16.4973, 16.4938) * CHOOSE(CONTROL!$C$15, $D$11, 100%, $F$11)</f>
        <v>16.497299999999999</v>
      </c>
      <c r="I539" s="8">
        <f>CHOOSE( CONTROL!$C$32, 15.3959, 15.3924) * CHOOSE(CONTROL!$C$15, $D$11, 100%, $F$11)</f>
        <v>15.395899999999999</v>
      </c>
      <c r="J539" s="4">
        <f>CHOOSE( CONTROL!$C$32, 15.2954, 15.2919) * CHOOSE(CONTROL!$C$15, $D$11, 100%, $F$11)</f>
        <v>15.295400000000001</v>
      </c>
      <c r="K539" s="4"/>
      <c r="L539" s="9">
        <v>30.7165</v>
      </c>
      <c r="M539" s="9">
        <v>12.063700000000001</v>
      </c>
      <c r="N539" s="9">
        <v>4.9444999999999997</v>
      </c>
      <c r="O539" s="9">
        <v>0.37409999999999999</v>
      </c>
      <c r="P539" s="9">
        <v>1.2183999999999999</v>
      </c>
      <c r="Q539" s="9">
        <v>19.688099999999999</v>
      </c>
      <c r="R539" s="9"/>
      <c r="S539" s="11"/>
    </row>
    <row r="540" spans="1:19" ht="15.75">
      <c r="A540" s="13">
        <v>57953</v>
      </c>
      <c r="B540" s="8">
        <f>CHOOSE( CONTROL!$C$32, 14.6335, 14.6299) * CHOOSE(CONTROL!$C$15, $D$11, 100%, $F$11)</f>
        <v>14.6335</v>
      </c>
      <c r="C540" s="8">
        <f>CHOOSE( CONTROL!$C$32, 14.6415, 14.6379) * CHOOSE(CONTROL!$C$15, $D$11, 100%, $F$11)</f>
        <v>14.641500000000001</v>
      </c>
      <c r="D540" s="8">
        <f>CHOOSE( CONTROL!$C$32, 14.6482, 14.6446) * CHOOSE( CONTROL!$C$15, $D$11, 100%, $F$11)</f>
        <v>14.648199999999999</v>
      </c>
      <c r="E540" s="12">
        <f>CHOOSE( CONTROL!$C$32, 14.6446, 14.641) * CHOOSE( CONTROL!$C$15, $D$11, 100%, $F$11)</f>
        <v>14.644600000000001</v>
      </c>
      <c r="F540" s="4">
        <f>CHOOSE( CONTROL!$C$32, 15.3217, 15.3182) * CHOOSE(CONTROL!$C$15, $D$11, 100%, $F$11)</f>
        <v>15.3217</v>
      </c>
      <c r="G540" s="8">
        <f>CHOOSE( CONTROL!$C$32, 14.3596, 14.3561) * CHOOSE( CONTROL!$C$15, $D$11, 100%, $F$11)</f>
        <v>14.3596</v>
      </c>
      <c r="H540" s="4">
        <f>CHOOSE( CONTROL!$C$32, 15.2964, 15.2929) * CHOOSE(CONTROL!$C$15, $D$11, 100%, $F$11)</f>
        <v>15.2964</v>
      </c>
      <c r="I540" s="8">
        <f>CHOOSE( CONTROL!$C$32, 14.2153, 14.2119) * CHOOSE(CONTROL!$C$15, $D$11, 100%, $F$11)</f>
        <v>14.215299999999999</v>
      </c>
      <c r="J540" s="4">
        <f>CHOOSE( CONTROL!$C$32, 14.1149, 14.1115) * CHOOSE(CONTROL!$C$15, $D$11, 100%, $F$11)</f>
        <v>14.1149</v>
      </c>
      <c r="K540" s="4"/>
      <c r="L540" s="9">
        <v>30.7165</v>
      </c>
      <c r="M540" s="9">
        <v>12.063700000000001</v>
      </c>
      <c r="N540" s="9">
        <v>4.9444999999999997</v>
      </c>
      <c r="O540" s="9">
        <v>0.37409999999999999</v>
      </c>
      <c r="P540" s="9">
        <v>1.2183999999999999</v>
      </c>
      <c r="Q540" s="9">
        <v>19.688099999999999</v>
      </c>
      <c r="R540" s="9"/>
      <c r="S540" s="11"/>
    </row>
    <row r="541" spans="1:19" ht="15.75">
      <c r="A541" s="13">
        <v>57983</v>
      </c>
      <c r="B541" s="8">
        <f>CHOOSE( CONTROL!$C$32, 14.3277, 14.3241) * CHOOSE(CONTROL!$C$15, $D$11, 100%, $F$11)</f>
        <v>14.3277</v>
      </c>
      <c r="C541" s="8">
        <f>CHOOSE( CONTROL!$C$32, 14.3357, 14.3321) * CHOOSE(CONTROL!$C$15, $D$11, 100%, $F$11)</f>
        <v>14.335699999999999</v>
      </c>
      <c r="D541" s="8">
        <f>CHOOSE( CONTROL!$C$32, 14.3424, 14.3388) * CHOOSE( CONTROL!$C$15, $D$11, 100%, $F$11)</f>
        <v>14.3424</v>
      </c>
      <c r="E541" s="12">
        <f>CHOOSE( CONTROL!$C$32, 14.3388, 14.3352) * CHOOSE( CONTROL!$C$15, $D$11, 100%, $F$11)</f>
        <v>14.338800000000001</v>
      </c>
      <c r="F541" s="4">
        <f>CHOOSE( CONTROL!$C$32, 15.016, 15.0124) * CHOOSE(CONTROL!$C$15, $D$11, 100%, $F$11)</f>
        <v>15.016</v>
      </c>
      <c r="G541" s="8">
        <f>CHOOSE( CONTROL!$C$32, 14.0589, 14.0554) * CHOOSE( CONTROL!$C$15, $D$11, 100%, $F$11)</f>
        <v>14.0589</v>
      </c>
      <c r="H541" s="4">
        <f>CHOOSE( CONTROL!$C$32, 14.9957, 14.9922) * CHOOSE(CONTROL!$C$15, $D$11, 100%, $F$11)</f>
        <v>14.995699999999999</v>
      </c>
      <c r="I541" s="8">
        <f>CHOOSE( CONTROL!$C$32, 13.9196, 13.9161) * CHOOSE(CONTROL!$C$15, $D$11, 100%, $F$11)</f>
        <v>13.919600000000001</v>
      </c>
      <c r="J541" s="4">
        <f>CHOOSE( CONTROL!$C$32, 13.8194, 13.8159) * CHOOSE(CONTROL!$C$15, $D$11, 100%, $F$11)</f>
        <v>13.8194</v>
      </c>
      <c r="K541" s="4"/>
      <c r="L541" s="9">
        <v>29.7257</v>
      </c>
      <c r="M541" s="9">
        <v>11.6745</v>
      </c>
      <c r="N541" s="9">
        <v>4.7850000000000001</v>
      </c>
      <c r="O541" s="9">
        <v>0.36199999999999999</v>
      </c>
      <c r="P541" s="9">
        <v>1.1791</v>
      </c>
      <c r="Q541" s="9">
        <v>19.053000000000001</v>
      </c>
      <c r="R541" s="9"/>
      <c r="S541" s="11"/>
    </row>
    <row r="542" spans="1:19" ht="15.75">
      <c r="A542" s="13">
        <v>58014</v>
      </c>
      <c r="B542" s="8">
        <f>14.9573 * CHOOSE(CONTROL!$C$15, $D$11, 100%, $F$11)</f>
        <v>14.9573</v>
      </c>
      <c r="C542" s="8">
        <f>14.9627 * CHOOSE(CONTROL!$C$15, $D$11, 100%, $F$11)</f>
        <v>14.9627</v>
      </c>
      <c r="D542" s="8">
        <f>14.9742 * CHOOSE( CONTROL!$C$15, $D$11, 100%, $F$11)</f>
        <v>14.9742</v>
      </c>
      <c r="E542" s="12">
        <f>14.9698 * CHOOSE( CONTROL!$C$15, $D$11, 100%, $F$11)</f>
        <v>14.969799999999999</v>
      </c>
      <c r="F542" s="4">
        <f>15.6473 * CHOOSE(CONTROL!$C$15, $D$11, 100%, $F$11)</f>
        <v>15.6473</v>
      </c>
      <c r="G542" s="8">
        <f>14.6793 * CHOOSE( CONTROL!$C$15, $D$11, 100%, $F$11)</f>
        <v>14.6793</v>
      </c>
      <c r="H542" s="4">
        <f>15.6166 * CHOOSE(CONTROL!$C$15, $D$11, 100%, $F$11)</f>
        <v>15.6166</v>
      </c>
      <c r="I542" s="8">
        <f>14.5309 * CHOOSE(CONTROL!$C$15, $D$11, 100%, $F$11)</f>
        <v>14.530900000000001</v>
      </c>
      <c r="J542" s="4">
        <f>14.4297 * CHOOSE(CONTROL!$C$15, $D$11, 100%, $F$11)</f>
        <v>14.4297</v>
      </c>
      <c r="K542" s="4"/>
      <c r="L542" s="9">
        <v>31.095300000000002</v>
      </c>
      <c r="M542" s="9">
        <v>12.063700000000001</v>
      </c>
      <c r="N542" s="9">
        <v>4.9444999999999997</v>
      </c>
      <c r="O542" s="9">
        <v>0.37409999999999999</v>
      </c>
      <c r="P542" s="9">
        <v>1.2183999999999999</v>
      </c>
      <c r="Q542" s="9">
        <v>19.688099999999999</v>
      </c>
      <c r="R542" s="9"/>
      <c r="S542" s="11"/>
    </row>
    <row r="543" spans="1:19" ht="15.75">
      <c r="A543" s="13">
        <v>58044</v>
      </c>
      <c r="B543" s="8">
        <f>16.1288 * CHOOSE(CONTROL!$C$15, $D$11, 100%, $F$11)</f>
        <v>16.128799999999998</v>
      </c>
      <c r="C543" s="8">
        <f>16.1339 * CHOOSE(CONTROL!$C$15, $D$11, 100%, $F$11)</f>
        <v>16.133900000000001</v>
      </c>
      <c r="D543" s="8">
        <f>16.1108 * CHOOSE( CONTROL!$C$15, $D$11, 100%, $F$11)</f>
        <v>16.110800000000001</v>
      </c>
      <c r="E543" s="12">
        <f>16.1187 * CHOOSE( CONTROL!$C$15, $D$11, 100%, $F$11)</f>
        <v>16.1187</v>
      </c>
      <c r="F543" s="4">
        <f>16.7737 * CHOOSE(CONTROL!$C$15, $D$11, 100%, $F$11)</f>
        <v>16.773700000000002</v>
      </c>
      <c r="G543" s="8">
        <f>15.8425 * CHOOSE( CONTROL!$C$15, $D$11, 100%, $F$11)</f>
        <v>15.842499999999999</v>
      </c>
      <c r="H543" s="4">
        <f>16.7243 * CHOOSE(CONTROL!$C$15, $D$11, 100%, $F$11)</f>
        <v>16.724299999999999</v>
      </c>
      <c r="I543" s="8">
        <f>15.689 * CHOOSE(CONTROL!$C$15, $D$11, 100%, $F$11)</f>
        <v>15.689</v>
      </c>
      <c r="J543" s="4">
        <f>15.5625 * CHOOSE(CONTROL!$C$15, $D$11, 100%, $F$11)</f>
        <v>15.5625</v>
      </c>
      <c r="K543" s="4"/>
      <c r="L543" s="9">
        <v>28.360600000000002</v>
      </c>
      <c r="M543" s="9">
        <v>11.6745</v>
      </c>
      <c r="N543" s="9">
        <v>4.7850000000000001</v>
      </c>
      <c r="O543" s="9">
        <v>0.36199999999999999</v>
      </c>
      <c r="P543" s="9">
        <v>1.2509999999999999</v>
      </c>
      <c r="Q543" s="9">
        <v>19.053000000000001</v>
      </c>
      <c r="R543" s="9"/>
      <c r="S543" s="11"/>
    </row>
    <row r="544" spans="1:19" ht="15.75">
      <c r="A544" s="13">
        <v>58075</v>
      </c>
      <c r="B544" s="8">
        <f>16.0995 * CHOOSE(CONTROL!$C$15, $D$11, 100%, $F$11)</f>
        <v>16.099499999999999</v>
      </c>
      <c r="C544" s="8">
        <f>16.1046 * CHOOSE(CONTROL!$C$15, $D$11, 100%, $F$11)</f>
        <v>16.104600000000001</v>
      </c>
      <c r="D544" s="8">
        <f>16.0829 * CHOOSE( CONTROL!$C$15, $D$11, 100%, $F$11)</f>
        <v>16.082899999999999</v>
      </c>
      <c r="E544" s="12">
        <f>16.0903 * CHOOSE( CONTROL!$C$15, $D$11, 100%, $F$11)</f>
        <v>16.090299999999999</v>
      </c>
      <c r="F544" s="4">
        <f>16.7444 * CHOOSE(CONTROL!$C$15, $D$11, 100%, $F$11)</f>
        <v>16.744399999999999</v>
      </c>
      <c r="G544" s="8">
        <f>15.8147 * CHOOSE( CONTROL!$C$15, $D$11, 100%, $F$11)</f>
        <v>15.8147</v>
      </c>
      <c r="H544" s="4">
        <f>16.6955 * CHOOSE(CONTROL!$C$15, $D$11, 100%, $F$11)</f>
        <v>16.695499999999999</v>
      </c>
      <c r="I544" s="8">
        <f>15.665 * CHOOSE(CONTROL!$C$15, $D$11, 100%, $F$11)</f>
        <v>15.664999999999999</v>
      </c>
      <c r="J544" s="4">
        <f>15.5342 * CHOOSE(CONTROL!$C$15, $D$11, 100%, $F$11)</f>
        <v>15.5342</v>
      </c>
      <c r="K544" s="4"/>
      <c r="L544" s="9">
        <v>29.306000000000001</v>
      </c>
      <c r="M544" s="9">
        <v>12.063700000000001</v>
      </c>
      <c r="N544" s="9">
        <v>4.9444999999999997</v>
      </c>
      <c r="O544" s="9">
        <v>0.37409999999999999</v>
      </c>
      <c r="P544" s="9">
        <v>1.2927</v>
      </c>
      <c r="Q544" s="9">
        <v>19.688099999999999</v>
      </c>
      <c r="R544" s="9"/>
      <c r="S544" s="11"/>
    </row>
    <row r="545" spans="1:19" ht="15.75">
      <c r="A545" s="13">
        <v>58106</v>
      </c>
      <c r="B545" s="8">
        <f>16.7137 * CHOOSE(CONTROL!$C$15, $D$11, 100%, $F$11)</f>
        <v>16.713699999999999</v>
      </c>
      <c r="C545" s="8">
        <f>16.7188 * CHOOSE(CONTROL!$C$15, $D$11, 100%, $F$11)</f>
        <v>16.718800000000002</v>
      </c>
      <c r="D545" s="8">
        <f>16.6929 * CHOOSE( CONTROL!$C$15, $D$11, 100%, $F$11)</f>
        <v>16.692900000000002</v>
      </c>
      <c r="E545" s="12">
        <f>16.7018 * CHOOSE( CONTROL!$C$15, $D$11, 100%, $F$11)</f>
        <v>16.701799999999999</v>
      </c>
      <c r="F545" s="4">
        <f>17.3577 * CHOOSE(CONTROL!$C$15, $D$11, 100%, $F$11)</f>
        <v>17.357700000000001</v>
      </c>
      <c r="G545" s="8">
        <f>16.4124 * CHOOSE( CONTROL!$C$15, $D$11, 100%, $F$11)</f>
        <v>16.412400000000002</v>
      </c>
      <c r="H545" s="4">
        <f>17.2986 * CHOOSE(CONTROL!$C$15, $D$11, 100%, $F$11)</f>
        <v>17.2986</v>
      </c>
      <c r="I545" s="8">
        <f>16.2296 * CHOOSE(CONTROL!$C$15, $D$11, 100%, $F$11)</f>
        <v>16.229600000000001</v>
      </c>
      <c r="J545" s="4">
        <f>16.1279 * CHOOSE(CONTROL!$C$15, $D$11, 100%, $F$11)</f>
        <v>16.1279</v>
      </c>
      <c r="K545" s="4"/>
      <c r="L545" s="9">
        <v>29.306000000000001</v>
      </c>
      <c r="M545" s="9">
        <v>12.063700000000001</v>
      </c>
      <c r="N545" s="9">
        <v>4.9444999999999997</v>
      </c>
      <c r="O545" s="9">
        <v>0.37409999999999999</v>
      </c>
      <c r="P545" s="9">
        <v>1.2927</v>
      </c>
      <c r="Q545" s="9">
        <v>19.688099999999999</v>
      </c>
      <c r="R545" s="9"/>
      <c r="S545" s="11"/>
    </row>
    <row r="546" spans="1:19" ht="15.75">
      <c r="A546" s="13">
        <v>58134</v>
      </c>
      <c r="B546" s="8">
        <f>15.6351 * CHOOSE(CONTROL!$C$15, $D$11, 100%, $F$11)</f>
        <v>15.6351</v>
      </c>
      <c r="C546" s="8">
        <f>15.6402 * CHOOSE(CONTROL!$C$15, $D$11, 100%, $F$11)</f>
        <v>15.6402</v>
      </c>
      <c r="D546" s="8">
        <f>15.6146 * CHOOSE( CONTROL!$C$15, $D$11, 100%, $F$11)</f>
        <v>15.614599999999999</v>
      </c>
      <c r="E546" s="12">
        <f>15.6234 * CHOOSE( CONTROL!$C$15, $D$11, 100%, $F$11)</f>
        <v>15.6234</v>
      </c>
      <c r="F546" s="4">
        <f>16.2791 * CHOOSE(CONTROL!$C$15, $D$11, 100%, $F$11)</f>
        <v>16.2791</v>
      </c>
      <c r="G546" s="8">
        <f>15.3519 * CHOOSE( CONTROL!$C$15, $D$11, 100%, $F$11)</f>
        <v>15.351900000000001</v>
      </c>
      <c r="H546" s="4">
        <f>16.2379 * CHOOSE(CONTROL!$C$15, $D$11, 100%, $F$11)</f>
        <v>16.2379</v>
      </c>
      <c r="I546" s="8">
        <f>15.1872 * CHOOSE(CONTROL!$C$15, $D$11, 100%, $F$11)</f>
        <v>15.187200000000001</v>
      </c>
      <c r="J546" s="4">
        <f>15.0853 * CHOOSE(CONTROL!$C$15, $D$11, 100%, $F$11)</f>
        <v>15.0853</v>
      </c>
      <c r="K546" s="4"/>
      <c r="L546" s="9">
        <v>26.469899999999999</v>
      </c>
      <c r="M546" s="9">
        <v>10.8962</v>
      </c>
      <c r="N546" s="9">
        <v>4.4660000000000002</v>
      </c>
      <c r="O546" s="9">
        <v>0.33789999999999998</v>
      </c>
      <c r="P546" s="9">
        <v>1.1676</v>
      </c>
      <c r="Q546" s="9">
        <v>17.782800000000002</v>
      </c>
      <c r="R546" s="9"/>
      <c r="S546" s="11"/>
    </row>
    <row r="547" spans="1:19" ht="15.75">
      <c r="A547" s="13">
        <v>58165</v>
      </c>
      <c r="B547" s="8">
        <f>15.3029 * CHOOSE(CONTROL!$C$15, $D$11, 100%, $F$11)</f>
        <v>15.302899999999999</v>
      </c>
      <c r="C547" s="8">
        <f>15.308 * CHOOSE(CONTROL!$C$15, $D$11, 100%, $F$11)</f>
        <v>15.308</v>
      </c>
      <c r="D547" s="8">
        <f>15.2823 * CHOOSE( CONTROL!$C$15, $D$11, 100%, $F$11)</f>
        <v>15.282299999999999</v>
      </c>
      <c r="E547" s="12">
        <f>15.2912 * CHOOSE( CONTROL!$C$15, $D$11, 100%, $F$11)</f>
        <v>15.2912</v>
      </c>
      <c r="F547" s="4">
        <f>15.9469 * CHOOSE(CONTROL!$C$15, $D$11, 100%, $F$11)</f>
        <v>15.946899999999999</v>
      </c>
      <c r="G547" s="8">
        <f>15.0252 * CHOOSE( CONTROL!$C$15, $D$11, 100%, $F$11)</f>
        <v>15.0252</v>
      </c>
      <c r="H547" s="4">
        <f>15.9113 * CHOOSE(CONTROL!$C$15, $D$11, 100%, $F$11)</f>
        <v>15.911300000000001</v>
      </c>
      <c r="I547" s="8">
        <f>14.8657 * CHOOSE(CONTROL!$C$15, $D$11, 100%, $F$11)</f>
        <v>14.8657</v>
      </c>
      <c r="J547" s="4">
        <f>14.7641 * CHOOSE(CONTROL!$C$15, $D$11, 100%, $F$11)</f>
        <v>14.764099999999999</v>
      </c>
      <c r="K547" s="4"/>
      <c r="L547" s="9">
        <v>29.306000000000001</v>
      </c>
      <c r="M547" s="9">
        <v>12.063700000000001</v>
      </c>
      <c r="N547" s="9">
        <v>4.9444999999999997</v>
      </c>
      <c r="O547" s="9">
        <v>0.37409999999999999</v>
      </c>
      <c r="P547" s="9">
        <v>1.2927</v>
      </c>
      <c r="Q547" s="9">
        <v>19.688099999999999</v>
      </c>
      <c r="R547" s="9"/>
      <c r="S547" s="11"/>
    </row>
    <row r="548" spans="1:19" ht="15.75">
      <c r="A548" s="13">
        <v>58195</v>
      </c>
      <c r="B548" s="8">
        <f>15.5358 * CHOOSE(CONTROL!$C$15, $D$11, 100%, $F$11)</f>
        <v>15.5358</v>
      </c>
      <c r="C548" s="8">
        <f>15.5403 * CHOOSE(CONTROL!$C$15, $D$11, 100%, $F$11)</f>
        <v>15.5403</v>
      </c>
      <c r="D548" s="8">
        <f>15.5514 * CHOOSE( CONTROL!$C$15, $D$11, 100%, $F$11)</f>
        <v>15.551399999999999</v>
      </c>
      <c r="E548" s="12">
        <f>15.5472 * CHOOSE( CONTROL!$C$15, $D$11, 100%, $F$11)</f>
        <v>15.5472</v>
      </c>
      <c r="F548" s="4">
        <f>16.2254 * CHOOSE(CONTROL!$C$15, $D$11, 100%, $F$11)</f>
        <v>16.2254</v>
      </c>
      <c r="G548" s="8">
        <f>15.2463 * CHOOSE( CONTROL!$C$15, $D$11, 100%, $F$11)</f>
        <v>15.2463</v>
      </c>
      <c r="H548" s="4">
        <f>16.1852 * CHOOSE(CONTROL!$C$15, $D$11, 100%, $F$11)</f>
        <v>16.185199999999998</v>
      </c>
      <c r="I548" s="8">
        <f>15.0852 * CHOOSE(CONTROL!$C$15, $D$11, 100%, $F$11)</f>
        <v>15.0852</v>
      </c>
      <c r="J548" s="4">
        <f>14.9885 * CHOOSE(CONTROL!$C$15, $D$11, 100%, $F$11)</f>
        <v>14.9885</v>
      </c>
      <c r="K548" s="4"/>
      <c r="L548" s="9">
        <v>30.092199999999998</v>
      </c>
      <c r="M548" s="9">
        <v>11.6745</v>
      </c>
      <c r="N548" s="9">
        <v>4.7850000000000001</v>
      </c>
      <c r="O548" s="9">
        <v>0.36199999999999999</v>
      </c>
      <c r="P548" s="9">
        <v>1.1791</v>
      </c>
      <c r="Q548" s="9">
        <v>19.053000000000001</v>
      </c>
      <c r="R548" s="9"/>
      <c r="S548" s="11"/>
    </row>
    <row r="549" spans="1:19" ht="15.75">
      <c r="A549" s="13">
        <v>58226</v>
      </c>
      <c r="B549" s="8">
        <f>CHOOSE( CONTROL!$C$32, 15.9539, 15.9503) * CHOOSE(CONTROL!$C$15, $D$11, 100%, $F$11)</f>
        <v>15.953900000000001</v>
      </c>
      <c r="C549" s="8">
        <f>CHOOSE( CONTROL!$C$32, 15.9619, 15.9583) * CHOOSE(CONTROL!$C$15, $D$11, 100%, $F$11)</f>
        <v>15.9619</v>
      </c>
      <c r="D549" s="8">
        <f>CHOOSE( CONTROL!$C$32, 15.9679, 15.9643) * CHOOSE( CONTROL!$C$15, $D$11, 100%, $F$11)</f>
        <v>15.9679</v>
      </c>
      <c r="E549" s="12">
        <f>CHOOSE( CONTROL!$C$32, 15.9645, 15.9609) * CHOOSE( CONTROL!$C$15, $D$11, 100%, $F$11)</f>
        <v>15.964499999999999</v>
      </c>
      <c r="F549" s="4">
        <f>CHOOSE( CONTROL!$C$32, 16.6421, 16.6386) * CHOOSE(CONTROL!$C$15, $D$11, 100%, $F$11)</f>
        <v>16.642099999999999</v>
      </c>
      <c r="G549" s="8">
        <f>CHOOSE( CONTROL!$C$32, 15.6571, 15.6536) * CHOOSE( CONTROL!$C$15, $D$11, 100%, $F$11)</f>
        <v>15.6571</v>
      </c>
      <c r="H549" s="4">
        <f>CHOOSE( CONTROL!$C$32, 16.5949, 16.5914) * CHOOSE(CONTROL!$C$15, $D$11, 100%, $F$11)</f>
        <v>16.594899999999999</v>
      </c>
      <c r="I549" s="8">
        <f>CHOOSE( CONTROL!$C$32, 15.4891, 15.4857) * CHOOSE(CONTROL!$C$15, $D$11, 100%, $F$11)</f>
        <v>15.489100000000001</v>
      </c>
      <c r="J549" s="4">
        <f>CHOOSE( CONTROL!$C$32, 15.3914, 15.3879) * CHOOSE(CONTROL!$C$15, $D$11, 100%, $F$11)</f>
        <v>15.391400000000001</v>
      </c>
      <c r="K549" s="4"/>
      <c r="L549" s="9">
        <v>30.7165</v>
      </c>
      <c r="M549" s="9">
        <v>12.063700000000001</v>
      </c>
      <c r="N549" s="9">
        <v>4.9444999999999997</v>
      </c>
      <c r="O549" s="9">
        <v>0.37409999999999999</v>
      </c>
      <c r="P549" s="9">
        <v>1.2183999999999999</v>
      </c>
      <c r="Q549" s="9">
        <v>19.688099999999999</v>
      </c>
      <c r="R549" s="9"/>
      <c r="S549" s="11"/>
    </row>
    <row r="550" spans="1:19" ht="15.75">
      <c r="A550" s="13">
        <v>58256</v>
      </c>
      <c r="B550" s="8">
        <f>CHOOSE( CONTROL!$C$32, 15.6979, 15.6944) * CHOOSE(CONTROL!$C$15, $D$11, 100%, $F$11)</f>
        <v>15.697900000000001</v>
      </c>
      <c r="C550" s="8">
        <f>CHOOSE( CONTROL!$C$32, 15.706, 15.7024) * CHOOSE(CONTROL!$C$15, $D$11, 100%, $F$11)</f>
        <v>15.706</v>
      </c>
      <c r="D550" s="8">
        <f>CHOOSE( CONTROL!$C$32, 15.7122, 15.7087) * CHOOSE( CONTROL!$C$15, $D$11, 100%, $F$11)</f>
        <v>15.712199999999999</v>
      </c>
      <c r="E550" s="12">
        <f>CHOOSE( CONTROL!$C$32, 15.7087, 15.7052) * CHOOSE( CONTROL!$C$15, $D$11, 100%, $F$11)</f>
        <v>15.7087</v>
      </c>
      <c r="F550" s="4">
        <f>CHOOSE( CONTROL!$C$32, 16.3862, 16.3827) * CHOOSE(CONTROL!$C$15, $D$11, 100%, $F$11)</f>
        <v>16.386199999999999</v>
      </c>
      <c r="G550" s="8">
        <f>CHOOSE( CONTROL!$C$32, 15.4058, 15.4023) * CHOOSE( CONTROL!$C$15, $D$11, 100%, $F$11)</f>
        <v>15.405799999999999</v>
      </c>
      <c r="H550" s="4">
        <f>CHOOSE( CONTROL!$C$32, 16.3433, 16.3398) * CHOOSE(CONTROL!$C$15, $D$11, 100%, $F$11)</f>
        <v>16.343299999999999</v>
      </c>
      <c r="I550" s="8">
        <f>CHOOSE( CONTROL!$C$32, 15.2429, 15.2395) * CHOOSE(CONTROL!$C$15, $D$11, 100%, $F$11)</f>
        <v>15.242900000000001</v>
      </c>
      <c r="J550" s="4">
        <f>CHOOSE( CONTROL!$C$32, 15.144, 15.1405) * CHOOSE(CONTROL!$C$15, $D$11, 100%, $F$11)</f>
        <v>15.144</v>
      </c>
      <c r="K550" s="4"/>
      <c r="L550" s="9">
        <v>29.7257</v>
      </c>
      <c r="M550" s="9">
        <v>11.6745</v>
      </c>
      <c r="N550" s="9">
        <v>4.7850000000000001</v>
      </c>
      <c r="O550" s="9">
        <v>0.36199999999999999</v>
      </c>
      <c r="P550" s="9">
        <v>1.1791</v>
      </c>
      <c r="Q550" s="9">
        <v>19.053000000000001</v>
      </c>
      <c r="R550" s="9"/>
      <c r="S550" s="11"/>
    </row>
    <row r="551" spans="1:19" ht="15.75">
      <c r="A551" s="13">
        <v>58287</v>
      </c>
      <c r="B551" s="8">
        <f>CHOOSE( CONTROL!$C$32, 16.3719, 16.3683) * CHOOSE(CONTROL!$C$15, $D$11, 100%, $F$11)</f>
        <v>16.3719</v>
      </c>
      <c r="C551" s="8">
        <f>CHOOSE( CONTROL!$C$32, 16.3799, 16.3763) * CHOOSE(CONTROL!$C$15, $D$11, 100%, $F$11)</f>
        <v>16.379899999999999</v>
      </c>
      <c r="D551" s="8">
        <f>CHOOSE( CONTROL!$C$32, 16.3865, 16.3829) * CHOOSE( CONTROL!$C$15, $D$11, 100%, $F$11)</f>
        <v>16.386500000000002</v>
      </c>
      <c r="E551" s="12">
        <f>CHOOSE( CONTROL!$C$32, 16.3829, 16.3793) * CHOOSE( CONTROL!$C$15, $D$11, 100%, $F$11)</f>
        <v>16.382899999999999</v>
      </c>
      <c r="F551" s="4">
        <f>CHOOSE( CONTROL!$C$32, 17.0602, 17.0566) * CHOOSE(CONTROL!$C$15, $D$11, 100%, $F$11)</f>
        <v>17.060199999999998</v>
      </c>
      <c r="G551" s="8">
        <f>CHOOSE( CONTROL!$C$32, 16.069, 16.0655) * CHOOSE( CONTROL!$C$15, $D$11, 100%, $F$11)</f>
        <v>16.068999999999999</v>
      </c>
      <c r="H551" s="4">
        <f>CHOOSE( CONTROL!$C$32, 17.006, 17.0025) * CHOOSE(CONTROL!$C$15, $D$11, 100%, $F$11)</f>
        <v>17.006</v>
      </c>
      <c r="I551" s="8">
        <f>CHOOSE( CONTROL!$C$32, 15.8962, 15.8928) * CHOOSE(CONTROL!$C$15, $D$11, 100%, $F$11)</f>
        <v>15.8962</v>
      </c>
      <c r="J551" s="4">
        <f>CHOOSE( CONTROL!$C$32, 15.7955, 15.792) * CHOOSE(CONTROL!$C$15, $D$11, 100%, $F$11)</f>
        <v>15.795500000000001</v>
      </c>
      <c r="K551" s="4"/>
      <c r="L551" s="9">
        <v>30.7165</v>
      </c>
      <c r="M551" s="9">
        <v>12.063700000000001</v>
      </c>
      <c r="N551" s="9">
        <v>4.9444999999999997</v>
      </c>
      <c r="O551" s="9">
        <v>0.37409999999999999</v>
      </c>
      <c r="P551" s="9">
        <v>1.2183999999999999</v>
      </c>
      <c r="Q551" s="9">
        <v>19.688099999999999</v>
      </c>
      <c r="R551" s="9"/>
      <c r="S551" s="11"/>
    </row>
    <row r="552" spans="1:19" ht="15.75">
      <c r="A552" s="13">
        <v>58318</v>
      </c>
      <c r="B552" s="8">
        <f>CHOOSE( CONTROL!$C$32, 15.1109, 15.1073) * CHOOSE(CONTROL!$C$15, $D$11, 100%, $F$11)</f>
        <v>15.110900000000001</v>
      </c>
      <c r="C552" s="8">
        <f>CHOOSE( CONTROL!$C$32, 15.1189, 15.1153) * CHOOSE(CONTROL!$C$15, $D$11, 100%, $F$11)</f>
        <v>15.1189</v>
      </c>
      <c r="D552" s="8">
        <f>CHOOSE( CONTROL!$C$32, 15.1256, 15.122) * CHOOSE( CONTROL!$C$15, $D$11, 100%, $F$11)</f>
        <v>15.1256</v>
      </c>
      <c r="E552" s="12">
        <f>CHOOSE( CONTROL!$C$32, 15.122, 15.1184) * CHOOSE( CONTROL!$C$15, $D$11, 100%, $F$11)</f>
        <v>15.122</v>
      </c>
      <c r="F552" s="4">
        <f>CHOOSE( CONTROL!$C$32, 15.7991, 15.7956) * CHOOSE(CONTROL!$C$15, $D$11, 100%, $F$11)</f>
        <v>15.799099999999999</v>
      </c>
      <c r="G552" s="8">
        <f>CHOOSE( CONTROL!$C$32, 14.8291, 14.8256) * CHOOSE( CONTROL!$C$15, $D$11, 100%, $F$11)</f>
        <v>14.8291</v>
      </c>
      <c r="H552" s="4">
        <f>CHOOSE( CONTROL!$C$32, 15.7659, 15.7624) * CHOOSE(CONTROL!$C$15, $D$11, 100%, $F$11)</f>
        <v>15.7659</v>
      </c>
      <c r="I552" s="8">
        <f>CHOOSE( CONTROL!$C$32, 14.677, 14.6736) * CHOOSE(CONTROL!$C$15, $D$11, 100%, $F$11)</f>
        <v>14.677</v>
      </c>
      <c r="J552" s="4">
        <f>CHOOSE( CONTROL!$C$32, 14.5764, 14.573) * CHOOSE(CONTROL!$C$15, $D$11, 100%, $F$11)</f>
        <v>14.5764</v>
      </c>
      <c r="K552" s="4"/>
      <c r="L552" s="9">
        <v>30.7165</v>
      </c>
      <c r="M552" s="9">
        <v>12.063700000000001</v>
      </c>
      <c r="N552" s="9">
        <v>4.9444999999999997</v>
      </c>
      <c r="O552" s="9">
        <v>0.37409999999999999</v>
      </c>
      <c r="P552" s="9">
        <v>1.2183999999999999</v>
      </c>
      <c r="Q552" s="9">
        <v>19.688099999999999</v>
      </c>
      <c r="R552" s="9"/>
      <c r="S552" s="11"/>
    </row>
    <row r="553" spans="1:19" ht="15.75">
      <c r="A553" s="13">
        <v>58348</v>
      </c>
      <c r="B553" s="8">
        <f>CHOOSE( CONTROL!$C$32, 14.7951, 14.7915) * CHOOSE(CONTROL!$C$15, $D$11, 100%, $F$11)</f>
        <v>14.7951</v>
      </c>
      <c r="C553" s="8">
        <f>CHOOSE( CONTROL!$C$32, 14.8031, 14.7995) * CHOOSE(CONTROL!$C$15, $D$11, 100%, $F$11)</f>
        <v>14.803100000000001</v>
      </c>
      <c r="D553" s="8">
        <f>CHOOSE( CONTROL!$C$32, 14.8098, 14.8062) * CHOOSE( CONTROL!$C$15, $D$11, 100%, $F$11)</f>
        <v>14.809799999999999</v>
      </c>
      <c r="E553" s="12">
        <f>CHOOSE( CONTROL!$C$32, 14.8062, 14.8026) * CHOOSE( CONTROL!$C$15, $D$11, 100%, $F$11)</f>
        <v>14.8062</v>
      </c>
      <c r="F553" s="4">
        <f>CHOOSE( CONTROL!$C$32, 15.4834, 15.4798) * CHOOSE(CONTROL!$C$15, $D$11, 100%, $F$11)</f>
        <v>15.4834</v>
      </c>
      <c r="G553" s="8">
        <f>CHOOSE( CONTROL!$C$32, 14.5185, 14.515) * CHOOSE( CONTROL!$C$15, $D$11, 100%, $F$11)</f>
        <v>14.5185</v>
      </c>
      <c r="H553" s="4">
        <f>CHOOSE( CONTROL!$C$32, 15.4554, 15.4519) * CHOOSE(CONTROL!$C$15, $D$11, 100%, $F$11)</f>
        <v>15.455399999999999</v>
      </c>
      <c r="I553" s="8">
        <f>CHOOSE( CONTROL!$C$32, 14.3716, 14.3682) * CHOOSE(CONTROL!$C$15, $D$11, 100%, $F$11)</f>
        <v>14.371600000000001</v>
      </c>
      <c r="J553" s="4">
        <f>CHOOSE( CONTROL!$C$32, 14.2712, 14.2677) * CHOOSE(CONTROL!$C$15, $D$11, 100%, $F$11)</f>
        <v>14.2712</v>
      </c>
      <c r="K553" s="4"/>
      <c r="L553" s="9">
        <v>29.7257</v>
      </c>
      <c r="M553" s="9">
        <v>11.6745</v>
      </c>
      <c r="N553" s="9">
        <v>4.7850000000000001</v>
      </c>
      <c r="O553" s="9">
        <v>0.36199999999999999</v>
      </c>
      <c r="P553" s="9">
        <v>1.1791</v>
      </c>
      <c r="Q553" s="9">
        <v>19.053000000000001</v>
      </c>
      <c r="R553" s="9"/>
      <c r="S553" s="11"/>
    </row>
    <row r="554" spans="1:19" ht="15.75">
      <c r="A554" s="13">
        <v>58379</v>
      </c>
      <c r="B554" s="8">
        <f>15.4455 * CHOOSE(CONTROL!$C$15, $D$11, 100%, $F$11)</f>
        <v>15.445499999999999</v>
      </c>
      <c r="C554" s="8">
        <f>15.4508 * CHOOSE(CONTROL!$C$15, $D$11, 100%, $F$11)</f>
        <v>15.450799999999999</v>
      </c>
      <c r="D554" s="8">
        <f>15.4624 * CHOOSE( CONTROL!$C$15, $D$11, 100%, $F$11)</f>
        <v>15.462400000000001</v>
      </c>
      <c r="E554" s="12">
        <f>15.458 * CHOOSE( CONTROL!$C$15, $D$11, 100%, $F$11)</f>
        <v>15.458</v>
      </c>
      <c r="F554" s="4">
        <f>16.1355 * CHOOSE(CONTROL!$C$15, $D$11, 100%, $F$11)</f>
        <v>16.1355</v>
      </c>
      <c r="G554" s="8">
        <f>15.1593 * CHOOSE( CONTROL!$C$15, $D$11, 100%, $F$11)</f>
        <v>15.1593</v>
      </c>
      <c r="H554" s="4">
        <f>16.0967 * CHOOSE(CONTROL!$C$15, $D$11, 100%, $F$11)</f>
        <v>16.096699999999998</v>
      </c>
      <c r="I554" s="8">
        <f>15.003 * CHOOSE(CONTROL!$C$15, $D$11, 100%, $F$11)</f>
        <v>15.003</v>
      </c>
      <c r="J554" s="4">
        <f>14.9016 * CHOOSE(CONTROL!$C$15, $D$11, 100%, $F$11)</f>
        <v>14.9016</v>
      </c>
      <c r="K554" s="4"/>
      <c r="L554" s="9">
        <v>31.095300000000002</v>
      </c>
      <c r="M554" s="9">
        <v>12.063700000000001</v>
      </c>
      <c r="N554" s="9">
        <v>4.9444999999999997</v>
      </c>
      <c r="O554" s="9">
        <v>0.37409999999999999</v>
      </c>
      <c r="P554" s="9">
        <v>1.2183999999999999</v>
      </c>
      <c r="Q554" s="9">
        <v>19.688099999999999</v>
      </c>
      <c r="R554" s="9"/>
      <c r="S554" s="11"/>
    </row>
    <row r="555" spans="1:19" ht="15.75">
      <c r="A555" s="13">
        <v>58409</v>
      </c>
      <c r="B555" s="8">
        <f>16.6553 * CHOOSE(CONTROL!$C$15, $D$11, 100%, $F$11)</f>
        <v>16.6553</v>
      </c>
      <c r="C555" s="8">
        <f>16.6604 * CHOOSE(CONTROL!$C$15, $D$11, 100%, $F$11)</f>
        <v>16.660399999999999</v>
      </c>
      <c r="D555" s="8">
        <f>16.6373 * CHOOSE( CONTROL!$C$15, $D$11, 100%, $F$11)</f>
        <v>16.6373</v>
      </c>
      <c r="E555" s="12">
        <f>16.6452 * CHOOSE( CONTROL!$C$15, $D$11, 100%, $F$11)</f>
        <v>16.645199999999999</v>
      </c>
      <c r="F555" s="4">
        <f>17.3001 * CHOOSE(CONTROL!$C$15, $D$11, 100%, $F$11)</f>
        <v>17.3001</v>
      </c>
      <c r="G555" s="8">
        <f>16.3602 * CHOOSE( CONTROL!$C$15, $D$11, 100%, $F$11)</f>
        <v>16.360199999999999</v>
      </c>
      <c r="H555" s="4">
        <f>17.242 * CHOOSE(CONTROL!$C$15, $D$11, 100%, $F$11)</f>
        <v>17.242000000000001</v>
      </c>
      <c r="I555" s="8">
        <f>16.1982 * CHOOSE(CONTROL!$C$15, $D$11, 100%, $F$11)</f>
        <v>16.1982</v>
      </c>
      <c r="J555" s="4">
        <f>16.0715 * CHOOSE(CONTROL!$C$15, $D$11, 100%, $F$11)</f>
        <v>16.0715</v>
      </c>
      <c r="K555" s="4"/>
      <c r="L555" s="9">
        <v>28.360600000000002</v>
      </c>
      <c r="M555" s="9">
        <v>11.6745</v>
      </c>
      <c r="N555" s="9">
        <v>4.7850000000000001</v>
      </c>
      <c r="O555" s="9">
        <v>0.36199999999999999</v>
      </c>
      <c r="P555" s="9">
        <v>1.2509999999999999</v>
      </c>
      <c r="Q555" s="9">
        <v>19.053000000000001</v>
      </c>
      <c r="R555" s="9"/>
      <c r="S555" s="11"/>
    </row>
    <row r="556" spans="1:19" ht="15.75">
      <c r="A556" s="13">
        <v>58440</v>
      </c>
      <c r="B556" s="8">
        <f>16.625 * CHOOSE(CONTROL!$C$15, $D$11, 100%, $F$11)</f>
        <v>16.625</v>
      </c>
      <c r="C556" s="8">
        <f>16.6301 * CHOOSE(CONTROL!$C$15, $D$11, 100%, $F$11)</f>
        <v>16.630099999999999</v>
      </c>
      <c r="D556" s="8">
        <f>16.6085 * CHOOSE( CONTROL!$C$15, $D$11, 100%, $F$11)</f>
        <v>16.608499999999999</v>
      </c>
      <c r="E556" s="12">
        <f>16.6159 * CHOOSE( CONTROL!$C$15, $D$11, 100%, $F$11)</f>
        <v>16.6159</v>
      </c>
      <c r="F556" s="4">
        <f>17.2699 * CHOOSE(CONTROL!$C$15, $D$11, 100%, $F$11)</f>
        <v>17.2699</v>
      </c>
      <c r="G556" s="8">
        <f>16.3315 * CHOOSE( CONTROL!$C$15, $D$11, 100%, $F$11)</f>
        <v>16.331499999999998</v>
      </c>
      <c r="H556" s="4">
        <f>17.2123 * CHOOSE(CONTROL!$C$15, $D$11, 100%, $F$11)</f>
        <v>17.212299999999999</v>
      </c>
      <c r="I556" s="8">
        <f>16.1733 * CHOOSE(CONTROL!$C$15, $D$11, 100%, $F$11)</f>
        <v>16.173300000000001</v>
      </c>
      <c r="J556" s="4">
        <f>16.0422 * CHOOSE(CONTROL!$C$15, $D$11, 100%, $F$11)</f>
        <v>16.042200000000001</v>
      </c>
      <c r="K556" s="4"/>
      <c r="L556" s="9">
        <v>29.306000000000001</v>
      </c>
      <c r="M556" s="9">
        <v>12.063700000000001</v>
      </c>
      <c r="N556" s="9">
        <v>4.9444999999999997</v>
      </c>
      <c r="O556" s="9">
        <v>0.37409999999999999</v>
      </c>
      <c r="P556" s="9">
        <v>1.2927</v>
      </c>
      <c r="Q556" s="9">
        <v>19.688099999999999</v>
      </c>
      <c r="R556" s="9"/>
      <c r="S556" s="11"/>
    </row>
    <row r="557" spans="1:19" ht="15.75">
      <c r="A557" s="13">
        <v>58471</v>
      </c>
      <c r="B557" s="8">
        <f>17.2593 * CHOOSE(CONTROL!$C$15, $D$11, 100%, $F$11)</f>
        <v>17.2593</v>
      </c>
      <c r="C557" s="8">
        <f>17.2644 * CHOOSE(CONTROL!$C$15, $D$11, 100%, $F$11)</f>
        <v>17.264399999999998</v>
      </c>
      <c r="D557" s="8">
        <f>17.2385 * CHOOSE( CONTROL!$C$15, $D$11, 100%, $F$11)</f>
        <v>17.238499999999998</v>
      </c>
      <c r="E557" s="12">
        <f>17.2474 * CHOOSE( CONTROL!$C$15, $D$11, 100%, $F$11)</f>
        <v>17.247399999999999</v>
      </c>
      <c r="F557" s="4">
        <f>17.9033 * CHOOSE(CONTROL!$C$15, $D$11, 100%, $F$11)</f>
        <v>17.903300000000002</v>
      </c>
      <c r="G557" s="8">
        <f>16.949 * CHOOSE( CONTROL!$C$15, $D$11, 100%, $F$11)</f>
        <v>16.949000000000002</v>
      </c>
      <c r="H557" s="4">
        <f>17.8352 * CHOOSE(CONTROL!$C$15, $D$11, 100%, $F$11)</f>
        <v>17.8352</v>
      </c>
      <c r="I557" s="8">
        <f>16.7573 * CHOOSE(CONTROL!$C$15, $D$11, 100%, $F$11)</f>
        <v>16.757300000000001</v>
      </c>
      <c r="J557" s="4">
        <f>16.6554 * CHOOSE(CONTROL!$C$15, $D$11, 100%, $F$11)</f>
        <v>16.6554</v>
      </c>
      <c r="K557" s="4"/>
      <c r="L557" s="9">
        <v>29.306000000000001</v>
      </c>
      <c r="M557" s="9">
        <v>12.063700000000001</v>
      </c>
      <c r="N557" s="9">
        <v>4.9444999999999997</v>
      </c>
      <c r="O557" s="9">
        <v>0.37409999999999999</v>
      </c>
      <c r="P557" s="9">
        <v>1.2927</v>
      </c>
      <c r="Q557" s="9">
        <v>19.688099999999999</v>
      </c>
      <c r="R557" s="9"/>
      <c r="S557" s="11"/>
    </row>
    <row r="558" spans="1:19" ht="15.75">
      <c r="A558" s="13">
        <v>58499</v>
      </c>
      <c r="B558" s="8">
        <f>16.1454 * CHOOSE(CONTROL!$C$15, $D$11, 100%, $F$11)</f>
        <v>16.145399999999999</v>
      </c>
      <c r="C558" s="8">
        <f>16.1506 * CHOOSE(CONTROL!$C$15, $D$11, 100%, $F$11)</f>
        <v>16.150600000000001</v>
      </c>
      <c r="D558" s="8">
        <f>16.1249 * CHOOSE( CONTROL!$C$15, $D$11, 100%, $F$11)</f>
        <v>16.1249</v>
      </c>
      <c r="E558" s="12">
        <f>16.1337 * CHOOSE( CONTROL!$C$15, $D$11, 100%, $F$11)</f>
        <v>16.133700000000001</v>
      </c>
      <c r="F558" s="4">
        <f>16.7895 * CHOOSE(CONTROL!$C$15, $D$11, 100%, $F$11)</f>
        <v>16.7895</v>
      </c>
      <c r="G558" s="8">
        <f>15.8538 * CHOOSE( CONTROL!$C$15, $D$11, 100%, $F$11)</f>
        <v>15.8538</v>
      </c>
      <c r="H558" s="4">
        <f>16.7398 * CHOOSE(CONTROL!$C$15, $D$11, 100%, $F$11)</f>
        <v>16.739799999999999</v>
      </c>
      <c r="I558" s="8">
        <f>15.6808 * CHOOSE(CONTROL!$C$15, $D$11, 100%, $F$11)</f>
        <v>15.6808</v>
      </c>
      <c r="J558" s="4">
        <f>15.5786 * CHOOSE(CONTROL!$C$15, $D$11, 100%, $F$11)</f>
        <v>15.5786</v>
      </c>
      <c r="K558" s="4"/>
      <c r="L558" s="9">
        <v>27.415299999999998</v>
      </c>
      <c r="M558" s="9">
        <v>11.285299999999999</v>
      </c>
      <c r="N558" s="9">
        <v>4.6254999999999997</v>
      </c>
      <c r="O558" s="9">
        <v>0.34989999999999999</v>
      </c>
      <c r="P558" s="9">
        <v>1.2093</v>
      </c>
      <c r="Q558" s="9">
        <v>18.417899999999999</v>
      </c>
      <c r="R558" s="9"/>
      <c r="S558" s="11"/>
    </row>
    <row r="559" spans="1:19" ht="15.75">
      <c r="A559" s="13">
        <v>58531</v>
      </c>
      <c r="B559" s="8">
        <f>15.8024 * CHOOSE(CONTROL!$C$15, $D$11, 100%, $F$11)</f>
        <v>15.8024</v>
      </c>
      <c r="C559" s="8">
        <f>15.8075 * CHOOSE(CONTROL!$C$15, $D$11, 100%, $F$11)</f>
        <v>15.807499999999999</v>
      </c>
      <c r="D559" s="8">
        <f>15.7818 * CHOOSE( CONTROL!$C$15, $D$11, 100%, $F$11)</f>
        <v>15.7818</v>
      </c>
      <c r="E559" s="12">
        <f>15.7907 * CHOOSE( CONTROL!$C$15, $D$11, 100%, $F$11)</f>
        <v>15.790699999999999</v>
      </c>
      <c r="F559" s="4">
        <f>16.4464 * CHOOSE(CONTROL!$C$15, $D$11, 100%, $F$11)</f>
        <v>16.446400000000001</v>
      </c>
      <c r="G559" s="8">
        <f>15.5163 * CHOOSE( CONTROL!$C$15, $D$11, 100%, $F$11)</f>
        <v>15.516299999999999</v>
      </c>
      <c r="H559" s="4">
        <f>16.4025 * CHOOSE(CONTROL!$C$15, $D$11, 100%, $F$11)</f>
        <v>16.4025</v>
      </c>
      <c r="I559" s="8">
        <f>15.3488 * CHOOSE(CONTROL!$C$15, $D$11, 100%, $F$11)</f>
        <v>15.348800000000001</v>
      </c>
      <c r="J559" s="4">
        <f>15.247 * CHOOSE(CONTROL!$C$15, $D$11, 100%, $F$11)</f>
        <v>15.247</v>
      </c>
      <c r="K559" s="4"/>
      <c r="L559" s="9">
        <v>29.306000000000001</v>
      </c>
      <c r="M559" s="9">
        <v>12.063700000000001</v>
      </c>
      <c r="N559" s="9">
        <v>4.9444999999999997</v>
      </c>
      <c r="O559" s="9">
        <v>0.37409999999999999</v>
      </c>
      <c r="P559" s="9">
        <v>1.2927</v>
      </c>
      <c r="Q559" s="9">
        <v>19.688099999999999</v>
      </c>
      <c r="R559" s="9"/>
      <c r="S559" s="11"/>
    </row>
    <row r="560" spans="1:19" ht="15.75">
      <c r="A560" s="13">
        <v>58561</v>
      </c>
      <c r="B560" s="8">
        <f>16.0429 * CHOOSE(CONTROL!$C$15, $D$11, 100%, $F$11)</f>
        <v>16.042899999999999</v>
      </c>
      <c r="C560" s="8">
        <f>16.0474 * CHOOSE(CONTROL!$C$15, $D$11, 100%, $F$11)</f>
        <v>16.0474</v>
      </c>
      <c r="D560" s="8">
        <f>16.0584 * CHOOSE( CONTROL!$C$15, $D$11, 100%, $F$11)</f>
        <v>16.058399999999999</v>
      </c>
      <c r="E560" s="12">
        <f>16.0543 * CHOOSE( CONTROL!$C$15, $D$11, 100%, $F$11)</f>
        <v>16.054300000000001</v>
      </c>
      <c r="F560" s="4">
        <f>16.7325 * CHOOSE(CONTROL!$C$15, $D$11, 100%, $F$11)</f>
        <v>16.732500000000002</v>
      </c>
      <c r="G560" s="8">
        <f>15.745 * CHOOSE( CONTROL!$C$15, $D$11, 100%, $F$11)</f>
        <v>15.744999999999999</v>
      </c>
      <c r="H560" s="4">
        <f>16.6838 * CHOOSE(CONTROL!$C$15, $D$11, 100%, $F$11)</f>
        <v>16.683800000000002</v>
      </c>
      <c r="I560" s="8">
        <f>15.5757 * CHOOSE(CONTROL!$C$15, $D$11, 100%, $F$11)</f>
        <v>15.575699999999999</v>
      </c>
      <c r="J560" s="4">
        <f>15.4787 * CHOOSE(CONTROL!$C$15, $D$11, 100%, $F$11)</f>
        <v>15.4787</v>
      </c>
      <c r="K560" s="4"/>
      <c r="L560" s="9">
        <v>30.092199999999998</v>
      </c>
      <c r="M560" s="9">
        <v>11.6745</v>
      </c>
      <c r="N560" s="9">
        <v>4.7850000000000001</v>
      </c>
      <c r="O560" s="9">
        <v>0.36199999999999999</v>
      </c>
      <c r="P560" s="9">
        <v>1.1791</v>
      </c>
      <c r="Q560" s="9">
        <v>19.053000000000001</v>
      </c>
      <c r="R560" s="9"/>
      <c r="S560" s="11"/>
    </row>
    <row r="561" spans="1:19" ht="15.75">
      <c r="A561" s="13">
        <v>58592</v>
      </c>
      <c r="B561" s="8">
        <f>CHOOSE( CONTROL!$C$32, 16.4744, 16.4709) * CHOOSE(CONTROL!$C$15, $D$11, 100%, $F$11)</f>
        <v>16.474399999999999</v>
      </c>
      <c r="C561" s="8">
        <f>CHOOSE( CONTROL!$C$32, 16.4825, 16.4789) * CHOOSE(CONTROL!$C$15, $D$11, 100%, $F$11)</f>
        <v>16.482500000000002</v>
      </c>
      <c r="D561" s="8">
        <f>CHOOSE( CONTROL!$C$32, 16.4885, 16.4849) * CHOOSE( CONTROL!$C$15, $D$11, 100%, $F$11)</f>
        <v>16.488499999999998</v>
      </c>
      <c r="E561" s="12">
        <f>CHOOSE( CONTROL!$C$32, 16.4851, 16.4815) * CHOOSE( CONTROL!$C$15, $D$11, 100%, $F$11)</f>
        <v>16.485099999999999</v>
      </c>
      <c r="F561" s="4">
        <f>CHOOSE( CONTROL!$C$32, 17.1627, 17.1592) * CHOOSE(CONTROL!$C$15, $D$11, 100%, $F$11)</f>
        <v>17.162700000000001</v>
      </c>
      <c r="G561" s="8">
        <f>CHOOSE( CONTROL!$C$32, 16.169, 16.1655) * CHOOSE( CONTROL!$C$15, $D$11, 100%, $F$11)</f>
        <v>16.169</v>
      </c>
      <c r="H561" s="4">
        <f>CHOOSE( CONTROL!$C$32, 17.1069, 17.1034) * CHOOSE(CONTROL!$C$15, $D$11, 100%, $F$11)</f>
        <v>17.1069</v>
      </c>
      <c r="I561" s="8">
        <f>CHOOSE( CONTROL!$C$32, 15.9926, 15.9892) * CHOOSE(CONTROL!$C$15, $D$11, 100%, $F$11)</f>
        <v>15.992599999999999</v>
      </c>
      <c r="J561" s="4">
        <f>CHOOSE( CONTROL!$C$32, 15.8946, 15.8912) * CHOOSE(CONTROL!$C$15, $D$11, 100%, $F$11)</f>
        <v>15.894600000000001</v>
      </c>
      <c r="K561" s="4"/>
      <c r="L561" s="9">
        <v>30.7165</v>
      </c>
      <c r="M561" s="9">
        <v>12.063700000000001</v>
      </c>
      <c r="N561" s="9">
        <v>4.9444999999999997</v>
      </c>
      <c r="O561" s="9">
        <v>0.37409999999999999</v>
      </c>
      <c r="P561" s="9">
        <v>1.2183999999999999</v>
      </c>
      <c r="Q561" s="9">
        <v>19.688099999999999</v>
      </c>
      <c r="R561" s="9"/>
      <c r="S561" s="11"/>
    </row>
    <row r="562" spans="1:19" ht="15.75">
      <c r="A562" s="13">
        <v>58622</v>
      </c>
      <c r="B562" s="8">
        <f>CHOOSE( CONTROL!$C$32, 16.2102, 16.2066) * CHOOSE(CONTROL!$C$15, $D$11, 100%, $F$11)</f>
        <v>16.2102</v>
      </c>
      <c r="C562" s="8">
        <f>CHOOSE( CONTROL!$C$32, 16.2182, 16.2146) * CHOOSE(CONTROL!$C$15, $D$11, 100%, $F$11)</f>
        <v>16.2182</v>
      </c>
      <c r="D562" s="8">
        <f>CHOOSE( CONTROL!$C$32, 16.2245, 16.2209) * CHOOSE( CONTROL!$C$15, $D$11, 100%, $F$11)</f>
        <v>16.224499999999999</v>
      </c>
      <c r="E562" s="12">
        <f>CHOOSE( CONTROL!$C$32, 16.221, 16.2174) * CHOOSE( CONTROL!$C$15, $D$11, 100%, $F$11)</f>
        <v>16.221</v>
      </c>
      <c r="F562" s="4">
        <f>CHOOSE( CONTROL!$C$32, 16.8984, 16.8949) * CHOOSE(CONTROL!$C$15, $D$11, 100%, $F$11)</f>
        <v>16.898399999999999</v>
      </c>
      <c r="G562" s="8">
        <f>CHOOSE( CONTROL!$C$32, 15.9095, 15.906) * CHOOSE( CONTROL!$C$15, $D$11, 100%, $F$11)</f>
        <v>15.9095</v>
      </c>
      <c r="H562" s="4">
        <f>CHOOSE( CONTROL!$C$32, 16.847, 16.8435) * CHOOSE(CONTROL!$C$15, $D$11, 100%, $F$11)</f>
        <v>16.847000000000001</v>
      </c>
      <c r="I562" s="8">
        <f>CHOOSE( CONTROL!$C$32, 15.7383, 15.7349) * CHOOSE(CONTROL!$C$15, $D$11, 100%, $F$11)</f>
        <v>15.738300000000001</v>
      </c>
      <c r="J562" s="4">
        <f>CHOOSE( CONTROL!$C$32, 15.6391, 15.6357) * CHOOSE(CONTROL!$C$15, $D$11, 100%, $F$11)</f>
        <v>15.639099999999999</v>
      </c>
      <c r="K562" s="4"/>
      <c r="L562" s="9">
        <v>29.7257</v>
      </c>
      <c r="M562" s="9">
        <v>11.6745</v>
      </c>
      <c r="N562" s="9">
        <v>4.7850000000000001</v>
      </c>
      <c r="O562" s="9">
        <v>0.36199999999999999</v>
      </c>
      <c r="P562" s="9">
        <v>1.1791</v>
      </c>
      <c r="Q562" s="9">
        <v>19.053000000000001</v>
      </c>
      <c r="R562" s="9"/>
      <c r="S562" s="11"/>
    </row>
    <row r="563" spans="1:19" ht="15.75">
      <c r="A563" s="13">
        <v>58653</v>
      </c>
      <c r="B563" s="8">
        <f>CHOOSE( CONTROL!$C$32, 16.9061, 16.9026) * CHOOSE(CONTROL!$C$15, $D$11, 100%, $F$11)</f>
        <v>16.906099999999999</v>
      </c>
      <c r="C563" s="8">
        <f>CHOOSE( CONTROL!$C$32, 16.9142, 16.9106) * CHOOSE(CONTROL!$C$15, $D$11, 100%, $F$11)</f>
        <v>16.914200000000001</v>
      </c>
      <c r="D563" s="8">
        <f>CHOOSE( CONTROL!$C$32, 16.9207, 16.9172) * CHOOSE( CONTROL!$C$15, $D$11, 100%, $F$11)</f>
        <v>16.9207</v>
      </c>
      <c r="E563" s="12">
        <f>CHOOSE( CONTROL!$C$32, 16.9171, 16.9136) * CHOOSE( CONTROL!$C$15, $D$11, 100%, $F$11)</f>
        <v>16.917100000000001</v>
      </c>
      <c r="F563" s="4">
        <f>CHOOSE( CONTROL!$C$32, 17.5944, 17.5908) * CHOOSE(CONTROL!$C$15, $D$11, 100%, $F$11)</f>
        <v>17.5944</v>
      </c>
      <c r="G563" s="8">
        <f>CHOOSE( CONTROL!$C$32, 16.5944, 16.5909) * CHOOSE( CONTROL!$C$15, $D$11, 100%, $F$11)</f>
        <v>16.5944</v>
      </c>
      <c r="H563" s="4">
        <f>CHOOSE( CONTROL!$C$32, 17.5314, 17.5279) * CHOOSE(CONTROL!$C$15, $D$11, 100%, $F$11)</f>
        <v>17.531400000000001</v>
      </c>
      <c r="I563" s="8">
        <f>CHOOSE( CONTROL!$C$32, 16.4129, 16.4095) * CHOOSE(CONTROL!$C$15, $D$11, 100%, $F$11)</f>
        <v>16.4129</v>
      </c>
      <c r="J563" s="4">
        <f>CHOOSE( CONTROL!$C$32, 16.3119, 16.3085) * CHOOSE(CONTROL!$C$15, $D$11, 100%, $F$11)</f>
        <v>16.311900000000001</v>
      </c>
      <c r="K563" s="4"/>
      <c r="L563" s="9">
        <v>30.7165</v>
      </c>
      <c r="M563" s="9">
        <v>12.063700000000001</v>
      </c>
      <c r="N563" s="9">
        <v>4.9444999999999997</v>
      </c>
      <c r="O563" s="9">
        <v>0.37409999999999999</v>
      </c>
      <c r="P563" s="9">
        <v>1.2183999999999999</v>
      </c>
      <c r="Q563" s="9">
        <v>19.688099999999999</v>
      </c>
      <c r="R563" s="9"/>
      <c r="S563" s="11"/>
    </row>
    <row r="564" spans="1:19" ht="15.75">
      <c r="A564" s="13">
        <v>58684</v>
      </c>
      <c r="B564" s="8">
        <f>CHOOSE( CONTROL!$C$32, 15.6039, 15.6003) * CHOOSE(CONTROL!$C$15, $D$11, 100%, $F$11)</f>
        <v>15.603899999999999</v>
      </c>
      <c r="C564" s="8">
        <f>CHOOSE( CONTROL!$C$32, 15.6119, 15.6083) * CHOOSE(CONTROL!$C$15, $D$11, 100%, $F$11)</f>
        <v>15.6119</v>
      </c>
      <c r="D564" s="8">
        <f>CHOOSE( CONTROL!$C$32, 15.6186, 15.615) * CHOOSE( CONTROL!$C$15, $D$11, 100%, $F$11)</f>
        <v>15.618600000000001</v>
      </c>
      <c r="E564" s="12">
        <f>CHOOSE( CONTROL!$C$32, 15.615, 15.6114) * CHOOSE( CONTROL!$C$15, $D$11, 100%, $F$11)</f>
        <v>15.615</v>
      </c>
      <c r="F564" s="4">
        <f>CHOOSE( CONTROL!$C$32, 16.2921, 16.2886) * CHOOSE(CONTROL!$C$15, $D$11, 100%, $F$11)</f>
        <v>16.292100000000001</v>
      </c>
      <c r="G564" s="8">
        <f>CHOOSE( CONTROL!$C$32, 15.3139, 15.3104) * CHOOSE( CONTROL!$C$15, $D$11, 100%, $F$11)</f>
        <v>15.3139</v>
      </c>
      <c r="H564" s="4">
        <f>CHOOSE( CONTROL!$C$32, 16.2508, 16.2473) * CHOOSE(CONTROL!$C$15, $D$11, 100%, $F$11)</f>
        <v>16.250800000000002</v>
      </c>
      <c r="I564" s="8">
        <f>CHOOSE( CONTROL!$C$32, 15.1539, 15.1504) * CHOOSE(CONTROL!$C$15, $D$11, 100%, $F$11)</f>
        <v>15.1539</v>
      </c>
      <c r="J564" s="4">
        <f>CHOOSE( CONTROL!$C$32, 15.053, 15.0496) * CHOOSE(CONTROL!$C$15, $D$11, 100%, $F$11)</f>
        <v>15.053000000000001</v>
      </c>
      <c r="K564" s="4"/>
      <c r="L564" s="9">
        <v>30.7165</v>
      </c>
      <c r="M564" s="9">
        <v>12.063700000000001</v>
      </c>
      <c r="N564" s="9">
        <v>4.9444999999999997</v>
      </c>
      <c r="O564" s="9">
        <v>0.37409999999999999</v>
      </c>
      <c r="P564" s="9">
        <v>1.2183999999999999</v>
      </c>
      <c r="Q564" s="9">
        <v>19.688099999999999</v>
      </c>
      <c r="R564" s="9"/>
      <c r="S564" s="11"/>
    </row>
    <row r="565" spans="1:19" ht="15.75">
      <c r="A565" s="13">
        <v>58714</v>
      </c>
      <c r="B565" s="8">
        <f>CHOOSE( CONTROL!$C$32, 15.2778, 15.2742) * CHOOSE(CONTROL!$C$15, $D$11, 100%, $F$11)</f>
        <v>15.277799999999999</v>
      </c>
      <c r="C565" s="8">
        <f>CHOOSE( CONTROL!$C$32, 15.2858, 15.2822) * CHOOSE(CONTROL!$C$15, $D$11, 100%, $F$11)</f>
        <v>15.2858</v>
      </c>
      <c r="D565" s="8">
        <f>CHOOSE( CONTROL!$C$32, 15.2925, 15.2889) * CHOOSE( CONTROL!$C$15, $D$11, 100%, $F$11)</f>
        <v>15.2925</v>
      </c>
      <c r="E565" s="12">
        <f>CHOOSE( CONTROL!$C$32, 15.2889, 15.2853) * CHOOSE( CONTROL!$C$15, $D$11, 100%, $F$11)</f>
        <v>15.2889</v>
      </c>
      <c r="F565" s="4">
        <f>CHOOSE( CONTROL!$C$32, 15.966, 15.9625) * CHOOSE(CONTROL!$C$15, $D$11, 100%, $F$11)</f>
        <v>15.965999999999999</v>
      </c>
      <c r="G565" s="8">
        <f>CHOOSE( CONTROL!$C$32, 14.9932, 14.9897) * CHOOSE( CONTROL!$C$15, $D$11, 100%, $F$11)</f>
        <v>14.9932</v>
      </c>
      <c r="H565" s="4">
        <f>CHOOSE( CONTROL!$C$32, 15.9301, 15.9266) * CHOOSE(CONTROL!$C$15, $D$11, 100%, $F$11)</f>
        <v>15.930099999999999</v>
      </c>
      <c r="I565" s="8">
        <f>CHOOSE( CONTROL!$C$32, 14.8385, 14.835) * CHOOSE(CONTROL!$C$15, $D$11, 100%, $F$11)</f>
        <v>14.8385</v>
      </c>
      <c r="J565" s="4">
        <f>CHOOSE( CONTROL!$C$32, 14.7378, 14.7343) * CHOOSE(CONTROL!$C$15, $D$11, 100%, $F$11)</f>
        <v>14.7378</v>
      </c>
      <c r="K565" s="4"/>
      <c r="L565" s="9">
        <v>29.7257</v>
      </c>
      <c r="M565" s="9">
        <v>11.6745</v>
      </c>
      <c r="N565" s="9">
        <v>4.7850000000000001</v>
      </c>
      <c r="O565" s="9">
        <v>0.36199999999999999</v>
      </c>
      <c r="P565" s="9">
        <v>1.1791</v>
      </c>
      <c r="Q565" s="9">
        <v>19.053000000000001</v>
      </c>
      <c r="R565" s="9"/>
      <c r="S565" s="11"/>
    </row>
    <row r="566" spans="1:19" ht="15.75">
      <c r="A566" s="13">
        <v>58745</v>
      </c>
      <c r="B566" s="8">
        <f>15.9496 * CHOOSE(CONTROL!$C$15, $D$11, 100%, $F$11)</f>
        <v>15.9496</v>
      </c>
      <c r="C566" s="8">
        <f>15.955 * CHOOSE(CONTROL!$C$15, $D$11, 100%, $F$11)</f>
        <v>15.955</v>
      </c>
      <c r="D566" s="8">
        <f>15.9665 * CHOOSE( CONTROL!$C$15, $D$11, 100%, $F$11)</f>
        <v>15.9665</v>
      </c>
      <c r="E566" s="12">
        <f>15.9621 * CHOOSE( CONTROL!$C$15, $D$11, 100%, $F$11)</f>
        <v>15.9621</v>
      </c>
      <c r="F566" s="4">
        <f>16.6396 * CHOOSE(CONTROL!$C$15, $D$11, 100%, $F$11)</f>
        <v>16.639600000000002</v>
      </c>
      <c r="G566" s="8">
        <f>15.6551 * CHOOSE( CONTROL!$C$15, $D$11, 100%, $F$11)</f>
        <v>15.655099999999999</v>
      </c>
      <c r="H566" s="4">
        <f>16.5924 * CHOOSE(CONTROL!$C$15, $D$11, 100%, $F$11)</f>
        <v>16.592400000000001</v>
      </c>
      <c r="I566" s="8">
        <f>15.4906 * CHOOSE(CONTROL!$C$15, $D$11, 100%, $F$11)</f>
        <v>15.490600000000001</v>
      </c>
      <c r="J566" s="4">
        <f>15.3889 * CHOOSE(CONTROL!$C$15, $D$11, 100%, $F$11)</f>
        <v>15.3889</v>
      </c>
      <c r="K566" s="4"/>
      <c r="L566" s="9">
        <v>31.095300000000002</v>
      </c>
      <c r="M566" s="9">
        <v>12.063700000000001</v>
      </c>
      <c r="N566" s="9">
        <v>4.9444999999999997</v>
      </c>
      <c r="O566" s="9">
        <v>0.37409999999999999</v>
      </c>
      <c r="P566" s="9">
        <v>1.2183999999999999</v>
      </c>
      <c r="Q566" s="9">
        <v>19.688099999999999</v>
      </c>
      <c r="R566" s="9"/>
      <c r="S566" s="11"/>
    </row>
    <row r="567" spans="1:19" ht="15.75">
      <c r="A567" s="13">
        <v>58775</v>
      </c>
      <c r="B567" s="8">
        <f>17.199 * CHOOSE(CONTROL!$C$15, $D$11, 100%, $F$11)</f>
        <v>17.199000000000002</v>
      </c>
      <c r="C567" s="8">
        <f>17.2041 * CHOOSE(CONTROL!$C$15, $D$11, 100%, $F$11)</f>
        <v>17.2041</v>
      </c>
      <c r="D567" s="8">
        <f>17.181 * CHOOSE( CONTROL!$C$15, $D$11, 100%, $F$11)</f>
        <v>17.181000000000001</v>
      </c>
      <c r="E567" s="12">
        <f>17.1889 * CHOOSE( CONTROL!$C$15, $D$11, 100%, $F$11)</f>
        <v>17.1889</v>
      </c>
      <c r="F567" s="4">
        <f>17.8439 * CHOOSE(CONTROL!$C$15, $D$11, 100%, $F$11)</f>
        <v>17.843900000000001</v>
      </c>
      <c r="G567" s="8">
        <f>16.8949 * CHOOSE( CONTROL!$C$15, $D$11, 100%, $F$11)</f>
        <v>16.8949</v>
      </c>
      <c r="H567" s="4">
        <f>17.7767 * CHOOSE(CONTROL!$C$15, $D$11, 100%, $F$11)</f>
        <v>17.776700000000002</v>
      </c>
      <c r="I567" s="8">
        <f>16.7241 * CHOOSE(CONTROL!$C$15, $D$11, 100%, $F$11)</f>
        <v>16.7241</v>
      </c>
      <c r="J567" s="4">
        <f>16.5971 * CHOOSE(CONTROL!$C$15, $D$11, 100%, $F$11)</f>
        <v>16.597100000000001</v>
      </c>
      <c r="K567" s="4"/>
      <c r="L567" s="9">
        <v>28.360600000000002</v>
      </c>
      <c r="M567" s="9">
        <v>11.6745</v>
      </c>
      <c r="N567" s="9">
        <v>4.7850000000000001</v>
      </c>
      <c r="O567" s="9">
        <v>0.36199999999999999</v>
      </c>
      <c r="P567" s="9">
        <v>1.2509999999999999</v>
      </c>
      <c r="Q567" s="9">
        <v>19.053000000000001</v>
      </c>
      <c r="R567" s="9"/>
      <c r="S567" s="11"/>
    </row>
    <row r="568" spans="1:19" ht="15.75">
      <c r="A568" s="13">
        <v>58806</v>
      </c>
      <c r="B568" s="8">
        <f>17.1677 * CHOOSE(CONTROL!$C$15, $D$11, 100%, $F$11)</f>
        <v>17.1677</v>
      </c>
      <c r="C568" s="8">
        <f>17.1729 * CHOOSE(CONTROL!$C$15, $D$11, 100%, $F$11)</f>
        <v>17.172899999999998</v>
      </c>
      <c r="D568" s="8">
        <f>17.1512 * CHOOSE( CONTROL!$C$15, $D$11, 100%, $F$11)</f>
        <v>17.151199999999999</v>
      </c>
      <c r="E568" s="12">
        <f>17.1586 * CHOOSE( CONTROL!$C$15, $D$11, 100%, $F$11)</f>
        <v>17.1586</v>
      </c>
      <c r="F568" s="4">
        <f>17.8126 * CHOOSE(CONTROL!$C$15, $D$11, 100%, $F$11)</f>
        <v>17.8126</v>
      </c>
      <c r="G568" s="8">
        <f>16.8652 * CHOOSE( CONTROL!$C$15, $D$11, 100%, $F$11)</f>
        <v>16.865200000000002</v>
      </c>
      <c r="H568" s="4">
        <f>17.746 * CHOOSE(CONTROL!$C$15, $D$11, 100%, $F$11)</f>
        <v>17.745999999999999</v>
      </c>
      <c r="I568" s="8">
        <f>16.6982 * CHOOSE(CONTROL!$C$15, $D$11, 100%, $F$11)</f>
        <v>16.6982</v>
      </c>
      <c r="J568" s="4">
        <f>16.5669 * CHOOSE(CONTROL!$C$15, $D$11, 100%, $F$11)</f>
        <v>16.5669</v>
      </c>
      <c r="K568" s="4"/>
      <c r="L568" s="9">
        <v>29.306000000000001</v>
      </c>
      <c r="M568" s="9">
        <v>12.063700000000001</v>
      </c>
      <c r="N568" s="9">
        <v>4.9444999999999997</v>
      </c>
      <c r="O568" s="9">
        <v>0.37409999999999999</v>
      </c>
      <c r="P568" s="9">
        <v>1.2927</v>
      </c>
      <c r="Q568" s="9">
        <v>19.688099999999999</v>
      </c>
      <c r="R568" s="9"/>
      <c r="S568" s="11"/>
    </row>
    <row r="569" spans="1:19" ht="15.75">
      <c r="A569" s="13">
        <v>58837</v>
      </c>
      <c r="B569" s="8">
        <f>17.8227 * CHOOSE(CONTROL!$C$15, $D$11, 100%, $F$11)</f>
        <v>17.822700000000001</v>
      </c>
      <c r="C569" s="8">
        <f>17.8278 * CHOOSE(CONTROL!$C$15, $D$11, 100%, $F$11)</f>
        <v>17.8278</v>
      </c>
      <c r="D569" s="8">
        <f>17.802 * CHOOSE( CONTROL!$C$15, $D$11, 100%, $F$11)</f>
        <v>17.802</v>
      </c>
      <c r="E569" s="12">
        <f>17.8109 * CHOOSE( CONTROL!$C$15, $D$11, 100%, $F$11)</f>
        <v>17.8109</v>
      </c>
      <c r="F569" s="4">
        <f>18.4667 * CHOOSE(CONTROL!$C$15, $D$11, 100%, $F$11)</f>
        <v>18.466699999999999</v>
      </c>
      <c r="G569" s="8">
        <f>17.5031 * CHOOSE( CONTROL!$C$15, $D$11, 100%, $F$11)</f>
        <v>17.5031</v>
      </c>
      <c r="H569" s="4">
        <f>18.3893 * CHOOSE(CONTROL!$C$15, $D$11, 100%, $F$11)</f>
        <v>18.389299999999999</v>
      </c>
      <c r="I569" s="8">
        <f>17.3023 * CHOOSE(CONTROL!$C$15, $D$11, 100%, $F$11)</f>
        <v>17.302299999999999</v>
      </c>
      <c r="J569" s="4">
        <f>17.2001 * CHOOSE(CONTROL!$C$15, $D$11, 100%, $F$11)</f>
        <v>17.200099999999999</v>
      </c>
      <c r="K569" s="4"/>
      <c r="L569" s="9">
        <v>29.306000000000001</v>
      </c>
      <c r="M569" s="9">
        <v>12.063700000000001</v>
      </c>
      <c r="N569" s="9">
        <v>4.9444999999999997</v>
      </c>
      <c r="O569" s="9">
        <v>0.37409999999999999</v>
      </c>
      <c r="P569" s="9">
        <v>1.2927</v>
      </c>
      <c r="Q569" s="9">
        <v>19.688099999999999</v>
      </c>
      <c r="R569" s="9"/>
      <c r="S569" s="11"/>
    </row>
    <row r="570" spans="1:19" ht="15.75">
      <c r="A570" s="13">
        <v>58865</v>
      </c>
      <c r="B570" s="8">
        <f>16.6725 * CHOOSE(CONTROL!$C$15, $D$11, 100%, $F$11)</f>
        <v>16.672499999999999</v>
      </c>
      <c r="C570" s="8">
        <f>16.6776 * CHOOSE(CONTROL!$C$15, $D$11, 100%, $F$11)</f>
        <v>16.677600000000002</v>
      </c>
      <c r="D570" s="8">
        <f>16.652 * CHOOSE( CONTROL!$C$15, $D$11, 100%, $F$11)</f>
        <v>16.652000000000001</v>
      </c>
      <c r="E570" s="12">
        <f>16.6608 * CHOOSE( CONTROL!$C$15, $D$11, 100%, $F$11)</f>
        <v>16.660799999999998</v>
      </c>
      <c r="F570" s="4">
        <f>17.3165 * CHOOSE(CONTROL!$C$15, $D$11, 100%, $F$11)</f>
        <v>17.316500000000001</v>
      </c>
      <c r="G570" s="8">
        <f>16.3721 * CHOOSE( CONTROL!$C$15, $D$11, 100%, $F$11)</f>
        <v>16.3721</v>
      </c>
      <c r="H570" s="4">
        <f>17.2581 * CHOOSE(CONTROL!$C$15, $D$11, 100%, $F$11)</f>
        <v>17.258099999999999</v>
      </c>
      <c r="I570" s="8">
        <f>16.1905 * CHOOSE(CONTROL!$C$15, $D$11, 100%, $F$11)</f>
        <v>16.1905</v>
      </c>
      <c r="J570" s="4">
        <f>16.0881 * CHOOSE(CONTROL!$C$15, $D$11, 100%, $F$11)</f>
        <v>16.088100000000001</v>
      </c>
      <c r="K570" s="4"/>
      <c r="L570" s="9">
        <v>26.469899999999999</v>
      </c>
      <c r="M570" s="9">
        <v>10.8962</v>
      </c>
      <c r="N570" s="9">
        <v>4.4660000000000002</v>
      </c>
      <c r="O570" s="9">
        <v>0.33789999999999998</v>
      </c>
      <c r="P570" s="9">
        <v>1.1676</v>
      </c>
      <c r="Q570" s="9">
        <v>17.782800000000002</v>
      </c>
      <c r="R570" s="9"/>
      <c r="S570" s="11"/>
    </row>
    <row r="571" spans="1:19" ht="15.75">
      <c r="A571" s="13">
        <v>58893</v>
      </c>
      <c r="B571" s="8">
        <f>16.3182 * CHOOSE(CONTROL!$C$15, $D$11, 100%, $F$11)</f>
        <v>16.318200000000001</v>
      </c>
      <c r="C571" s="8">
        <f>16.3233 * CHOOSE(CONTROL!$C$15, $D$11, 100%, $F$11)</f>
        <v>16.3233</v>
      </c>
      <c r="D571" s="8">
        <f>16.2976 * CHOOSE( CONTROL!$C$15, $D$11, 100%, $F$11)</f>
        <v>16.297599999999999</v>
      </c>
      <c r="E571" s="12">
        <f>16.3065 * CHOOSE( CONTROL!$C$15, $D$11, 100%, $F$11)</f>
        <v>16.3065</v>
      </c>
      <c r="F571" s="4">
        <f>16.9622 * CHOOSE(CONTROL!$C$15, $D$11, 100%, $F$11)</f>
        <v>16.962199999999999</v>
      </c>
      <c r="G571" s="8">
        <f>16.0236 * CHOOSE( CONTROL!$C$15, $D$11, 100%, $F$11)</f>
        <v>16.023599999999998</v>
      </c>
      <c r="H571" s="4">
        <f>16.9097 * CHOOSE(CONTROL!$C$15, $D$11, 100%, $F$11)</f>
        <v>16.909700000000001</v>
      </c>
      <c r="I571" s="8">
        <f>15.8476 * CHOOSE(CONTROL!$C$15, $D$11, 100%, $F$11)</f>
        <v>15.8476</v>
      </c>
      <c r="J571" s="4">
        <f>15.7456 * CHOOSE(CONTROL!$C$15, $D$11, 100%, $F$11)</f>
        <v>15.7456</v>
      </c>
      <c r="K571" s="4"/>
      <c r="L571" s="9">
        <v>29.306000000000001</v>
      </c>
      <c r="M571" s="9">
        <v>12.063700000000001</v>
      </c>
      <c r="N571" s="9">
        <v>4.9444999999999997</v>
      </c>
      <c r="O571" s="9">
        <v>0.37409999999999999</v>
      </c>
      <c r="P571" s="9">
        <v>1.2927</v>
      </c>
      <c r="Q571" s="9">
        <v>19.688099999999999</v>
      </c>
      <c r="R571" s="9"/>
      <c r="S571" s="11"/>
    </row>
    <row r="572" spans="1:19" ht="15.75">
      <c r="A572" s="13">
        <v>58926</v>
      </c>
      <c r="B572" s="8">
        <f>16.5665 * CHOOSE(CONTROL!$C$15, $D$11, 100%, $F$11)</f>
        <v>16.566500000000001</v>
      </c>
      <c r="C572" s="8">
        <f>16.5711 * CHOOSE(CONTROL!$C$15, $D$11, 100%, $F$11)</f>
        <v>16.571100000000001</v>
      </c>
      <c r="D572" s="8">
        <f>16.5821 * CHOOSE( CONTROL!$C$15, $D$11, 100%, $F$11)</f>
        <v>16.582100000000001</v>
      </c>
      <c r="E572" s="12">
        <f>16.5779 * CHOOSE( CONTROL!$C$15, $D$11, 100%, $F$11)</f>
        <v>16.5779</v>
      </c>
      <c r="F572" s="4">
        <f>17.2562 * CHOOSE(CONTROL!$C$15, $D$11, 100%, $F$11)</f>
        <v>17.2562</v>
      </c>
      <c r="G572" s="8">
        <f>16.2599 * CHOOSE( CONTROL!$C$15, $D$11, 100%, $F$11)</f>
        <v>16.259899999999998</v>
      </c>
      <c r="H572" s="4">
        <f>17.1988 * CHOOSE(CONTROL!$C$15, $D$11, 100%, $F$11)</f>
        <v>17.198799999999999</v>
      </c>
      <c r="I572" s="8">
        <f>16.0821 * CHOOSE(CONTROL!$C$15, $D$11, 100%, $F$11)</f>
        <v>16.082100000000001</v>
      </c>
      <c r="J572" s="4">
        <f>15.9849 * CHOOSE(CONTROL!$C$15, $D$11, 100%, $F$11)</f>
        <v>15.9849</v>
      </c>
      <c r="K572" s="4"/>
      <c r="L572" s="9">
        <v>30.092199999999998</v>
      </c>
      <c r="M572" s="9">
        <v>11.6745</v>
      </c>
      <c r="N572" s="9">
        <v>4.7850000000000001</v>
      </c>
      <c r="O572" s="9">
        <v>0.36199999999999999</v>
      </c>
      <c r="P572" s="9">
        <v>1.1791</v>
      </c>
      <c r="Q572" s="9">
        <v>19.053000000000001</v>
      </c>
      <c r="R572" s="9"/>
      <c r="S572" s="11"/>
    </row>
    <row r="573" spans="1:19" ht="15.75">
      <c r="A573" s="13">
        <v>58957</v>
      </c>
      <c r="B573" s="8">
        <f>CHOOSE( CONTROL!$C$32, 17.012, 17.0085) * CHOOSE(CONTROL!$C$15, $D$11, 100%, $F$11)</f>
        <v>17.012</v>
      </c>
      <c r="C573" s="8">
        <f>CHOOSE( CONTROL!$C$32, 17.0201, 17.0165) * CHOOSE(CONTROL!$C$15, $D$11, 100%, $F$11)</f>
        <v>17.020099999999999</v>
      </c>
      <c r="D573" s="8">
        <f>CHOOSE( CONTROL!$C$32, 17.0261, 17.0225) * CHOOSE( CONTROL!$C$15, $D$11, 100%, $F$11)</f>
        <v>17.0261</v>
      </c>
      <c r="E573" s="12">
        <f>CHOOSE( CONTROL!$C$32, 17.0227, 17.0191) * CHOOSE( CONTROL!$C$15, $D$11, 100%, $F$11)</f>
        <v>17.0227</v>
      </c>
      <c r="F573" s="4">
        <f>CHOOSE( CONTROL!$C$32, 17.7003, 17.6968) * CHOOSE(CONTROL!$C$15, $D$11, 100%, $F$11)</f>
        <v>17.700299999999999</v>
      </c>
      <c r="G573" s="8">
        <f>CHOOSE( CONTROL!$C$32, 16.6977, 16.6942) * CHOOSE( CONTROL!$C$15, $D$11, 100%, $F$11)</f>
        <v>16.697700000000001</v>
      </c>
      <c r="H573" s="4">
        <f>CHOOSE( CONTROL!$C$32, 17.6356, 17.6321) * CHOOSE(CONTROL!$C$15, $D$11, 100%, $F$11)</f>
        <v>17.6356</v>
      </c>
      <c r="I573" s="8">
        <f>CHOOSE( CONTROL!$C$32, 16.5126, 16.5091) * CHOOSE(CONTROL!$C$15, $D$11, 100%, $F$11)</f>
        <v>16.512599999999999</v>
      </c>
      <c r="J573" s="4">
        <f>CHOOSE( CONTROL!$C$32, 16.4143, 16.4109) * CHOOSE(CONTROL!$C$15, $D$11, 100%, $F$11)</f>
        <v>16.414300000000001</v>
      </c>
      <c r="K573" s="4"/>
      <c r="L573" s="9">
        <v>30.7165</v>
      </c>
      <c r="M573" s="9">
        <v>12.063700000000001</v>
      </c>
      <c r="N573" s="9">
        <v>4.9444999999999997</v>
      </c>
      <c r="O573" s="9">
        <v>0.37409999999999999</v>
      </c>
      <c r="P573" s="9">
        <v>1.2183999999999999</v>
      </c>
      <c r="Q573" s="9">
        <v>19.688099999999999</v>
      </c>
      <c r="R573" s="9"/>
      <c r="S573" s="11"/>
    </row>
    <row r="574" spans="1:19" ht="15.75">
      <c r="A574" s="13">
        <v>58987</v>
      </c>
      <c r="B574" s="8">
        <f>CHOOSE( CONTROL!$C$32, 16.7391, 16.7355) * CHOOSE(CONTROL!$C$15, $D$11, 100%, $F$11)</f>
        <v>16.739100000000001</v>
      </c>
      <c r="C574" s="8">
        <f>CHOOSE( CONTROL!$C$32, 16.7471, 16.7436) * CHOOSE(CONTROL!$C$15, $D$11, 100%, $F$11)</f>
        <v>16.7471</v>
      </c>
      <c r="D574" s="8">
        <f>CHOOSE( CONTROL!$C$32, 16.7534, 16.7498) * CHOOSE( CONTROL!$C$15, $D$11, 100%, $F$11)</f>
        <v>16.753399999999999</v>
      </c>
      <c r="E574" s="12">
        <f>CHOOSE( CONTROL!$C$32, 16.7499, 16.7463) * CHOOSE( CONTROL!$C$15, $D$11, 100%, $F$11)</f>
        <v>16.7499</v>
      </c>
      <c r="F574" s="4">
        <f>CHOOSE( CONTROL!$C$32, 17.4274, 17.4238) * CHOOSE(CONTROL!$C$15, $D$11, 100%, $F$11)</f>
        <v>17.427399999999999</v>
      </c>
      <c r="G574" s="8">
        <f>CHOOSE( CONTROL!$C$32, 16.4297, 16.4262) * CHOOSE( CONTROL!$C$15, $D$11, 100%, $F$11)</f>
        <v>16.4297</v>
      </c>
      <c r="H574" s="4">
        <f>CHOOSE( CONTROL!$C$32, 17.3672, 17.3637) * CHOOSE(CONTROL!$C$15, $D$11, 100%, $F$11)</f>
        <v>17.3672</v>
      </c>
      <c r="I574" s="8">
        <f>CHOOSE( CONTROL!$C$32, 16.2499, 16.2465) * CHOOSE(CONTROL!$C$15, $D$11, 100%, $F$11)</f>
        <v>16.2499</v>
      </c>
      <c r="J574" s="4">
        <f>CHOOSE( CONTROL!$C$32, 16.1505, 16.147) * CHOOSE(CONTROL!$C$15, $D$11, 100%, $F$11)</f>
        <v>16.150500000000001</v>
      </c>
      <c r="K574" s="4"/>
      <c r="L574" s="9">
        <v>29.7257</v>
      </c>
      <c r="M574" s="9">
        <v>11.6745</v>
      </c>
      <c r="N574" s="9">
        <v>4.7850000000000001</v>
      </c>
      <c r="O574" s="9">
        <v>0.36199999999999999</v>
      </c>
      <c r="P574" s="9">
        <v>1.1791</v>
      </c>
      <c r="Q574" s="9">
        <v>19.053000000000001</v>
      </c>
      <c r="R574" s="9"/>
      <c r="S574" s="11"/>
    </row>
    <row r="575" spans="1:19" ht="15.75">
      <c r="A575" s="13">
        <v>59018</v>
      </c>
      <c r="B575" s="8">
        <f>CHOOSE( CONTROL!$C$32, 17.4579, 17.4543) * CHOOSE(CONTROL!$C$15, $D$11, 100%, $F$11)</f>
        <v>17.457899999999999</v>
      </c>
      <c r="C575" s="8">
        <f>CHOOSE( CONTROL!$C$32, 17.4659, 17.4623) * CHOOSE(CONTROL!$C$15, $D$11, 100%, $F$11)</f>
        <v>17.465900000000001</v>
      </c>
      <c r="D575" s="8">
        <f>CHOOSE( CONTROL!$C$32, 17.4725, 17.4689) * CHOOSE( CONTROL!$C$15, $D$11, 100%, $F$11)</f>
        <v>17.4725</v>
      </c>
      <c r="E575" s="12">
        <f>CHOOSE( CONTROL!$C$32, 17.4689, 17.4653) * CHOOSE( CONTROL!$C$15, $D$11, 100%, $F$11)</f>
        <v>17.468900000000001</v>
      </c>
      <c r="F575" s="4">
        <f>CHOOSE( CONTROL!$C$32, 18.1461, 18.1426) * CHOOSE(CONTROL!$C$15, $D$11, 100%, $F$11)</f>
        <v>18.146100000000001</v>
      </c>
      <c r="G575" s="8">
        <f>CHOOSE( CONTROL!$C$32, 17.137, 17.1335) * CHOOSE( CONTROL!$C$15, $D$11, 100%, $F$11)</f>
        <v>17.137</v>
      </c>
      <c r="H575" s="4">
        <f>CHOOSE( CONTROL!$C$32, 18.074, 18.0705) * CHOOSE(CONTROL!$C$15, $D$11, 100%, $F$11)</f>
        <v>18.074000000000002</v>
      </c>
      <c r="I575" s="8">
        <f>CHOOSE( CONTROL!$C$32, 16.9465, 16.9431) * CHOOSE(CONTROL!$C$15, $D$11, 100%, $F$11)</f>
        <v>16.9465</v>
      </c>
      <c r="J575" s="4">
        <f>CHOOSE( CONTROL!$C$32, 16.8453, 16.8418) * CHOOSE(CONTROL!$C$15, $D$11, 100%, $F$11)</f>
        <v>16.845300000000002</v>
      </c>
      <c r="K575" s="4"/>
      <c r="L575" s="9">
        <v>30.7165</v>
      </c>
      <c r="M575" s="9">
        <v>12.063700000000001</v>
      </c>
      <c r="N575" s="9">
        <v>4.9444999999999997</v>
      </c>
      <c r="O575" s="9">
        <v>0.37409999999999999</v>
      </c>
      <c r="P575" s="9">
        <v>1.2183999999999999</v>
      </c>
      <c r="Q575" s="9">
        <v>19.688099999999999</v>
      </c>
      <c r="R575" s="9"/>
      <c r="S575" s="11"/>
    </row>
    <row r="576" spans="1:19" ht="15.75">
      <c r="A576" s="13">
        <v>59049</v>
      </c>
      <c r="B576" s="8">
        <f>CHOOSE( CONTROL!$C$32, 16.113, 16.1094) * CHOOSE(CONTROL!$C$15, $D$11, 100%, $F$11)</f>
        <v>16.113</v>
      </c>
      <c r="C576" s="8">
        <f>CHOOSE( CONTROL!$C$32, 16.121, 16.1175) * CHOOSE(CONTROL!$C$15, $D$11, 100%, $F$11)</f>
        <v>16.120999999999999</v>
      </c>
      <c r="D576" s="8">
        <f>CHOOSE( CONTROL!$C$32, 16.1277, 16.1241) * CHOOSE( CONTROL!$C$15, $D$11, 100%, $F$11)</f>
        <v>16.127700000000001</v>
      </c>
      <c r="E576" s="12">
        <f>CHOOSE( CONTROL!$C$32, 16.1241, 16.1205) * CHOOSE( CONTROL!$C$15, $D$11, 100%, $F$11)</f>
        <v>16.124099999999999</v>
      </c>
      <c r="F576" s="4">
        <f>CHOOSE( CONTROL!$C$32, 16.8013, 16.7977) * CHOOSE(CONTROL!$C$15, $D$11, 100%, $F$11)</f>
        <v>16.801300000000001</v>
      </c>
      <c r="G576" s="8">
        <f>CHOOSE( CONTROL!$C$32, 15.8146, 15.8111) * CHOOSE( CONTROL!$C$15, $D$11, 100%, $F$11)</f>
        <v>15.8146</v>
      </c>
      <c r="H576" s="4">
        <f>CHOOSE( CONTROL!$C$32, 16.7514, 16.7479) * CHOOSE(CONTROL!$C$15, $D$11, 100%, $F$11)</f>
        <v>16.7514</v>
      </c>
      <c r="I576" s="8">
        <f>CHOOSE( CONTROL!$C$32, 15.6463, 15.6428) * CHOOSE(CONTROL!$C$15, $D$11, 100%, $F$11)</f>
        <v>15.6463</v>
      </c>
      <c r="J576" s="4">
        <f>CHOOSE( CONTROL!$C$32, 15.5452, 15.5418) * CHOOSE(CONTROL!$C$15, $D$11, 100%, $F$11)</f>
        <v>15.545199999999999</v>
      </c>
      <c r="K576" s="4"/>
      <c r="L576" s="9">
        <v>30.7165</v>
      </c>
      <c r="M576" s="9">
        <v>12.063700000000001</v>
      </c>
      <c r="N576" s="9">
        <v>4.9444999999999997</v>
      </c>
      <c r="O576" s="9">
        <v>0.37409999999999999</v>
      </c>
      <c r="P576" s="9">
        <v>1.2183999999999999</v>
      </c>
      <c r="Q576" s="9">
        <v>19.688099999999999</v>
      </c>
      <c r="R576" s="9"/>
      <c r="S576" s="11"/>
    </row>
    <row r="577" spans="1:19" ht="15.75">
      <c r="A577" s="13">
        <v>59079</v>
      </c>
      <c r="B577" s="8">
        <f>CHOOSE( CONTROL!$C$32, 15.7762, 15.7727) * CHOOSE(CONTROL!$C$15, $D$11, 100%, $F$11)</f>
        <v>15.776199999999999</v>
      </c>
      <c r="C577" s="8">
        <f>CHOOSE( CONTROL!$C$32, 15.7843, 15.7807) * CHOOSE(CONTROL!$C$15, $D$11, 100%, $F$11)</f>
        <v>15.7843</v>
      </c>
      <c r="D577" s="8">
        <f>CHOOSE( CONTROL!$C$32, 15.7909, 15.7874) * CHOOSE( CONTROL!$C$15, $D$11, 100%, $F$11)</f>
        <v>15.790900000000001</v>
      </c>
      <c r="E577" s="12">
        <f>CHOOSE( CONTROL!$C$32, 15.7873, 15.7838) * CHOOSE( CONTROL!$C$15, $D$11, 100%, $F$11)</f>
        <v>15.7873</v>
      </c>
      <c r="F577" s="4">
        <f>CHOOSE( CONTROL!$C$32, 16.4645, 16.4609) * CHOOSE(CONTROL!$C$15, $D$11, 100%, $F$11)</f>
        <v>16.464500000000001</v>
      </c>
      <c r="G577" s="8">
        <f>CHOOSE( CONTROL!$C$32, 15.4834, 15.4799) * CHOOSE( CONTROL!$C$15, $D$11, 100%, $F$11)</f>
        <v>15.4834</v>
      </c>
      <c r="H577" s="4">
        <f>CHOOSE( CONTROL!$C$32, 16.4203, 16.4168) * CHOOSE(CONTROL!$C$15, $D$11, 100%, $F$11)</f>
        <v>16.420300000000001</v>
      </c>
      <c r="I577" s="8">
        <f>CHOOSE( CONTROL!$C$32, 15.3206, 15.3171) * CHOOSE(CONTROL!$C$15, $D$11, 100%, $F$11)</f>
        <v>15.320600000000001</v>
      </c>
      <c r="J577" s="4">
        <f>CHOOSE( CONTROL!$C$32, 15.2197, 15.2162) * CHOOSE(CONTROL!$C$15, $D$11, 100%, $F$11)</f>
        <v>15.2197</v>
      </c>
      <c r="K577" s="4"/>
      <c r="L577" s="9">
        <v>29.7257</v>
      </c>
      <c r="M577" s="9">
        <v>11.6745</v>
      </c>
      <c r="N577" s="9">
        <v>4.7850000000000001</v>
      </c>
      <c r="O577" s="9">
        <v>0.36199999999999999</v>
      </c>
      <c r="P577" s="9">
        <v>1.1791</v>
      </c>
      <c r="Q577" s="9">
        <v>19.053000000000001</v>
      </c>
      <c r="R577" s="9"/>
      <c r="S577" s="11"/>
    </row>
    <row r="578" spans="1:19" ht="15.75">
      <c r="A578" s="13">
        <v>59110</v>
      </c>
      <c r="B578" s="8">
        <f>16.4702 * CHOOSE(CONTROL!$C$15, $D$11, 100%, $F$11)</f>
        <v>16.470199999999998</v>
      </c>
      <c r="C578" s="8">
        <f>16.4756 * CHOOSE(CONTROL!$C$15, $D$11, 100%, $F$11)</f>
        <v>16.4756</v>
      </c>
      <c r="D578" s="8">
        <f>16.4871 * CHOOSE( CONTROL!$C$15, $D$11, 100%, $F$11)</f>
        <v>16.487100000000002</v>
      </c>
      <c r="E578" s="12">
        <f>16.4827 * CHOOSE( CONTROL!$C$15, $D$11, 100%, $F$11)</f>
        <v>16.482700000000001</v>
      </c>
      <c r="F578" s="4">
        <f>17.1602 * CHOOSE(CONTROL!$C$15, $D$11, 100%, $F$11)</f>
        <v>17.1602</v>
      </c>
      <c r="G578" s="8">
        <f>16.1671 * CHOOSE( CONTROL!$C$15, $D$11, 100%, $F$11)</f>
        <v>16.167100000000001</v>
      </c>
      <c r="H578" s="4">
        <f>17.1044 * CHOOSE(CONTROL!$C$15, $D$11, 100%, $F$11)</f>
        <v>17.104399999999998</v>
      </c>
      <c r="I578" s="8">
        <f>15.9941 * CHOOSE(CONTROL!$C$15, $D$11, 100%, $F$11)</f>
        <v>15.9941</v>
      </c>
      <c r="J578" s="4">
        <f>15.8922 * CHOOSE(CONTROL!$C$15, $D$11, 100%, $F$11)</f>
        <v>15.892200000000001</v>
      </c>
      <c r="K578" s="4"/>
      <c r="L578" s="9">
        <v>31.095300000000002</v>
      </c>
      <c r="M578" s="9">
        <v>12.063700000000001</v>
      </c>
      <c r="N578" s="9">
        <v>4.9444999999999997</v>
      </c>
      <c r="O578" s="9">
        <v>0.37409999999999999</v>
      </c>
      <c r="P578" s="9">
        <v>1.2183999999999999</v>
      </c>
      <c r="Q578" s="9">
        <v>19.688099999999999</v>
      </c>
      <c r="R578" s="9"/>
      <c r="S578" s="11"/>
    </row>
    <row r="579" spans="1:19" ht="15.75">
      <c r="A579" s="13">
        <v>59140</v>
      </c>
      <c r="B579" s="8">
        <f>17.7604 * CHOOSE(CONTROL!$C$15, $D$11, 100%, $F$11)</f>
        <v>17.760400000000001</v>
      </c>
      <c r="C579" s="8">
        <f>17.7656 * CHOOSE(CONTROL!$C$15, $D$11, 100%, $F$11)</f>
        <v>17.765599999999999</v>
      </c>
      <c r="D579" s="8">
        <f>17.7425 * CHOOSE( CONTROL!$C$15, $D$11, 100%, $F$11)</f>
        <v>17.7425</v>
      </c>
      <c r="E579" s="12">
        <f>17.7504 * CHOOSE( CONTROL!$C$15, $D$11, 100%, $F$11)</f>
        <v>17.750399999999999</v>
      </c>
      <c r="F579" s="4">
        <f>18.4053 * CHOOSE(CONTROL!$C$15, $D$11, 100%, $F$11)</f>
        <v>18.4053</v>
      </c>
      <c r="G579" s="8">
        <f>17.4471 * CHOOSE( CONTROL!$C$15, $D$11, 100%, $F$11)</f>
        <v>17.447099999999999</v>
      </c>
      <c r="H579" s="4">
        <f>18.3289 * CHOOSE(CONTROL!$C$15, $D$11, 100%, $F$11)</f>
        <v>18.328900000000001</v>
      </c>
      <c r="I579" s="8">
        <f>17.2671 * CHOOSE(CONTROL!$C$15, $D$11, 100%, $F$11)</f>
        <v>17.267099999999999</v>
      </c>
      <c r="J579" s="4">
        <f>17.1399 * CHOOSE(CONTROL!$C$15, $D$11, 100%, $F$11)</f>
        <v>17.139900000000001</v>
      </c>
      <c r="K579" s="4"/>
      <c r="L579" s="9">
        <v>28.360600000000002</v>
      </c>
      <c r="M579" s="9">
        <v>11.6745</v>
      </c>
      <c r="N579" s="9">
        <v>4.7850000000000001</v>
      </c>
      <c r="O579" s="9">
        <v>0.36199999999999999</v>
      </c>
      <c r="P579" s="9">
        <v>1.2509999999999999</v>
      </c>
      <c r="Q579" s="9">
        <v>19.053000000000001</v>
      </c>
      <c r="R579" s="9"/>
      <c r="S579" s="11"/>
    </row>
    <row r="580" spans="1:19" ht="15.75">
      <c r="A580" s="13">
        <v>59171</v>
      </c>
      <c r="B580" s="8">
        <f>17.7282 * CHOOSE(CONTROL!$C$15, $D$11, 100%, $F$11)</f>
        <v>17.728200000000001</v>
      </c>
      <c r="C580" s="8">
        <f>17.7333 * CHOOSE(CONTROL!$C$15, $D$11, 100%, $F$11)</f>
        <v>17.7333</v>
      </c>
      <c r="D580" s="8">
        <f>17.7116 * CHOOSE( CONTROL!$C$15, $D$11, 100%, $F$11)</f>
        <v>17.711600000000001</v>
      </c>
      <c r="E580" s="12">
        <f>17.719 * CHOOSE( CONTROL!$C$15, $D$11, 100%, $F$11)</f>
        <v>17.719000000000001</v>
      </c>
      <c r="F580" s="4">
        <f>18.3731 * CHOOSE(CONTROL!$C$15, $D$11, 100%, $F$11)</f>
        <v>18.373100000000001</v>
      </c>
      <c r="G580" s="8">
        <f>17.4164 * CHOOSE( CONTROL!$C$15, $D$11, 100%, $F$11)</f>
        <v>17.416399999999999</v>
      </c>
      <c r="H580" s="4">
        <f>18.2972 * CHOOSE(CONTROL!$C$15, $D$11, 100%, $F$11)</f>
        <v>18.2972</v>
      </c>
      <c r="I580" s="8">
        <f>17.2403 * CHOOSE(CONTROL!$C$15, $D$11, 100%, $F$11)</f>
        <v>17.240300000000001</v>
      </c>
      <c r="J580" s="4">
        <f>17.1087 * CHOOSE(CONTROL!$C$15, $D$11, 100%, $F$11)</f>
        <v>17.108699999999999</v>
      </c>
      <c r="K580" s="4"/>
      <c r="L580" s="9">
        <v>29.306000000000001</v>
      </c>
      <c r="M580" s="9">
        <v>12.063700000000001</v>
      </c>
      <c r="N580" s="9">
        <v>4.9444999999999997</v>
      </c>
      <c r="O580" s="9">
        <v>0.37409999999999999</v>
      </c>
      <c r="P580" s="9">
        <v>1.2927</v>
      </c>
      <c r="Q580" s="9">
        <v>19.688099999999999</v>
      </c>
      <c r="R580" s="9"/>
      <c r="S580" s="11"/>
    </row>
    <row r="581" spans="1:19" ht="15.75">
      <c r="A581" s="13">
        <v>59202</v>
      </c>
      <c r="B581" s="8">
        <f>18.4046 * CHOOSE(CONTROL!$C$15, $D$11, 100%, $F$11)</f>
        <v>18.404599999999999</v>
      </c>
      <c r="C581" s="8">
        <f>18.4097 * CHOOSE(CONTROL!$C$15, $D$11, 100%, $F$11)</f>
        <v>18.409700000000001</v>
      </c>
      <c r="D581" s="8">
        <f>18.3839 * CHOOSE( CONTROL!$C$15, $D$11, 100%, $F$11)</f>
        <v>18.383900000000001</v>
      </c>
      <c r="E581" s="12">
        <f>18.3928 * CHOOSE( CONTROL!$C$15, $D$11, 100%, $F$11)</f>
        <v>18.392800000000001</v>
      </c>
      <c r="F581" s="4">
        <f>19.0486 * CHOOSE(CONTROL!$C$15, $D$11, 100%, $F$11)</f>
        <v>19.0486</v>
      </c>
      <c r="G581" s="8">
        <f>18.0753 * CHOOSE( CONTROL!$C$15, $D$11, 100%, $F$11)</f>
        <v>18.075299999999999</v>
      </c>
      <c r="H581" s="4">
        <f>18.9615 * CHOOSE(CONTROL!$C$15, $D$11, 100%, $F$11)</f>
        <v>18.961500000000001</v>
      </c>
      <c r="I581" s="8">
        <f>17.8651 * CHOOSE(CONTROL!$C$15, $D$11, 100%, $F$11)</f>
        <v>17.865100000000002</v>
      </c>
      <c r="J581" s="4">
        <f>17.7626 * CHOOSE(CONTROL!$C$15, $D$11, 100%, $F$11)</f>
        <v>17.762599999999999</v>
      </c>
      <c r="K581" s="4"/>
      <c r="L581" s="9">
        <v>29.306000000000001</v>
      </c>
      <c r="M581" s="9">
        <v>12.063700000000001</v>
      </c>
      <c r="N581" s="9">
        <v>4.9444999999999997</v>
      </c>
      <c r="O581" s="9">
        <v>0.37409999999999999</v>
      </c>
      <c r="P581" s="9">
        <v>1.2927</v>
      </c>
      <c r="Q581" s="9">
        <v>19.688099999999999</v>
      </c>
      <c r="R581" s="9"/>
      <c r="S581" s="11"/>
    </row>
    <row r="582" spans="1:19" ht="15.75">
      <c r="A582" s="13">
        <v>59230</v>
      </c>
      <c r="B582" s="8">
        <f>17.2167 * CHOOSE(CONTROL!$C$15, $D$11, 100%, $F$11)</f>
        <v>17.216699999999999</v>
      </c>
      <c r="C582" s="8">
        <f>17.2218 * CHOOSE(CONTROL!$C$15, $D$11, 100%, $F$11)</f>
        <v>17.221800000000002</v>
      </c>
      <c r="D582" s="8">
        <f>17.1962 * CHOOSE( CONTROL!$C$15, $D$11, 100%, $F$11)</f>
        <v>17.196200000000001</v>
      </c>
      <c r="E582" s="12">
        <f>17.205 * CHOOSE( CONTROL!$C$15, $D$11, 100%, $F$11)</f>
        <v>17.204999999999998</v>
      </c>
      <c r="F582" s="4">
        <f>17.8608 * CHOOSE(CONTROL!$C$15, $D$11, 100%, $F$11)</f>
        <v>17.860800000000001</v>
      </c>
      <c r="G582" s="8">
        <f>16.9073 * CHOOSE( CONTROL!$C$15, $D$11, 100%, $F$11)</f>
        <v>16.907299999999999</v>
      </c>
      <c r="H582" s="4">
        <f>17.7934 * CHOOSE(CONTROL!$C$15, $D$11, 100%, $F$11)</f>
        <v>17.793399999999998</v>
      </c>
      <c r="I582" s="8">
        <f>16.7169 * CHOOSE(CONTROL!$C$15, $D$11, 100%, $F$11)</f>
        <v>16.716899999999999</v>
      </c>
      <c r="J582" s="4">
        <f>16.6142 * CHOOSE(CONTROL!$C$15, $D$11, 100%, $F$11)</f>
        <v>16.6142</v>
      </c>
      <c r="K582" s="4"/>
      <c r="L582" s="9">
        <v>26.469899999999999</v>
      </c>
      <c r="M582" s="9">
        <v>10.8962</v>
      </c>
      <c r="N582" s="9">
        <v>4.4660000000000002</v>
      </c>
      <c r="O582" s="9">
        <v>0.33789999999999998</v>
      </c>
      <c r="P582" s="9">
        <v>1.1676</v>
      </c>
      <c r="Q582" s="9">
        <v>17.782800000000002</v>
      </c>
      <c r="R582" s="9"/>
      <c r="S582" s="11"/>
    </row>
    <row r="583" spans="1:19" ht="15.75">
      <c r="A583" s="13">
        <v>59261</v>
      </c>
      <c r="B583" s="8">
        <f>16.8509 * CHOOSE(CONTROL!$C$15, $D$11, 100%, $F$11)</f>
        <v>16.850899999999999</v>
      </c>
      <c r="C583" s="8">
        <f>16.856 * CHOOSE(CONTROL!$C$15, $D$11, 100%, $F$11)</f>
        <v>16.856000000000002</v>
      </c>
      <c r="D583" s="8">
        <f>16.8303 * CHOOSE( CONTROL!$C$15, $D$11, 100%, $F$11)</f>
        <v>16.830300000000001</v>
      </c>
      <c r="E583" s="12">
        <f>16.8392 * CHOOSE( CONTROL!$C$15, $D$11, 100%, $F$11)</f>
        <v>16.839200000000002</v>
      </c>
      <c r="F583" s="4">
        <f>17.4949 * CHOOSE(CONTROL!$C$15, $D$11, 100%, $F$11)</f>
        <v>17.494900000000001</v>
      </c>
      <c r="G583" s="8">
        <f>16.5475 * CHOOSE( CONTROL!$C$15, $D$11, 100%, $F$11)</f>
        <v>16.547499999999999</v>
      </c>
      <c r="H583" s="4">
        <f>17.4336 * CHOOSE(CONTROL!$C$15, $D$11, 100%, $F$11)</f>
        <v>17.433599999999998</v>
      </c>
      <c r="I583" s="8">
        <f>16.3628 * CHOOSE(CONTROL!$C$15, $D$11, 100%, $F$11)</f>
        <v>16.3628</v>
      </c>
      <c r="J583" s="4">
        <f>16.2606 * CHOOSE(CONTROL!$C$15, $D$11, 100%, $F$11)</f>
        <v>16.2606</v>
      </c>
      <c r="K583" s="4"/>
      <c r="L583" s="9">
        <v>29.306000000000001</v>
      </c>
      <c r="M583" s="9">
        <v>12.063700000000001</v>
      </c>
      <c r="N583" s="9">
        <v>4.9444999999999997</v>
      </c>
      <c r="O583" s="9">
        <v>0.37409999999999999</v>
      </c>
      <c r="P583" s="9">
        <v>1.2927</v>
      </c>
      <c r="Q583" s="9">
        <v>19.688099999999999</v>
      </c>
      <c r="R583" s="9"/>
      <c r="S583" s="11"/>
    </row>
    <row r="584" spans="1:19" ht="15.75">
      <c r="A584" s="13">
        <v>59291</v>
      </c>
      <c r="B584" s="8">
        <f>17.1073 * CHOOSE(CONTROL!$C$15, $D$11, 100%, $F$11)</f>
        <v>17.107299999999999</v>
      </c>
      <c r="C584" s="8">
        <f>17.1118 * CHOOSE(CONTROL!$C$15, $D$11, 100%, $F$11)</f>
        <v>17.111799999999999</v>
      </c>
      <c r="D584" s="8">
        <f>17.1229 * CHOOSE( CONTROL!$C$15, $D$11, 100%, $F$11)</f>
        <v>17.122900000000001</v>
      </c>
      <c r="E584" s="12">
        <f>17.1187 * CHOOSE( CONTROL!$C$15, $D$11, 100%, $F$11)</f>
        <v>17.1187</v>
      </c>
      <c r="F584" s="4">
        <f>17.7969 * CHOOSE(CONTROL!$C$15, $D$11, 100%, $F$11)</f>
        <v>17.796900000000001</v>
      </c>
      <c r="G584" s="8">
        <f>16.7917 * CHOOSE( CONTROL!$C$15, $D$11, 100%, $F$11)</f>
        <v>16.791699999999999</v>
      </c>
      <c r="H584" s="4">
        <f>17.7306 * CHOOSE(CONTROL!$C$15, $D$11, 100%, $F$11)</f>
        <v>17.730599999999999</v>
      </c>
      <c r="I584" s="8">
        <f>16.6051 * CHOOSE(CONTROL!$C$15, $D$11, 100%, $F$11)</f>
        <v>16.6051</v>
      </c>
      <c r="J584" s="4">
        <f>16.5077 * CHOOSE(CONTROL!$C$15, $D$11, 100%, $F$11)</f>
        <v>16.5077</v>
      </c>
      <c r="K584" s="4"/>
      <c r="L584" s="9">
        <v>30.092199999999998</v>
      </c>
      <c r="M584" s="9">
        <v>11.6745</v>
      </c>
      <c r="N584" s="9">
        <v>4.7850000000000001</v>
      </c>
      <c r="O584" s="9">
        <v>0.36199999999999999</v>
      </c>
      <c r="P584" s="9">
        <v>1.1791</v>
      </c>
      <c r="Q584" s="9">
        <v>19.053000000000001</v>
      </c>
      <c r="R584" s="9"/>
      <c r="S584" s="11"/>
    </row>
    <row r="585" spans="1:19" ht="15.75">
      <c r="A585" s="13">
        <v>59322</v>
      </c>
      <c r="B585" s="8">
        <f>CHOOSE( CONTROL!$C$32, 17.5672, 17.5637) * CHOOSE(CONTROL!$C$15, $D$11, 100%, $F$11)</f>
        <v>17.5672</v>
      </c>
      <c r="C585" s="8">
        <f>CHOOSE( CONTROL!$C$32, 17.5752, 17.5717) * CHOOSE(CONTROL!$C$15, $D$11, 100%, $F$11)</f>
        <v>17.575199999999999</v>
      </c>
      <c r="D585" s="8">
        <f>CHOOSE( CONTROL!$C$32, 17.5813, 17.5777) * CHOOSE( CONTROL!$C$15, $D$11, 100%, $F$11)</f>
        <v>17.581299999999999</v>
      </c>
      <c r="E585" s="12">
        <f>CHOOSE( CONTROL!$C$32, 17.5779, 17.5743) * CHOOSE( CONTROL!$C$15, $D$11, 100%, $F$11)</f>
        <v>17.5779</v>
      </c>
      <c r="F585" s="4">
        <f>CHOOSE( CONTROL!$C$32, 18.2555, 18.2519) * CHOOSE(CONTROL!$C$15, $D$11, 100%, $F$11)</f>
        <v>18.255500000000001</v>
      </c>
      <c r="G585" s="8">
        <f>CHOOSE( CONTROL!$C$32, 17.2437, 17.2402) * CHOOSE( CONTROL!$C$15, $D$11, 100%, $F$11)</f>
        <v>17.2437</v>
      </c>
      <c r="H585" s="4">
        <f>CHOOSE( CONTROL!$C$32, 18.1816, 18.1781) * CHOOSE(CONTROL!$C$15, $D$11, 100%, $F$11)</f>
        <v>18.1816</v>
      </c>
      <c r="I585" s="8">
        <f>CHOOSE( CONTROL!$C$32, 17.0495, 17.0461) * CHOOSE(CONTROL!$C$15, $D$11, 100%, $F$11)</f>
        <v>17.049499999999998</v>
      </c>
      <c r="J585" s="4">
        <f>CHOOSE( CONTROL!$C$32, 16.951, 16.9476) * CHOOSE(CONTROL!$C$15, $D$11, 100%, $F$11)</f>
        <v>16.951000000000001</v>
      </c>
      <c r="K585" s="4"/>
      <c r="L585" s="9">
        <v>30.7165</v>
      </c>
      <c r="M585" s="9">
        <v>12.063700000000001</v>
      </c>
      <c r="N585" s="9">
        <v>4.9444999999999997</v>
      </c>
      <c r="O585" s="9">
        <v>0.37409999999999999</v>
      </c>
      <c r="P585" s="9">
        <v>1.2183999999999999</v>
      </c>
      <c r="Q585" s="9">
        <v>19.688099999999999</v>
      </c>
      <c r="R585" s="9"/>
      <c r="S585" s="11"/>
    </row>
    <row r="586" spans="1:19" ht="15.75">
      <c r="A586" s="13">
        <v>59352</v>
      </c>
      <c r="B586" s="8">
        <f>CHOOSE( CONTROL!$C$32, 17.2854, 17.2818) * CHOOSE(CONTROL!$C$15, $D$11, 100%, $F$11)</f>
        <v>17.285399999999999</v>
      </c>
      <c r="C586" s="8">
        <f>CHOOSE( CONTROL!$C$32, 17.2934, 17.2898) * CHOOSE(CONTROL!$C$15, $D$11, 100%, $F$11)</f>
        <v>17.293399999999998</v>
      </c>
      <c r="D586" s="8">
        <f>CHOOSE( CONTROL!$C$32, 17.2997, 17.2961) * CHOOSE( CONTROL!$C$15, $D$11, 100%, $F$11)</f>
        <v>17.299700000000001</v>
      </c>
      <c r="E586" s="12">
        <f>CHOOSE( CONTROL!$C$32, 17.2962, 17.2926) * CHOOSE( CONTROL!$C$15, $D$11, 100%, $F$11)</f>
        <v>17.296199999999999</v>
      </c>
      <c r="F586" s="4">
        <f>CHOOSE( CONTROL!$C$32, 17.9736, 17.9701) * CHOOSE(CONTROL!$C$15, $D$11, 100%, $F$11)</f>
        <v>17.973600000000001</v>
      </c>
      <c r="G586" s="8">
        <f>CHOOSE( CONTROL!$C$32, 16.9669, 16.9634) * CHOOSE( CONTROL!$C$15, $D$11, 100%, $F$11)</f>
        <v>16.966899999999999</v>
      </c>
      <c r="H586" s="4">
        <f>CHOOSE( CONTROL!$C$32, 17.9044, 17.9009) * CHOOSE(CONTROL!$C$15, $D$11, 100%, $F$11)</f>
        <v>17.904399999999999</v>
      </c>
      <c r="I586" s="8">
        <f>CHOOSE( CONTROL!$C$32, 16.7783, 16.7748) * CHOOSE(CONTROL!$C$15, $D$11, 100%, $F$11)</f>
        <v>16.778300000000002</v>
      </c>
      <c r="J586" s="4">
        <f>CHOOSE( CONTROL!$C$32, 16.6785, 16.6751) * CHOOSE(CONTROL!$C$15, $D$11, 100%, $F$11)</f>
        <v>16.6785</v>
      </c>
      <c r="K586" s="4"/>
      <c r="L586" s="9">
        <v>29.7257</v>
      </c>
      <c r="M586" s="9">
        <v>11.6745</v>
      </c>
      <c r="N586" s="9">
        <v>4.7850000000000001</v>
      </c>
      <c r="O586" s="9">
        <v>0.36199999999999999</v>
      </c>
      <c r="P586" s="9">
        <v>1.1791</v>
      </c>
      <c r="Q586" s="9">
        <v>19.053000000000001</v>
      </c>
      <c r="R586" s="9"/>
      <c r="S586" s="11"/>
    </row>
    <row r="587" spans="1:19" ht="15.75">
      <c r="A587" s="13">
        <v>59383</v>
      </c>
      <c r="B587" s="8">
        <f>CHOOSE( CONTROL!$C$32, 18.0276, 18.0241) * CHOOSE(CONTROL!$C$15, $D$11, 100%, $F$11)</f>
        <v>18.0276</v>
      </c>
      <c r="C587" s="8">
        <f>CHOOSE( CONTROL!$C$32, 18.0356, 18.0321) * CHOOSE(CONTROL!$C$15, $D$11, 100%, $F$11)</f>
        <v>18.035599999999999</v>
      </c>
      <c r="D587" s="8">
        <f>CHOOSE( CONTROL!$C$32, 18.0422, 18.0387) * CHOOSE( CONTROL!$C$15, $D$11, 100%, $F$11)</f>
        <v>18.042200000000001</v>
      </c>
      <c r="E587" s="12">
        <f>CHOOSE( CONTROL!$C$32, 18.0386, 18.0351) * CHOOSE( CONTROL!$C$15, $D$11, 100%, $F$11)</f>
        <v>18.038599999999999</v>
      </c>
      <c r="F587" s="4">
        <f>CHOOSE( CONTROL!$C$32, 18.7159, 18.7123) * CHOOSE(CONTROL!$C$15, $D$11, 100%, $F$11)</f>
        <v>18.715900000000001</v>
      </c>
      <c r="G587" s="8">
        <f>CHOOSE( CONTROL!$C$32, 17.6973, 17.6938) * CHOOSE( CONTROL!$C$15, $D$11, 100%, $F$11)</f>
        <v>17.697299999999998</v>
      </c>
      <c r="H587" s="4">
        <f>CHOOSE( CONTROL!$C$32, 18.6343, 18.6308) * CHOOSE(CONTROL!$C$15, $D$11, 100%, $F$11)</f>
        <v>18.6343</v>
      </c>
      <c r="I587" s="8">
        <f>CHOOSE( CONTROL!$C$32, 17.4976, 17.4942) * CHOOSE(CONTROL!$C$15, $D$11, 100%, $F$11)</f>
        <v>17.497599999999998</v>
      </c>
      <c r="J587" s="4">
        <f>CHOOSE( CONTROL!$C$32, 17.3961, 17.3926) * CHOOSE(CONTROL!$C$15, $D$11, 100%, $F$11)</f>
        <v>17.396100000000001</v>
      </c>
      <c r="K587" s="4"/>
      <c r="L587" s="9">
        <v>30.7165</v>
      </c>
      <c r="M587" s="9">
        <v>12.063700000000001</v>
      </c>
      <c r="N587" s="9">
        <v>4.9444999999999997</v>
      </c>
      <c r="O587" s="9">
        <v>0.37409999999999999</v>
      </c>
      <c r="P587" s="9">
        <v>1.2183999999999999</v>
      </c>
      <c r="Q587" s="9">
        <v>19.688099999999999</v>
      </c>
      <c r="R587" s="9"/>
      <c r="S587" s="11"/>
    </row>
    <row r="588" spans="1:19" ht="15.75">
      <c r="A588" s="13">
        <v>59414</v>
      </c>
      <c r="B588" s="8">
        <f>CHOOSE( CONTROL!$C$32, 16.6388, 16.6352) * CHOOSE(CONTROL!$C$15, $D$11, 100%, $F$11)</f>
        <v>16.6388</v>
      </c>
      <c r="C588" s="8">
        <f>CHOOSE( CONTROL!$C$32, 16.6468, 16.6432) * CHOOSE(CONTROL!$C$15, $D$11, 100%, $F$11)</f>
        <v>16.646799999999999</v>
      </c>
      <c r="D588" s="8">
        <f>CHOOSE( CONTROL!$C$32, 16.6535, 16.6499) * CHOOSE( CONTROL!$C$15, $D$11, 100%, $F$11)</f>
        <v>16.653500000000001</v>
      </c>
      <c r="E588" s="12">
        <f>CHOOSE( CONTROL!$C$32, 16.6499, 16.6463) * CHOOSE( CONTROL!$C$15, $D$11, 100%, $F$11)</f>
        <v>16.649899999999999</v>
      </c>
      <c r="F588" s="4">
        <f>CHOOSE( CONTROL!$C$32, 17.3271, 17.3235) * CHOOSE(CONTROL!$C$15, $D$11, 100%, $F$11)</f>
        <v>17.327100000000002</v>
      </c>
      <c r="G588" s="8">
        <f>CHOOSE( CONTROL!$C$32, 16.3317, 16.3282) * CHOOSE( CONTROL!$C$15, $D$11, 100%, $F$11)</f>
        <v>16.331700000000001</v>
      </c>
      <c r="H588" s="4">
        <f>CHOOSE( CONTROL!$C$32, 17.2685, 17.265) * CHOOSE(CONTROL!$C$15, $D$11, 100%, $F$11)</f>
        <v>17.2685</v>
      </c>
      <c r="I588" s="8">
        <f>CHOOSE( CONTROL!$C$32, 16.1548, 16.1514) * CHOOSE(CONTROL!$C$15, $D$11, 100%, $F$11)</f>
        <v>16.154800000000002</v>
      </c>
      <c r="J588" s="4">
        <f>CHOOSE( CONTROL!$C$32, 16.0535, 16.05) * CHOOSE(CONTROL!$C$15, $D$11, 100%, $F$11)</f>
        <v>16.0535</v>
      </c>
      <c r="K588" s="4"/>
      <c r="L588" s="9">
        <v>30.7165</v>
      </c>
      <c r="M588" s="9">
        <v>12.063700000000001</v>
      </c>
      <c r="N588" s="9">
        <v>4.9444999999999997</v>
      </c>
      <c r="O588" s="9">
        <v>0.37409999999999999</v>
      </c>
      <c r="P588" s="9">
        <v>1.2183999999999999</v>
      </c>
      <c r="Q588" s="9">
        <v>19.688099999999999</v>
      </c>
      <c r="R588" s="9"/>
      <c r="S588" s="11"/>
    </row>
    <row r="589" spans="1:19" ht="15.75">
      <c r="A589" s="13">
        <v>59444</v>
      </c>
      <c r="B589" s="8">
        <f>CHOOSE( CONTROL!$C$32, 16.291, 16.2874) * CHOOSE(CONTROL!$C$15, $D$11, 100%, $F$11)</f>
        <v>16.291</v>
      </c>
      <c r="C589" s="8">
        <f>CHOOSE( CONTROL!$C$32, 16.299, 16.2955) * CHOOSE(CONTROL!$C$15, $D$11, 100%, $F$11)</f>
        <v>16.298999999999999</v>
      </c>
      <c r="D589" s="8">
        <f>CHOOSE( CONTROL!$C$32, 16.3057, 16.3021) * CHOOSE( CONTROL!$C$15, $D$11, 100%, $F$11)</f>
        <v>16.305700000000002</v>
      </c>
      <c r="E589" s="12">
        <f>CHOOSE( CONTROL!$C$32, 16.3021, 16.2985) * CHOOSE( CONTROL!$C$15, $D$11, 100%, $F$11)</f>
        <v>16.302099999999999</v>
      </c>
      <c r="F589" s="4">
        <f>CHOOSE( CONTROL!$C$32, 16.9793, 16.9757) * CHOOSE(CONTROL!$C$15, $D$11, 100%, $F$11)</f>
        <v>16.979299999999999</v>
      </c>
      <c r="G589" s="8">
        <f>CHOOSE( CONTROL!$C$32, 15.9897, 15.9861) * CHOOSE( CONTROL!$C$15, $D$11, 100%, $F$11)</f>
        <v>15.989699999999999</v>
      </c>
      <c r="H589" s="4">
        <f>CHOOSE( CONTROL!$C$32, 16.9265, 16.923) * CHOOSE(CONTROL!$C$15, $D$11, 100%, $F$11)</f>
        <v>16.926500000000001</v>
      </c>
      <c r="I589" s="8">
        <f>CHOOSE( CONTROL!$C$32, 15.8185, 15.815) * CHOOSE(CONTROL!$C$15, $D$11, 100%, $F$11)</f>
        <v>15.8185</v>
      </c>
      <c r="J589" s="4">
        <f>CHOOSE( CONTROL!$C$32, 15.7173, 15.7138) * CHOOSE(CONTROL!$C$15, $D$11, 100%, $F$11)</f>
        <v>15.7173</v>
      </c>
      <c r="K589" s="4"/>
      <c r="L589" s="9">
        <v>29.7257</v>
      </c>
      <c r="M589" s="9">
        <v>11.6745</v>
      </c>
      <c r="N589" s="9">
        <v>4.7850000000000001</v>
      </c>
      <c r="O589" s="9">
        <v>0.36199999999999999</v>
      </c>
      <c r="P589" s="9">
        <v>1.1791</v>
      </c>
      <c r="Q589" s="9">
        <v>19.053000000000001</v>
      </c>
      <c r="R589" s="9"/>
      <c r="S589" s="11"/>
    </row>
    <row r="590" spans="1:19" ht="15.75">
      <c r="A590" s="13">
        <v>59475</v>
      </c>
      <c r="B590" s="8">
        <f>17.0078 * CHOOSE(CONTROL!$C$15, $D$11, 100%, $F$11)</f>
        <v>17.0078</v>
      </c>
      <c r="C590" s="8">
        <f>17.0132 * CHOOSE(CONTROL!$C$15, $D$11, 100%, $F$11)</f>
        <v>17.013200000000001</v>
      </c>
      <c r="D590" s="8">
        <f>17.0247 * CHOOSE( CONTROL!$C$15, $D$11, 100%, $F$11)</f>
        <v>17.024699999999999</v>
      </c>
      <c r="E590" s="12">
        <f>17.0203 * CHOOSE( CONTROL!$C$15, $D$11, 100%, $F$11)</f>
        <v>17.020299999999999</v>
      </c>
      <c r="F590" s="4">
        <f>17.6978 * CHOOSE(CONTROL!$C$15, $D$11, 100%, $F$11)</f>
        <v>17.697800000000001</v>
      </c>
      <c r="G590" s="8">
        <f>16.6958 * CHOOSE( CONTROL!$C$15, $D$11, 100%, $F$11)</f>
        <v>16.695799999999998</v>
      </c>
      <c r="H590" s="4">
        <f>17.6331 * CHOOSE(CONTROL!$C$15, $D$11, 100%, $F$11)</f>
        <v>17.633099999999999</v>
      </c>
      <c r="I590" s="8">
        <f>16.5141 * CHOOSE(CONTROL!$C$15, $D$11, 100%, $F$11)</f>
        <v>16.514099999999999</v>
      </c>
      <c r="J590" s="4">
        <f>16.4119 * CHOOSE(CONTROL!$C$15, $D$11, 100%, $F$11)</f>
        <v>16.411899999999999</v>
      </c>
      <c r="K590" s="4"/>
      <c r="L590" s="9">
        <v>31.095300000000002</v>
      </c>
      <c r="M590" s="9">
        <v>12.063700000000001</v>
      </c>
      <c r="N590" s="9">
        <v>4.9444999999999997</v>
      </c>
      <c r="O590" s="9">
        <v>0.37409999999999999</v>
      </c>
      <c r="P590" s="9">
        <v>1.2183999999999999</v>
      </c>
      <c r="Q590" s="9">
        <v>19.688099999999999</v>
      </c>
      <c r="R590" s="9"/>
      <c r="S590" s="11"/>
    </row>
    <row r="591" spans="1:19" ht="15.75">
      <c r="A591" s="13">
        <v>59505</v>
      </c>
      <c r="B591" s="8">
        <f>18.3403 * CHOOSE(CONTROL!$C$15, $D$11, 100%, $F$11)</f>
        <v>18.340299999999999</v>
      </c>
      <c r="C591" s="8">
        <f>18.3454 * CHOOSE(CONTROL!$C$15, $D$11, 100%, $F$11)</f>
        <v>18.345400000000001</v>
      </c>
      <c r="D591" s="8">
        <f>18.3224 * CHOOSE( CONTROL!$C$15, $D$11, 100%, $F$11)</f>
        <v>18.322399999999998</v>
      </c>
      <c r="E591" s="12">
        <f>18.3303 * CHOOSE( CONTROL!$C$15, $D$11, 100%, $F$11)</f>
        <v>18.330300000000001</v>
      </c>
      <c r="F591" s="4">
        <f>18.9852 * CHOOSE(CONTROL!$C$15, $D$11, 100%, $F$11)</f>
        <v>18.985199999999999</v>
      </c>
      <c r="G591" s="8">
        <f>18.0173 * CHOOSE( CONTROL!$C$15, $D$11, 100%, $F$11)</f>
        <v>18.017299999999999</v>
      </c>
      <c r="H591" s="4">
        <f>18.8991 * CHOOSE(CONTROL!$C$15, $D$11, 100%, $F$11)</f>
        <v>18.899100000000001</v>
      </c>
      <c r="I591" s="8">
        <f>17.8279 * CHOOSE(CONTROL!$C$15, $D$11, 100%, $F$11)</f>
        <v>17.8279</v>
      </c>
      <c r="J591" s="4">
        <f>17.7004 * CHOOSE(CONTROL!$C$15, $D$11, 100%, $F$11)</f>
        <v>17.700399999999998</v>
      </c>
      <c r="K591" s="4"/>
      <c r="L591" s="9">
        <v>28.360600000000002</v>
      </c>
      <c r="M591" s="9">
        <v>11.6745</v>
      </c>
      <c r="N591" s="9">
        <v>4.7850000000000001</v>
      </c>
      <c r="O591" s="9">
        <v>0.36199999999999999</v>
      </c>
      <c r="P591" s="9">
        <v>1.2509999999999999</v>
      </c>
      <c r="Q591" s="9">
        <v>19.053000000000001</v>
      </c>
      <c r="R591" s="9"/>
      <c r="S591" s="11"/>
    </row>
    <row r="592" spans="1:19" ht="15.75">
      <c r="A592" s="13">
        <v>59536</v>
      </c>
      <c r="B592" s="8">
        <f>18.307 * CHOOSE(CONTROL!$C$15, $D$11, 100%, $F$11)</f>
        <v>18.306999999999999</v>
      </c>
      <c r="C592" s="8">
        <f>18.3121 * CHOOSE(CONTROL!$C$15, $D$11, 100%, $F$11)</f>
        <v>18.312100000000001</v>
      </c>
      <c r="D592" s="8">
        <f>18.2904 * CHOOSE( CONTROL!$C$15, $D$11, 100%, $F$11)</f>
        <v>18.290400000000002</v>
      </c>
      <c r="E592" s="12">
        <f>18.2978 * CHOOSE( CONTROL!$C$15, $D$11, 100%, $F$11)</f>
        <v>18.297799999999999</v>
      </c>
      <c r="F592" s="4">
        <f>18.9519 * CHOOSE(CONTROL!$C$15, $D$11, 100%, $F$11)</f>
        <v>18.951899999999998</v>
      </c>
      <c r="G592" s="8">
        <f>17.9856 * CHOOSE( CONTROL!$C$15, $D$11, 100%, $F$11)</f>
        <v>17.985600000000002</v>
      </c>
      <c r="H592" s="4">
        <f>18.8664 * CHOOSE(CONTROL!$C$15, $D$11, 100%, $F$11)</f>
        <v>18.866399999999999</v>
      </c>
      <c r="I592" s="8">
        <f>17.8001 * CHOOSE(CONTROL!$C$15, $D$11, 100%, $F$11)</f>
        <v>17.8001</v>
      </c>
      <c r="J592" s="4">
        <f>17.6682 * CHOOSE(CONTROL!$C$15, $D$11, 100%, $F$11)</f>
        <v>17.668199999999999</v>
      </c>
      <c r="K592" s="4"/>
      <c r="L592" s="9">
        <v>29.306000000000001</v>
      </c>
      <c r="M592" s="9">
        <v>12.063700000000001</v>
      </c>
      <c r="N592" s="9">
        <v>4.9444999999999997</v>
      </c>
      <c r="O592" s="9">
        <v>0.37409999999999999</v>
      </c>
      <c r="P592" s="9">
        <v>1.2927</v>
      </c>
      <c r="Q592" s="9">
        <v>19.688099999999999</v>
      </c>
      <c r="R592" s="9"/>
      <c r="S592" s="11"/>
    </row>
    <row r="593" spans="1:19" ht="15.75">
      <c r="A593" s="13">
        <v>59567</v>
      </c>
      <c r="B593" s="8">
        <f>19.0055 * CHOOSE(CONTROL!$C$15, $D$11, 100%, $F$11)</f>
        <v>19.005500000000001</v>
      </c>
      <c r="C593" s="8">
        <f>19.0106 * CHOOSE(CONTROL!$C$15, $D$11, 100%, $F$11)</f>
        <v>19.0106</v>
      </c>
      <c r="D593" s="8">
        <f>18.9848 * CHOOSE( CONTROL!$C$15, $D$11, 100%, $F$11)</f>
        <v>18.9848</v>
      </c>
      <c r="E593" s="12">
        <f>18.9937 * CHOOSE( CONTROL!$C$15, $D$11, 100%, $F$11)</f>
        <v>18.9937</v>
      </c>
      <c r="F593" s="4">
        <f>19.6495 * CHOOSE(CONTROL!$C$15, $D$11, 100%, $F$11)</f>
        <v>19.6495</v>
      </c>
      <c r="G593" s="8">
        <f>18.6663 * CHOOSE( CONTROL!$C$15, $D$11, 100%, $F$11)</f>
        <v>18.6663</v>
      </c>
      <c r="H593" s="4">
        <f>19.5525 * CHOOSE(CONTROL!$C$15, $D$11, 100%, $F$11)</f>
        <v>19.552499999999998</v>
      </c>
      <c r="I593" s="8">
        <f>18.4463 * CHOOSE(CONTROL!$C$15, $D$11, 100%, $F$11)</f>
        <v>18.446300000000001</v>
      </c>
      <c r="J593" s="4">
        <f>18.3435 * CHOOSE(CONTROL!$C$15, $D$11, 100%, $F$11)</f>
        <v>18.343499999999999</v>
      </c>
      <c r="K593" s="4"/>
      <c r="L593" s="9">
        <v>29.306000000000001</v>
      </c>
      <c r="M593" s="9">
        <v>12.063700000000001</v>
      </c>
      <c r="N593" s="9">
        <v>4.9444999999999997</v>
      </c>
      <c r="O593" s="9">
        <v>0.37409999999999999</v>
      </c>
      <c r="P593" s="9">
        <v>1.2927</v>
      </c>
      <c r="Q593" s="9">
        <v>19.688099999999999</v>
      </c>
      <c r="R593" s="9"/>
      <c r="S593" s="11"/>
    </row>
    <row r="594" spans="1:19" ht="15.75">
      <c r="A594" s="13">
        <v>59595</v>
      </c>
      <c r="B594" s="8">
        <f>17.7788 * CHOOSE(CONTROL!$C$15, $D$11, 100%, $F$11)</f>
        <v>17.7788</v>
      </c>
      <c r="C594" s="8">
        <f>17.7839 * CHOOSE(CONTROL!$C$15, $D$11, 100%, $F$11)</f>
        <v>17.783899999999999</v>
      </c>
      <c r="D594" s="8">
        <f>17.7583 * CHOOSE( CONTROL!$C$15, $D$11, 100%, $F$11)</f>
        <v>17.758299999999998</v>
      </c>
      <c r="E594" s="12">
        <f>17.7671 * CHOOSE( CONTROL!$C$15, $D$11, 100%, $F$11)</f>
        <v>17.767099999999999</v>
      </c>
      <c r="F594" s="4">
        <f>18.4228 * CHOOSE(CONTROL!$C$15, $D$11, 100%, $F$11)</f>
        <v>18.422799999999999</v>
      </c>
      <c r="G594" s="8">
        <f>17.46 * CHOOSE( CONTROL!$C$15, $D$11, 100%, $F$11)</f>
        <v>17.46</v>
      </c>
      <c r="H594" s="4">
        <f>18.3461 * CHOOSE(CONTROL!$C$15, $D$11, 100%, $F$11)</f>
        <v>18.3461</v>
      </c>
      <c r="I594" s="8">
        <f>17.2605 * CHOOSE(CONTROL!$C$15, $D$11, 100%, $F$11)</f>
        <v>17.2605</v>
      </c>
      <c r="J594" s="4">
        <f>17.1576 * CHOOSE(CONTROL!$C$15, $D$11, 100%, $F$11)</f>
        <v>17.157599999999999</v>
      </c>
      <c r="K594" s="4"/>
      <c r="L594" s="9">
        <v>26.469899999999999</v>
      </c>
      <c r="M594" s="9">
        <v>10.8962</v>
      </c>
      <c r="N594" s="9">
        <v>4.4660000000000002</v>
      </c>
      <c r="O594" s="9">
        <v>0.33789999999999998</v>
      </c>
      <c r="P594" s="9">
        <v>1.1676</v>
      </c>
      <c r="Q594" s="9">
        <v>17.782800000000002</v>
      </c>
      <c r="R594" s="9"/>
      <c r="S594" s="11"/>
    </row>
    <row r="595" spans="1:19" ht="15.75">
      <c r="A595" s="13">
        <v>59626</v>
      </c>
      <c r="B595" s="8">
        <f>17.401 * CHOOSE(CONTROL!$C$15, $D$11, 100%, $F$11)</f>
        <v>17.401</v>
      </c>
      <c r="C595" s="8">
        <f>17.4061 * CHOOSE(CONTROL!$C$15, $D$11, 100%, $F$11)</f>
        <v>17.406099999999999</v>
      </c>
      <c r="D595" s="8">
        <f>17.3804 * CHOOSE( CONTROL!$C$15, $D$11, 100%, $F$11)</f>
        <v>17.380400000000002</v>
      </c>
      <c r="E595" s="12">
        <f>17.3893 * CHOOSE( CONTROL!$C$15, $D$11, 100%, $F$11)</f>
        <v>17.389299999999999</v>
      </c>
      <c r="F595" s="4">
        <f>18.045 * CHOOSE(CONTROL!$C$15, $D$11, 100%, $F$11)</f>
        <v>18.045000000000002</v>
      </c>
      <c r="G595" s="8">
        <f>17.0884 * CHOOSE( CONTROL!$C$15, $D$11, 100%, $F$11)</f>
        <v>17.0884</v>
      </c>
      <c r="H595" s="4">
        <f>17.9745 * CHOOSE(CONTROL!$C$15, $D$11, 100%, $F$11)</f>
        <v>17.974499999999999</v>
      </c>
      <c r="I595" s="8">
        <f>16.8949 * CHOOSE(CONTROL!$C$15, $D$11, 100%, $F$11)</f>
        <v>16.8949</v>
      </c>
      <c r="J595" s="4">
        <f>16.7923 * CHOOSE(CONTROL!$C$15, $D$11, 100%, $F$11)</f>
        <v>16.792300000000001</v>
      </c>
      <c r="K595" s="4"/>
      <c r="L595" s="9">
        <v>29.306000000000001</v>
      </c>
      <c r="M595" s="9">
        <v>12.063700000000001</v>
      </c>
      <c r="N595" s="9">
        <v>4.9444999999999997</v>
      </c>
      <c r="O595" s="9">
        <v>0.37409999999999999</v>
      </c>
      <c r="P595" s="9">
        <v>1.2927</v>
      </c>
      <c r="Q595" s="9">
        <v>19.688099999999999</v>
      </c>
      <c r="R595" s="9"/>
      <c r="S595" s="11"/>
    </row>
    <row r="596" spans="1:19" ht="15.75">
      <c r="A596" s="13">
        <v>59656</v>
      </c>
      <c r="B596" s="8">
        <f>17.6658 * CHOOSE(CONTROL!$C$15, $D$11, 100%, $F$11)</f>
        <v>17.665800000000001</v>
      </c>
      <c r="C596" s="8">
        <f>17.6703 * CHOOSE(CONTROL!$C$15, $D$11, 100%, $F$11)</f>
        <v>17.670300000000001</v>
      </c>
      <c r="D596" s="8">
        <f>17.6813 * CHOOSE( CONTROL!$C$15, $D$11, 100%, $F$11)</f>
        <v>17.6813</v>
      </c>
      <c r="E596" s="12">
        <f>17.6772 * CHOOSE( CONTROL!$C$15, $D$11, 100%, $F$11)</f>
        <v>17.677199999999999</v>
      </c>
      <c r="F596" s="4">
        <f>18.3554 * CHOOSE(CONTROL!$C$15, $D$11, 100%, $F$11)</f>
        <v>18.355399999999999</v>
      </c>
      <c r="G596" s="8">
        <f>17.3409 * CHOOSE( CONTROL!$C$15, $D$11, 100%, $F$11)</f>
        <v>17.340900000000001</v>
      </c>
      <c r="H596" s="4">
        <f>18.2798 * CHOOSE(CONTROL!$C$15, $D$11, 100%, $F$11)</f>
        <v>18.279800000000002</v>
      </c>
      <c r="I596" s="8">
        <f>17.1453 * CHOOSE(CONTROL!$C$15, $D$11, 100%, $F$11)</f>
        <v>17.145299999999999</v>
      </c>
      <c r="J596" s="4">
        <f>17.0476 * CHOOSE(CONTROL!$C$15, $D$11, 100%, $F$11)</f>
        <v>17.047599999999999</v>
      </c>
      <c r="K596" s="4"/>
      <c r="L596" s="9">
        <v>30.092199999999998</v>
      </c>
      <c r="M596" s="9">
        <v>11.6745</v>
      </c>
      <c r="N596" s="9">
        <v>4.7850000000000001</v>
      </c>
      <c r="O596" s="9">
        <v>0.36199999999999999</v>
      </c>
      <c r="P596" s="9">
        <v>1.1791</v>
      </c>
      <c r="Q596" s="9">
        <v>19.053000000000001</v>
      </c>
      <c r="R596" s="9"/>
      <c r="S596" s="11"/>
    </row>
    <row r="597" spans="1:19" ht="15.75">
      <c r="A597" s="13">
        <v>59687</v>
      </c>
      <c r="B597" s="8">
        <f>CHOOSE( CONTROL!$C$32, 18.1406, 18.137) * CHOOSE(CONTROL!$C$15, $D$11, 100%, $F$11)</f>
        <v>18.140599999999999</v>
      </c>
      <c r="C597" s="8">
        <f>CHOOSE( CONTROL!$C$32, 18.1486, 18.145) * CHOOSE(CONTROL!$C$15, $D$11, 100%, $F$11)</f>
        <v>18.148599999999998</v>
      </c>
      <c r="D597" s="8">
        <f>CHOOSE( CONTROL!$C$32, 18.1546, 18.151) * CHOOSE( CONTROL!$C$15, $D$11, 100%, $F$11)</f>
        <v>18.154599999999999</v>
      </c>
      <c r="E597" s="12">
        <f>CHOOSE( CONTROL!$C$32, 18.1512, 18.1476) * CHOOSE( CONTROL!$C$15, $D$11, 100%, $F$11)</f>
        <v>18.151199999999999</v>
      </c>
      <c r="F597" s="4">
        <f>CHOOSE( CONTROL!$C$32, 18.8288, 18.8253) * CHOOSE(CONTROL!$C$15, $D$11, 100%, $F$11)</f>
        <v>18.828800000000001</v>
      </c>
      <c r="G597" s="8">
        <f>CHOOSE( CONTROL!$C$32, 17.8075, 17.804) * CHOOSE( CONTROL!$C$15, $D$11, 100%, $F$11)</f>
        <v>17.807500000000001</v>
      </c>
      <c r="H597" s="4">
        <f>CHOOSE( CONTROL!$C$32, 18.7454, 18.7419) * CHOOSE(CONTROL!$C$15, $D$11, 100%, $F$11)</f>
        <v>18.7454</v>
      </c>
      <c r="I597" s="8">
        <f>CHOOSE( CONTROL!$C$32, 17.6041, 17.6006) * CHOOSE(CONTROL!$C$15, $D$11, 100%, $F$11)</f>
        <v>17.604099999999999</v>
      </c>
      <c r="J597" s="4">
        <f>CHOOSE( CONTROL!$C$32, 17.5053, 17.5018) * CHOOSE(CONTROL!$C$15, $D$11, 100%, $F$11)</f>
        <v>17.505299999999998</v>
      </c>
      <c r="K597" s="4"/>
      <c r="L597" s="9">
        <v>30.7165</v>
      </c>
      <c r="M597" s="9">
        <v>12.063700000000001</v>
      </c>
      <c r="N597" s="9">
        <v>4.9444999999999997</v>
      </c>
      <c r="O597" s="9">
        <v>0.37409999999999999</v>
      </c>
      <c r="P597" s="9">
        <v>1.2183999999999999</v>
      </c>
      <c r="Q597" s="9">
        <v>19.688099999999999</v>
      </c>
      <c r="R597" s="9"/>
      <c r="S597" s="11"/>
    </row>
    <row r="598" spans="1:19" ht="15.75">
      <c r="A598" s="13">
        <v>59717</v>
      </c>
      <c r="B598" s="8">
        <f>CHOOSE( CONTROL!$C$32, 17.8495, 17.8459) * CHOOSE(CONTROL!$C$15, $D$11, 100%, $F$11)</f>
        <v>17.849499999999999</v>
      </c>
      <c r="C598" s="8">
        <f>CHOOSE( CONTROL!$C$32, 17.8575, 17.8539) * CHOOSE(CONTROL!$C$15, $D$11, 100%, $F$11)</f>
        <v>17.857500000000002</v>
      </c>
      <c r="D598" s="8">
        <f>CHOOSE( CONTROL!$C$32, 17.8638, 17.8602) * CHOOSE( CONTROL!$C$15, $D$11, 100%, $F$11)</f>
        <v>17.863800000000001</v>
      </c>
      <c r="E598" s="12">
        <f>CHOOSE( CONTROL!$C$32, 17.8603, 17.8567) * CHOOSE( CONTROL!$C$15, $D$11, 100%, $F$11)</f>
        <v>17.860299999999999</v>
      </c>
      <c r="F598" s="4">
        <f>CHOOSE( CONTROL!$C$32, 18.5378, 18.5342) * CHOOSE(CONTROL!$C$15, $D$11, 100%, $F$11)</f>
        <v>18.537800000000001</v>
      </c>
      <c r="G598" s="8">
        <f>CHOOSE( CONTROL!$C$32, 17.5217, 17.5182) * CHOOSE( CONTROL!$C$15, $D$11, 100%, $F$11)</f>
        <v>17.521699999999999</v>
      </c>
      <c r="H598" s="4">
        <f>CHOOSE( CONTROL!$C$32, 18.4591, 18.4556) * CHOOSE(CONTROL!$C$15, $D$11, 100%, $F$11)</f>
        <v>18.459099999999999</v>
      </c>
      <c r="I598" s="8">
        <f>CHOOSE( CONTROL!$C$32, 17.3239, 17.3204) * CHOOSE(CONTROL!$C$15, $D$11, 100%, $F$11)</f>
        <v>17.323899999999998</v>
      </c>
      <c r="J598" s="4">
        <f>CHOOSE( CONTROL!$C$32, 17.2239, 17.2204) * CHOOSE(CONTROL!$C$15, $D$11, 100%, $F$11)</f>
        <v>17.2239</v>
      </c>
      <c r="K598" s="4"/>
      <c r="L598" s="9">
        <v>29.7257</v>
      </c>
      <c r="M598" s="9">
        <v>11.6745</v>
      </c>
      <c r="N598" s="9">
        <v>4.7850000000000001</v>
      </c>
      <c r="O598" s="9">
        <v>0.36199999999999999</v>
      </c>
      <c r="P598" s="9">
        <v>1.1791</v>
      </c>
      <c r="Q598" s="9">
        <v>19.053000000000001</v>
      </c>
      <c r="R598" s="9"/>
      <c r="S598" s="11"/>
    </row>
    <row r="599" spans="1:19" ht="15.75">
      <c r="A599" s="13">
        <v>59748</v>
      </c>
      <c r="B599" s="8">
        <f>CHOOSE( CONTROL!$C$32, 18.616, 18.6125) * CHOOSE(CONTROL!$C$15, $D$11, 100%, $F$11)</f>
        <v>18.616</v>
      </c>
      <c r="C599" s="8">
        <f>CHOOSE( CONTROL!$C$32, 18.624, 18.6205) * CHOOSE(CONTROL!$C$15, $D$11, 100%, $F$11)</f>
        <v>18.623999999999999</v>
      </c>
      <c r="D599" s="8">
        <f>CHOOSE( CONTROL!$C$32, 18.6306, 18.6271) * CHOOSE( CONTROL!$C$15, $D$11, 100%, $F$11)</f>
        <v>18.630600000000001</v>
      </c>
      <c r="E599" s="12">
        <f>CHOOSE( CONTROL!$C$32, 18.627, 18.6235) * CHOOSE( CONTROL!$C$15, $D$11, 100%, $F$11)</f>
        <v>18.626999999999999</v>
      </c>
      <c r="F599" s="4">
        <f>CHOOSE( CONTROL!$C$32, 19.3043, 19.3007) * CHOOSE(CONTROL!$C$15, $D$11, 100%, $F$11)</f>
        <v>19.304300000000001</v>
      </c>
      <c r="G599" s="8">
        <f>CHOOSE( CONTROL!$C$32, 18.276, 18.2725) * CHOOSE( CONTROL!$C$15, $D$11, 100%, $F$11)</f>
        <v>18.276</v>
      </c>
      <c r="H599" s="4">
        <f>CHOOSE( CONTROL!$C$32, 19.213, 19.2094) * CHOOSE(CONTROL!$C$15, $D$11, 100%, $F$11)</f>
        <v>19.213000000000001</v>
      </c>
      <c r="I599" s="8">
        <f>CHOOSE( CONTROL!$C$32, 18.0667, 18.0633) * CHOOSE(CONTROL!$C$15, $D$11, 100%, $F$11)</f>
        <v>18.066700000000001</v>
      </c>
      <c r="J599" s="4">
        <f>CHOOSE( CONTROL!$C$32, 17.9649, 17.9614) * CHOOSE(CONTROL!$C$15, $D$11, 100%, $F$11)</f>
        <v>17.9649</v>
      </c>
      <c r="K599" s="4"/>
      <c r="L599" s="9">
        <v>30.7165</v>
      </c>
      <c r="M599" s="9">
        <v>12.063700000000001</v>
      </c>
      <c r="N599" s="9">
        <v>4.9444999999999997</v>
      </c>
      <c r="O599" s="9">
        <v>0.37409999999999999</v>
      </c>
      <c r="P599" s="9">
        <v>1.2183999999999999</v>
      </c>
      <c r="Q599" s="9">
        <v>19.688099999999999</v>
      </c>
      <c r="R599" s="9"/>
      <c r="S599" s="11"/>
    </row>
    <row r="600" spans="1:19" ht="15.75">
      <c r="A600" s="13">
        <v>59779</v>
      </c>
      <c r="B600" s="8">
        <f>CHOOSE( CONTROL!$C$32, 17.1818, 17.1782) * CHOOSE(CONTROL!$C$15, $D$11, 100%, $F$11)</f>
        <v>17.181799999999999</v>
      </c>
      <c r="C600" s="8">
        <f>CHOOSE( CONTROL!$C$32, 17.1898, 17.1862) * CHOOSE(CONTROL!$C$15, $D$11, 100%, $F$11)</f>
        <v>17.189800000000002</v>
      </c>
      <c r="D600" s="8">
        <f>CHOOSE( CONTROL!$C$32, 17.1965, 17.1929) * CHOOSE( CONTROL!$C$15, $D$11, 100%, $F$11)</f>
        <v>17.1965</v>
      </c>
      <c r="E600" s="12">
        <f>CHOOSE( CONTROL!$C$32, 17.1929, 17.1893) * CHOOSE( CONTROL!$C$15, $D$11, 100%, $F$11)</f>
        <v>17.192900000000002</v>
      </c>
      <c r="F600" s="4">
        <f>CHOOSE( CONTROL!$C$32, 17.87, 17.8665) * CHOOSE(CONTROL!$C$15, $D$11, 100%, $F$11)</f>
        <v>17.87</v>
      </c>
      <c r="G600" s="8">
        <f>CHOOSE( CONTROL!$C$32, 16.8656, 16.8621) * CHOOSE( CONTROL!$C$15, $D$11, 100%, $F$11)</f>
        <v>16.865600000000001</v>
      </c>
      <c r="H600" s="4">
        <f>CHOOSE( CONTROL!$C$32, 17.8025, 17.799) * CHOOSE(CONTROL!$C$15, $D$11, 100%, $F$11)</f>
        <v>17.802499999999998</v>
      </c>
      <c r="I600" s="8">
        <f>CHOOSE( CONTROL!$C$32, 16.68, 16.6765) * CHOOSE(CONTROL!$C$15, $D$11, 100%, $F$11)</f>
        <v>16.68</v>
      </c>
      <c r="J600" s="4">
        <f>CHOOSE( CONTROL!$C$32, 16.5784, 16.5749) * CHOOSE(CONTROL!$C$15, $D$11, 100%, $F$11)</f>
        <v>16.578399999999998</v>
      </c>
      <c r="K600" s="4"/>
      <c r="L600" s="9">
        <v>30.7165</v>
      </c>
      <c r="M600" s="9">
        <v>12.063700000000001</v>
      </c>
      <c r="N600" s="9">
        <v>4.9444999999999997</v>
      </c>
      <c r="O600" s="9">
        <v>0.37409999999999999</v>
      </c>
      <c r="P600" s="9">
        <v>1.2183999999999999</v>
      </c>
      <c r="Q600" s="9">
        <v>19.688099999999999</v>
      </c>
      <c r="R600" s="9"/>
      <c r="S600" s="11"/>
    </row>
    <row r="601" spans="1:19" ht="15.75">
      <c r="A601" s="13">
        <v>59809</v>
      </c>
      <c r="B601" s="8">
        <f>CHOOSE( CONTROL!$C$32, 16.8226, 16.819) * CHOOSE(CONTROL!$C$15, $D$11, 100%, $F$11)</f>
        <v>16.822600000000001</v>
      </c>
      <c r="C601" s="8">
        <f>CHOOSE( CONTROL!$C$32, 16.8306, 16.8271) * CHOOSE(CONTROL!$C$15, $D$11, 100%, $F$11)</f>
        <v>16.8306</v>
      </c>
      <c r="D601" s="8">
        <f>CHOOSE( CONTROL!$C$32, 16.8373, 16.8338) * CHOOSE( CONTROL!$C$15, $D$11, 100%, $F$11)</f>
        <v>16.837299999999999</v>
      </c>
      <c r="E601" s="12">
        <f>CHOOSE( CONTROL!$C$32, 16.8337, 16.8301) * CHOOSE( CONTROL!$C$15, $D$11, 100%, $F$11)</f>
        <v>16.8337</v>
      </c>
      <c r="F601" s="4">
        <f>CHOOSE( CONTROL!$C$32, 17.5109, 17.5073) * CHOOSE(CONTROL!$C$15, $D$11, 100%, $F$11)</f>
        <v>17.510899999999999</v>
      </c>
      <c r="G601" s="8">
        <f>CHOOSE( CONTROL!$C$32, 16.5124, 16.5089) * CHOOSE( CONTROL!$C$15, $D$11, 100%, $F$11)</f>
        <v>16.5124</v>
      </c>
      <c r="H601" s="4">
        <f>CHOOSE( CONTROL!$C$32, 17.4493, 17.4458) * CHOOSE(CONTROL!$C$15, $D$11, 100%, $F$11)</f>
        <v>17.449300000000001</v>
      </c>
      <c r="I601" s="8">
        <f>CHOOSE( CONTROL!$C$32, 16.3326, 16.3292) * CHOOSE(CONTROL!$C$15, $D$11, 100%, $F$11)</f>
        <v>16.332599999999999</v>
      </c>
      <c r="J601" s="4">
        <f>CHOOSE( CONTROL!$C$32, 16.2312, 16.2277) * CHOOSE(CONTROL!$C$15, $D$11, 100%, $F$11)</f>
        <v>16.231200000000001</v>
      </c>
      <c r="K601" s="4"/>
      <c r="L601" s="9">
        <v>29.7257</v>
      </c>
      <c r="M601" s="9">
        <v>11.6745</v>
      </c>
      <c r="N601" s="9">
        <v>4.7850000000000001</v>
      </c>
      <c r="O601" s="9">
        <v>0.36199999999999999</v>
      </c>
      <c r="P601" s="9">
        <v>1.1791</v>
      </c>
      <c r="Q601" s="9">
        <v>19.053000000000001</v>
      </c>
      <c r="R601" s="9"/>
      <c r="S601" s="11"/>
    </row>
    <row r="602" spans="1:19" ht="15.75">
      <c r="A602" s="13">
        <v>59840</v>
      </c>
      <c r="B602" s="8">
        <f>17.563 * CHOOSE(CONTROL!$C$15, $D$11, 100%, $F$11)</f>
        <v>17.562999999999999</v>
      </c>
      <c r="C602" s="8">
        <f>17.5684 * CHOOSE(CONTROL!$C$15, $D$11, 100%, $F$11)</f>
        <v>17.5684</v>
      </c>
      <c r="D602" s="8">
        <f>17.58 * CHOOSE( CONTROL!$C$15, $D$11, 100%, $F$11)</f>
        <v>17.579999999999998</v>
      </c>
      <c r="E602" s="12">
        <f>17.5756 * CHOOSE( CONTROL!$C$15, $D$11, 100%, $F$11)</f>
        <v>17.575600000000001</v>
      </c>
      <c r="F602" s="4">
        <f>18.253 * CHOOSE(CONTROL!$C$15, $D$11, 100%, $F$11)</f>
        <v>18.253</v>
      </c>
      <c r="G602" s="8">
        <f>17.2418 * CHOOSE( CONTROL!$C$15, $D$11, 100%, $F$11)</f>
        <v>17.241800000000001</v>
      </c>
      <c r="H602" s="4">
        <f>18.1791 * CHOOSE(CONTROL!$C$15, $D$11, 100%, $F$11)</f>
        <v>18.179099999999998</v>
      </c>
      <c r="I602" s="8">
        <f>17.0511 * CHOOSE(CONTROL!$C$15, $D$11, 100%, $F$11)</f>
        <v>17.051100000000002</v>
      </c>
      <c r="J602" s="4">
        <f>16.9486 * CHOOSE(CONTROL!$C$15, $D$11, 100%, $F$11)</f>
        <v>16.948599999999999</v>
      </c>
      <c r="K602" s="4"/>
      <c r="L602" s="9">
        <v>31.095300000000002</v>
      </c>
      <c r="M602" s="9">
        <v>12.063700000000001</v>
      </c>
      <c r="N602" s="9">
        <v>4.9444999999999997</v>
      </c>
      <c r="O602" s="9">
        <v>0.37409999999999999</v>
      </c>
      <c r="P602" s="9">
        <v>1.2183999999999999</v>
      </c>
      <c r="Q602" s="9">
        <v>19.688099999999999</v>
      </c>
      <c r="R602" s="9"/>
      <c r="S602" s="11"/>
    </row>
    <row r="603" spans="1:19" ht="15.75">
      <c r="A603" s="13">
        <v>59870</v>
      </c>
      <c r="B603" s="8">
        <f>18.9391 * CHOOSE(CONTROL!$C$15, $D$11, 100%, $F$11)</f>
        <v>18.9391</v>
      </c>
      <c r="C603" s="8">
        <f>18.9442 * CHOOSE(CONTROL!$C$15, $D$11, 100%, $F$11)</f>
        <v>18.944199999999999</v>
      </c>
      <c r="D603" s="8">
        <f>18.9212 * CHOOSE( CONTROL!$C$15, $D$11, 100%, $F$11)</f>
        <v>18.921199999999999</v>
      </c>
      <c r="E603" s="12">
        <f>18.9291 * CHOOSE( CONTROL!$C$15, $D$11, 100%, $F$11)</f>
        <v>18.929099999999998</v>
      </c>
      <c r="F603" s="4">
        <f>19.584 * CHOOSE(CONTROL!$C$15, $D$11, 100%, $F$11)</f>
        <v>19.584</v>
      </c>
      <c r="G603" s="8">
        <f>18.6062 * CHOOSE( CONTROL!$C$15, $D$11, 100%, $F$11)</f>
        <v>18.606200000000001</v>
      </c>
      <c r="H603" s="4">
        <f>19.488 * CHOOSE(CONTROL!$C$15, $D$11, 100%, $F$11)</f>
        <v>19.488</v>
      </c>
      <c r="I603" s="8">
        <f>18.4071 * CHOOSE(CONTROL!$C$15, $D$11, 100%, $F$11)</f>
        <v>18.4071</v>
      </c>
      <c r="J603" s="4">
        <f>18.2793 * CHOOSE(CONTROL!$C$15, $D$11, 100%, $F$11)</f>
        <v>18.279299999999999</v>
      </c>
      <c r="K603" s="4"/>
      <c r="L603" s="9">
        <v>28.360600000000002</v>
      </c>
      <c r="M603" s="9">
        <v>11.6745</v>
      </c>
      <c r="N603" s="9">
        <v>4.7850000000000001</v>
      </c>
      <c r="O603" s="9">
        <v>0.36199999999999999</v>
      </c>
      <c r="P603" s="9">
        <v>1.2509999999999999</v>
      </c>
      <c r="Q603" s="9">
        <v>19.053000000000001</v>
      </c>
      <c r="R603" s="9"/>
      <c r="S603" s="11"/>
    </row>
    <row r="604" spans="1:19" ht="15.75">
      <c r="A604" s="13">
        <v>59901</v>
      </c>
      <c r="B604" s="8">
        <f>18.9047 * CHOOSE(CONTROL!$C$15, $D$11, 100%, $F$11)</f>
        <v>18.904699999999998</v>
      </c>
      <c r="C604" s="8">
        <f>18.9098 * CHOOSE(CONTROL!$C$15, $D$11, 100%, $F$11)</f>
        <v>18.909800000000001</v>
      </c>
      <c r="D604" s="8">
        <f>18.8881 * CHOOSE( CONTROL!$C$15, $D$11, 100%, $F$11)</f>
        <v>18.888100000000001</v>
      </c>
      <c r="E604" s="12">
        <f>18.8955 * CHOOSE( CONTROL!$C$15, $D$11, 100%, $F$11)</f>
        <v>18.895499999999998</v>
      </c>
      <c r="F604" s="4">
        <f>19.5496 * CHOOSE(CONTROL!$C$15, $D$11, 100%, $F$11)</f>
        <v>19.549600000000002</v>
      </c>
      <c r="G604" s="8">
        <f>18.5734 * CHOOSE( CONTROL!$C$15, $D$11, 100%, $F$11)</f>
        <v>18.573399999999999</v>
      </c>
      <c r="H604" s="4">
        <f>19.4542 * CHOOSE(CONTROL!$C$15, $D$11, 100%, $F$11)</f>
        <v>19.4542</v>
      </c>
      <c r="I604" s="8">
        <f>18.3782 * CHOOSE(CONTROL!$C$15, $D$11, 100%, $F$11)</f>
        <v>18.3782</v>
      </c>
      <c r="J604" s="4">
        <f>18.246 * CHOOSE(CONTROL!$C$15, $D$11, 100%, $F$11)</f>
        <v>18.245999999999999</v>
      </c>
      <c r="K604" s="4"/>
      <c r="L604" s="9">
        <v>29.306000000000001</v>
      </c>
      <c r="M604" s="9">
        <v>12.063700000000001</v>
      </c>
      <c r="N604" s="9">
        <v>4.9444999999999997</v>
      </c>
      <c r="O604" s="9">
        <v>0.37409999999999999</v>
      </c>
      <c r="P604" s="9">
        <v>1.2927</v>
      </c>
      <c r="Q604" s="9">
        <v>19.688099999999999</v>
      </c>
      <c r="R604" s="9"/>
      <c r="S604" s="11"/>
    </row>
    <row r="605" spans="1:19" ht="15.75">
      <c r="A605" s="13">
        <v>59932</v>
      </c>
      <c r="B605" s="8">
        <f>19.6261 * CHOOSE(CONTROL!$C$15, $D$11, 100%, $F$11)</f>
        <v>19.626100000000001</v>
      </c>
      <c r="C605" s="8">
        <f>19.6312 * CHOOSE(CONTROL!$C$15, $D$11, 100%, $F$11)</f>
        <v>19.6312</v>
      </c>
      <c r="D605" s="8">
        <f>19.6054 * CHOOSE( CONTROL!$C$15, $D$11, 100%, $F$11)</f>
        <v>19.605399999999999</v>
      </c>
      <c r="E605" s="12">
        <f>19.6143 * CHOOSE( CONTROL!$C$15, $D$11, 100%, $F$11)</f>
        <v>19.6143</v>
      </c>
      <c r="F605" s="4">
        <f>20.2701 * CHOOSE(CONTROL!$C$15, $D$11, 100%, $F$11)</f>
        <v>20.270099999999999</v>
      </c>
      <c r="G605" s="8">
        <f>19.2765 * CHOOSE( CONTROL!$C$15, $D$11, 100%, $F$11)</f>
        <v>19.276499999999999</v>
      </c>
      <c r="H605" s="4">
        <f>20.1628 * CHOOSE(CONTROL!$C$15, $D$11, 100%, $F$11)</f>
        <v>20.162800000000001</v>
      </c>
      <c r="I605" s="8">
        <f>19.0465 * CHOOSE(CONTROL!$C$15, $D$11, 100%, $F$11)</f>
        <v>19.046500000000002</v>
      </c>
      <c r="J605" s="4">
        <f>18.9434 * CHOOSE(CONTROL!$C$15, $D$11, 100%, $F$11)</f>
        <v>18.9434</v>
      </c>
      <c r="K605" s="4"/>
      <c r="L605" s="9">
        <v>29.306000000000001</v>
      </c>
      <c r="M605" s="9">
        <v>12.063700000000001</v>
      </c>
      <c r="N605" s="9">
        <v>4.9444999999999997</v>
      </c>
      <c r="O605" s="9">
        <v>0.37409999999999999</v>
      </c>
      <c r="P605" s="9">
        <v>1.2927</v>
      </c>
      <c r="Q605" s="9">
        <v>19.688099999999999</v>
      </c>
      <c r="R605" s="9"/>
      <c r="S605" s="11"/>
    </row>
    <row r="606" spans="1:19" ht="15.75">
      <c r="A606" s="13">
        <v>59961</v>
      </c>
      <c r="B606" s="8">
        <f>18.3592 * CHOOSE(CONTROL!$C$15, $D$11, 100%, $F$11)</f>
        <v>18.359200000000001</v>
      </c>
      <c r="C606" s="8">
        <f>18.3644 * CHOOSE(CONTROL!$C$15, $D$11, 100%, $F$11)</f>
        <v>18.3644</v>
      </c>
      <c r="D606" s="8">
        <f>18.3388 * CHOOSE( CONTROL!$C$15, $D$11, 100%, $F$11)</f>
        <v>18.338799999999999</v>
      </c>
      <c r="E606" s="12">
        <f>18.3476 * CHOOSE( CONTROL!$C$15, $D$11, 100%, $F$11)</f>
        <v>18.3476</v>
      </c>
      <c r="F606" s="4">
        <f>19.0033 * CHOOSE(CONTROL!$C$15, $D$11, 100%, $F$11)</f>
        <v>19.003299999999999</v>
      </c>
      <c r="G606" s="8">
        <f>18.0309 * CHOOSE( CONTROL!$C$15, $D$11, 100%, $F$11)</f>
        <v>18.030899999999999</v>
      </c>
      <c r="H606" s="4">
        <f>18.9169 * CHOOSE(CONTROL!$C$15, $D$11, 100%, $F$11)</f>
        <v>18.916899999999998</v>
      </c>
      <c r="I606" s="8">
        <f>17.8219 * CHOOSE(CONTROL!$C$15, $D$11, 100%, $F$11)</f>
        <v>17.821899999999999</v>
      </c>
      <c r="J606" s="4">
        <f>17.7187 * CHOOSE(CONTROL!$C$15, $D$11, 100%, $F$11)</f>
        <v>17.718699999999998</v>
      </c>
      <c r="K606" s="4"/>
      <c r="L606" s="9">
        <v>27.415299999999998</v>
      </c>
      <c r="M606" s="9">
        <v>11.285299999999999</v>
      </c>
      <c r="N606" s="9">
        <v>4.6254999999999997</v>
      </c>
      <c r="O606" s="9">
        <v>0.34989999999999999</v>
      </c>
      <c r="P606" s="9">
        <v>1.2093</v>
      </c>
      <c r="Q606" s="9">
        <v>18.417899999999999</v>
      </c>
      <c r="R606" s="9"/>
      <c r="S606" s="11"/>
    </row>
    <row r="607" spans="1:19" ht="15.75">
      <c r="A607" s="13">
        <v>59992</v>
      </c>
      <c r="B607" s="8">
        <f>17.9691 * CHOOSE(CONTROL!$C$15, $D$11, 100%, $F$11)</f>
        <v>17.969100000000001</v>
      </c>
      <c r="C607" s="8">
        <f>17.9742 * CHOOSE(CONTROL!$C$15, $D$11, 100%, $F$11)</f>
        <v>17.9742</v>
      </c>
      <c r="D607" s="8">
        <f>17.9485 * CHOOSE( CONTROL!$C$15, $D$11, 100%, $F$11)</f>
        <v>17.948499999999999</v>
      </c>
      <c r="E607" s="12">
        <f>17.9574 * CHOOSE( CONTROL!$C$15, $D$11, 100%, $F$11)</f>
        <v>17.9574</v>
      </c>
      <c r="F607" s="4">
        <f>18.6131 * CHOOSE(CONTROL!$C$15, $D$11, 100%, $F$11)</f>
        <v>18.613099999999999</v>
      </c>
      <c r="G607" s="8">
        <f>17.6471 * CHOOSE( CONTROL!$C$15, $D$11, 100%, $F$11)</f>
        <v>17.647099999999998</v>
      </c>
      <c r="H607" s="4">
        <f>18.5332 * CHOOSE(CONTROL!$C$15, $D$11, 100%, $F$11)</f>
        <v>18.533200000000001</v>
      </c>
      <c r="I607" s="8">
        <f>17.4443 * CHOOSE(CONTROL!$C$15, $D$11, 100%, $F$11)</f>
        <v>17.444299999999998</v>
      </c>
      <c r="J607" s="4">
        <f>17.3415 * CHOOSE(CONTROL!$C$15, $D$11, 100%, $F$11)</f>
        <v>17.3415</v>
      </c>
      <c r="K607" s="4"/>
      <c r="L607" s="9">
        <v>29.306000000000001</v>
      </c>
      <c r="M607" s="9">
        <v>12.063700000000001</v>
      </c>
      <c r="N607" s="9">
        <v>4.9444999999999997</v>
      </c>
      <c r="O607" s="9">
        <v>0.37409999999999999</v>
      </c>
      <c r="P607" s="9">
        <v>1.2927</v>
      </c>
      <c r="Q607" s="9">
        <v>19.688099999999999</v>
      </c>
      <c r="R607" s="9"/>
      <c r="S607" s="11"/>
    </row>
    <row r="608" spans="1:19" ht="15.75">
      <c r="A608" s="13">
        <v>60022</v>
      </c>
      <c r="B608" s="8">
        <f>18.2425 * CHOOSE(CONTROL!$C$15, $D$11, 100%, $F$11)</f>
        <v>18.2425</v>
      </c>
      <c r="C608" s="8">
        <f>18.247 * CHOOSE(CONTROL!$C$15, $D$11, 100%, $F$11)</f>
        <v>18.247</v>
      </c>
      <c r="D608" s="8">
        <f>18.258 * CHOOSE( CONTROL!$C$15, $D$11, 100%, $F$11)</f>
        <v>18.257999999999999</v>
      </c>
      <c r="E608" s="12">
        <f>18.2539 * CHOOSE( CONTROL!$C$15, $D$11, 100%, $F$11)</f>
        <v>18.253900000000002</v>
      </c>
      <c r="F608" s="4">
        <f>18.9321 * CHOOSE(CONTROL!$C$15, $D$11, 100%, $F$11)</f>
        <v>18.932099999999998</v>
      </c>
      <c r="G608" s="8">
        <f>17.9081 * CHOOSE( CONTROL!$C$15, $D$11, 100%, $F$11)</f>
        <v>17.908100000000001</v>
      </c>
      <c r="H608" s="4">
        <f>18.8469 * CHOOSE(CONTROL!$C$15, $D$11, 100%, $F$11)</f>
        <v>18.846900000000002</v>
      </c>
      <c r="I608" s="8">
        <f>17.7031 * CHOOSE(CONTROL!$C$15, $D$11, 100%, $F$11)</f>
        <v>17.703099999999999</v>
      </c>
      <c r="J608" s="4">
        <f>17.6051 * CHOOSE(CONTROL!$C$15, $D$11, 100%, $F$11)</f>
        <v>17.6051</v>
      </c>
      <c r="K608" s="4"/>
      <c r="L608" s="9">
        <v>30.092199999999998</v>
      </c>
      <c r="M608" s="9">
        <v>11.6745</v>
      </c>
      <c r="N608" s="9">
        <v>4.7850000000000001</v>
      </c>
      <c r="O608" s="9">
        <v>0.36199999999999999</v>
      </c>
      <c r="P608" s="9">
        <v>1.1791</v>
      </c>
      <c r="Q608" s="9">
        <v>19.053000000000001</v>
      </c>
      <c r="R608" s="9"/>
      <c r="S608" s="11"/>
    </row>
    <row r="609" spans="1:19" ht="15.75">
      <c r="A609" s="13">
        <v>60053</v>
      </c>
      <c r="B609" s="8">
        <f>CHOOSE( CONTROL!$C$32, 18.7327, 18.7291) * CHOOSE(CONTROL!$C$15, $D$11, 100%, $F$11)</f>
        <v>18.732700000000001</v>
      </c>
      <c r="C609" s="8">
        <f>CHOOSE( CONTROL!$C$32, 18.7407, 18.7371) * CHOOSE(CONTROL!$C$15, $D$11, 100%, $F$11)</f>
        <v>18.7407</v>
      </c>
      <c r="D609" s="8">
        <f>CHOOSE( CONTROL!$C$32, 18.7467, 18.7431) * CHOOSE( CONTROL!$C$15, $D$11, 100%, $F$11)</f>
        <v>18.746700000000001</v>
      </c>
      <c r="E609" s="12">
        <f>CHOOSE( CONTROL!$C$32, 18.7433, 18.7397) * CHOOSE( CONTROL!$C$15, $D$11, 100%, $F$11)</f>
        <v>18.743300000000001</v>
      </c>
      <c r="F609" s="4">
        <f>CHOOSE( CONTROL!$C$32, 19.4209, 19.4174) * CHOOSE(CONTROL!$C$15, $D$11, 100%, $F$11)</f>
        <v>19.4209</v>
      </c>
      <c r="G609" s="8">
        <f>CHOOSE( CONTROL!$C$32, 18.3898, 18.3863) * CHOOSE( CONTROL!$C$15, $D$11, 100%, $F$11)</f>
        <v>18.389800000000001</v>
      </c>
      <c r="H609" s="4">
        <f>CHOOSE( CONTROL!$C$32, 19.3277, 19.3242) * CHOOSE(CONTROL!$C$15, $D$11, 100%, $F$11)</f>
        <v>19.3277</v>
      </c>
      <c r="I609" s="8">
        <f>CHOOSE( CONTROL!$C$32, 18.1767, 18.1733) * CHOOSE(CONTROL!$C$15, $D$11, 100%, $F$11)</f>
        <v>18.1767</v>
      </c>
      <c r="J609" s="4">
        <f>CHOOSE( CONTROL!$C$32, 18.0776, 18.0742) * CHOOSE(CONTROL!$C$15, $D$11, 100%, $F$11)</f>
        <v>18.0776</v>
      </c>
      <c r="K609" s="4"/>
      <c r="L609" s="9">
        <v>30.7165</v>
      </c>
      <c r="M609" s="9">
        <v>12.063700000000001</v>
      </c>
      <c r="N609" s="9">
        <v>4.9444999999999997</v>
      </c>
      <c r="O609" s="9">
        <v>0.37409999999999999</v>
      </c>
      <c r="P609" s="9">
        <v>1.2183999999999999</v>
      </c>
      <c r="Q609" s="9">
        <v>19.688099999999999</v>
      </c>
      <c r="R609" s="9"/>
      <c r="S609" s="11"/>
    </row>
    <row r="610" spans="1:19" ht="15.75">
      <c r="A610" s="13">
        <v>60083</v>
      </c>
      <c r="B610" s="8">
        <f>CHOOSE( CONTROL!$C$32, 18.4321, 18.4285) * CHOOSE(CONTROL!$C$15, $D$11, 100%, $F$11)</f>
        <v>18.432099999999998</v>
      </c>
      <c r="C610" s="8">
        <f>CHOOSE( CONTROL!$C$32, 18.4401, 18.4365) * CHOOSE(CONTROL!$C$15, $D$11, 100%, $F$11)</f>
        <v>18.440100000000001</v>
      </c>
      <c r="D610" s="8">
        <f>CHOOSE( CONTROL!$C$32, 18.4464, 18.4428) * CHOOSE( CONTROL!$C$15, $D$11, 100%, $F$11)</f>
        <v>18.446400000000001</v>
      </c>
      <c r="E610" s="12">
        <f>CHOOSE( CONTROL!$C$32, 18.4429, 18.4393) * CHOOSE( CONTROL!$C$15, $D$11, 100%, $F$11)</f>
        <v>18.442900000000002</v>
      </c>
      <c r="F610" s="4">
        <f>CHOOSE( CONTROL!$C$32, 19.1203, 19.1168) * CHOOSE(CONTROL!$C$15, $D$11, 100%, $F$11)</f>
        <v>19.1203</v>
      </c>
      <c r="G610" s="8">
        <f>CHOOSE( CONTROL!$C$32, 18.0946, 18.0911) * CHOOSE( CONTROL!$C$15, $D$11, 100%, $F$11)</f>
        <v>18.0946</v>
      </c>
      <c r="H610" s="4">
        <f>CHOOSE( CONTROL!$C$32, 19.032, 19.0285) * CHOOSE(CONTROL!$C$15, $D$11, 100%, $F$11)</f>
        <v>19.032</v>
      </c>
      <c r="I610" s="8">
        <f>CHOOSE( CONTROL!$C$32, 17.8873, 17.8839) * CHOOSE(CONTROL!$C$15, $D$11, 100%, $F$11)</f>
        <v>17.8873</v>
      </c>
      <c r="J610" s="4">
        <f>CHOOSE( CONTROL!$C$32, 17.787, 17.7836) * CHOOSE(CONTROL!$C$15, $D$11, 100%, $F$11)</f>
        <v>17.786999999999999</v>
      </c>
      <c r="K610" s="4"/>
      <c r="L610" s="9">
        <v>29.7257</v>
      </c>
      <c r="M610" s="9">
        <v>11.6745</v>
      </c>
      <c r="N610" s="9">
        <v>4.7850000000000001</v>
      </c>
      <c r="O610" s="9">
        <v>0.36199999999999999</v>
      </c>
      <c r="P610" s="9">
        <v>1.1791</v>
      </c>
      <c r="Q610" s="9">
        <v>19.053000000000001</v>
      </c>
      <c r="R610" s="9"/>
      <c r="S610" s="11"/>
    </row>
    <row r="611" spans="1:19" ht="15.75">
      <c r="A611" s="13">
        <v>60114</v>
      </c>
      <c r="B611" s="8">
        <f>CHOOSE( CONTROL!$C$32, 19.2237, 19.2201) * CHOOSE(CONTROL!$C$15, $D$11, 100%, $F$11)</f>
        <v>19.223700000000001</v>
      </c>
      <c r="C611" s="8">
        <f>CHOOSE( CONTROL!$C$32, 19.2317, 19.2281) * CHOOSE(CONTROL!$C$15, $D$11, 100%, $F$11)</f>
        <v>19.2317</v>
      </c>
      <c r="D611" s="8">
        <f>CHOOSE( CONTROL!$C$32, 19.2383, 19.2347) * CHOOSE( CONTROL!$C$15, $D$11, 100%, $F$11)</f>
        <v>19.238299999999999</v>
      </c>
      <c r="E611" s="12">
        <f>CHOOSE( CONTROL!$C$32, 19.2347, 19.2311) * CHOOSE( CONTROL!$C$15, $D$11, 100%, $F$11)</f>
        <v>19.2347</v>
      </c>
      <c r="F611" s="4">
        <f>CHOOSE( CONTROL!$C$32, 19.9119, 19.9084) * CHOOSE(CONTROL!$C$15, $D$11, 100%, $F$11)</f>
        <v>19.911899999999999</v>
      </c>
      <c r="G611" s="8">
        <f>CHOOSE( CONTROL!$C$32, 18.8735, 18.87) * CHOOSE( CONTROL!$C$15, $D$11, 100%, $F$11)</f>
        <v>18.8735</v>
      </c>
      <c r="H611" s="4">
        <f>CHOOSE( CONTROL!$C$32, 19.8105, 19.807) * CHOOSE(CONTROL!$C$15, $D$11, 100%, $F$11)</f>
        <v>19.810500000000001</v>
      </c>
      <c r="I611" s="8">
        <f>CHOOSE( CONTROL!$C$32, 18.6544, 18.651) * CHOOSE(CONTROL!$C$15, $D$11, 100%, $F$11)</f>
        <v>18.654399999999999</v>
      </c>
      <c r="J611" s="4">
        <f>CHOOSE( CONTROL!$C$32, 18.5523, 18.5488) * CHOOSE(CONTROL!$C$15, $D$11, 100%, $F$11)</f>
        <v>18.552299999999999</v>
      </c>
      <c r="K611" s="4"/>
      <c r="L611" s="9">
        <v>30.7165</v>
      </c>
      <c r="M611" s="9">
        <v>12.063700000000001</v>
      </c>
      <c r="N611" s="9">
        <v>4.9444999999999997</v>
      </c>
      <c r="O611" s="9">
        <v>0.37409999999999999</v>
      </c>
      <c r="P611" s="9">
        <v>1.2183999999999999</v>
      </c>
      <c r="Q611" s="9">
        <v>19.688099999999999</v>
      </c>
      <c r="R611" s="9"/>
      <c r="S611" s="11"/>
    </row>
    <row r="612" spans="1:19" ht="15.75">
      <c r="A612" s="13">
        <v>60145</v>
      </c>
      <c r="B612" s="8">
        <f>CHOOSE( CONTROL!$C$32, 17.7425, 17.7389) * CHOOSE(CONTROL!$C$15, $D$11, 100%, $F$11)</f>
        <v>17.7425</v>
      </c>
      <c r="C612" s="8">
        <f>CHOOSE( CONTROL!$C$32, 17.7505, 17.747) * CHOOSE(CONTROL!$C$15, $D$11, 100%, $F$11)</f>
        <v>17.750499999999999</v>
      </c>
      <c r="D612" s="8">
        <f>CHOOSE( CONTROL!$C$32, 17.7572, 17.7536) * CHOOSE( CONTROL!$C$15, $D$11, 100%, $F$11)</f>
        <v>17.757200000000001</v>
      </c>
      <c r="E612" s="12">
        <f>CHOOSE( CONTROL!$C$32, 17.7536, 17.75) * CHOOSE( CONTROL!$C$15, $D$11, 100%, $F$11)</f>
        <v>17.753599999999999</v>
      </c>
      <c r="F612" s="4">
        <f>CHOOSE( CONTROL!$C$32, 18.4308, 18.4272) * CHOOSE(CONTROL!$C$15, $D$11, 100%, $F$11)</f>
        <v>18.430800000000001</v>
      </c>
      <c r="G612" s="8">
        <f>CHOOSE( CONTROL!$C$32, 17.4171, 17.4136) * CHOOSE( CONTROL!$C$15, $D$11, 100%, $F$11)</f>
        <v>17.417100000000001</v>
      </c>
      <c r="H612" s="4">
        <f>CHOOSE( CONTROL!$C$32, 18.3539, 18.3504) * CHOOSE(CONTROL!$C$15, $D$11, 100%, $F$11)</f>
        <v>18.353899999999999</v>
      </c>
      <c r="I612" s="8">
        <f>CHOOSE( CONTROL!$C$32, 17.2223, 17.2189) * CHOOSE(CONTROL!$C$15, $D$11, 100%, $F$11)</f>
        <v>17.222300000000001</v>
      </c>
      <c r="J612" s="4">
        <f>CHOOSE( CONTROL!$C$32, 17.1204, 17.117) * CHOOSE(CONTROL!$C$15, $D$11, 100%, $F$11)</f>
        <v>17.1204</v>
      </c>
      <c r="K612" s="4"/>
      <c r="L612" s="9">
        <v>30.7165</v>
      </c>
      <c r="M612" s="9">
        <v>12.063700000000001</v>
      </c>
      <c r="N612" s="9">
        <v>4.9444999999999997</v>
      </c>
      <c r="O612" s="9">
        <v>0.37409999999999999</v>
      </c>
      <c r="P612" s="9">
        <v>1.2183999999999999</v>
      </c>
      <c r="Q612" s="9">
        <v>19.688099999999999</v>
      </c>
      <c r="R612" s="9"/>
      <c r="S612" s="11"/>
    </row>
    <row r="613" spans="1:19" ht="15.75">
      <c r="A613" s="13">
        <v>60175</v>
      </c>
      <c r="B613" s="8">
        <f>CHOOSE( CONTROL!$C$32, 17.3716, 17.368) * CHOOSE(CONTROL!$C$15, $D$11, 100%, $F$11)</f>
        <v>17.371600000000001</v>
      </c>
      <c r="C613" s="8">
        <f>CHOOSE( CONTROL!$C$32, 17.3796, 17.3761) * CHOOSE(CONTROL!$C$15, $D$11, 100%, $F$11)</f>
        <v>17.3796</v>
      </c>
      <c r="D613" s="8">
        <f>CHOOSE( CONTROL!$C$32, 17.3863, 17.3827) * CHOOSE( CONTROL!$C$15, $D$11, 100%, $F$11)</f>
        <v>17.386299999999999</v>
      </c>
      <c r="E613" s="12">
        <f>CHOOSE( CONTROL!$C$32, 17.3827, 17.3791) * CHOOSE( CONTROL!$C$15, $D$11, 100%, $F$11)</f>
        <v>17.3827</v>
      </c>
      <c r="F613" s="4">
        <f>CHOOSE( CONTROL!$C$32, 18.0599, 18.0563) * CHOOSE(CONTROL!$C$15, $D$11, 100%, $F$11)</f>
        <v>18.059899999999999</v>
      </c>
      <c r="G613" s="8">
        <f>CHOOSE( CONTROL!$C$32, 17.0523, 17.0488) * CHOOSE( CONTROL!$C$15, $D$11, 100%, $F$11)</f>
        <v>17.052299999999999</v>
      </c>
      <c r="H613" s="4">
        <f>CHOOSE( CONTROL!$C$32, 17.9892, 17.9857) * CHOOSE(CONTROL!$C$15, $D$11, 100%, $F$11)</f>
        <v>17.9892</v>
      </c>
      <c r="I613" s="8">
        <f>CHOOSE( CONTROL!$C$32, 16.8636, 16.8601) * CHOOSE(CONTROL!$C$15, $D$11, 100%, $F$11)</f>
        <v>16.863600000000002</v>
      </c>
      <c r="J613" s="4">
        <f>CHOOSE( CONTROL!$C$32, 16.7619, 16.7584) * CHOOSE(CONTROL!$C$15, $D$11, 100%, $F$11)</f>
        <v>16.761900000000001</v>
      </c>
      <c r="K613" s="4"/>
      <c r="L613" s="9">
        <v>29.7257</v>
      </c>
      <c r="M613" s="9">
        <v>11.6745</v>
      </c>
      <c r="N613" s="9">
        <v>4.7850000000000001</v>
      </c>
      <c r="O613" s="9">
        <v>0.36199999999999999</v>
      </c>
      <c r="P613" s="9">
        <v>1.1791</v>
      </c>
      <c r="Q613" s="9">
        <v>19.053000000000001</v>
      </c>
      <c r="R613" s="9"/>
      <c r="S613" s="11"/>
    </row>
    <row r="614" spans="1:19" ht="15.75">
      <c r="A614" s="13">
        <v>60206</v>
      </c>
      <c r="B614" s="8">
        <f>18.1364 * CHOOSE(CONTROL!$C$15, $D$11, 100%, $F$11)</f>
        <v>18.136399999999998</v>
      </c>
      <c r="C614" s="8">
        <f>18.1418 * CHOOSE(CONTROL!$C$15, $D$11, 100%, $F$11)</f>
        <v>18.1418</v>
      </c>
      <c r="D614" s="8">
        <f>18.1533 * CHOOSE( CONTROL!$C$15, $D$11, 100%, $F$11)</f>
        <v>18.153300000000002</v>
      </c>
      <c r="E614" s="12">
        <f>18.1489 * CHOOSE( CONTROL!$C$15, $D$11, 100%, $F$11)</f>
        <v>18.148900000000001</v>
      </c>
      <c r="F614" s="4">
        <f>18.8264 * CHOOSE(CONTROL!$C$15, $D$11, 100%, $F$11)</f>
        <v>18.8264</v>
      </c>
      <c r="G614" s="8">
        <f>17.8057 * CHOOSE( CONTROL!$C$15, $D$11, 100%, $F$11)</f>
        <v>17.805700000000002</v>
      </c>
      <c r="H614" s="4">
        <f>18.743 * CHOOSE(CONTROL!$C$15, $D$11, 100%, $F$11)</f>
        <v>18.742999999999999</v>
      </c>
      <c r="I614" s="8">
        <f>17.6057 * CHOOSE(CONTROL!$C$15, $D$11, 100%, $F$11)</f>
        <v>17.605699999999999</v>
      </c>
      <c r="J614" s="4">
        <f>17.5029 * CHOOSE(CONTROL!$C$15, $D$11, 100%, $F$11)</f>
        <v>17.5029</v>
      </c>
      <c r="K614" s="4"/>
      <c r="L614" s="9">
        <v>31.095300000000002</v>
      </c>
      <c r="M614" s="9">
        <v>12.063700000000001</v>
      </c>
      <c r="N614" s="9">
        <v>4.9444999999999997</v>
      </c>
      <c r="O614" s="9">
        <v>0.37409999999999999</v>
      </c>
      <c r="P614" s="9">
        <v>1.2183999999999999</v>
      </c>
      <c r="Q614" s="9">
        <v>19.688099999999999</v>
      </c>
      <c r="R614" s="9"/>
      <c r="S614" s="11"/>
    </row>
    <row r="615" spans="1:19" ht="15.75">
      <c r="A615" s="13">
        <v>60236</v>
      </c>
      <c r="B615" s="8">
        <f>19.5575 * CHOOSE(CONTROL!$C$15, $D$11, 100%, $F$11)</f>
        <v>19.557500000000001</v>
      </c>
      <c r="C615" s="8">
        <f>19.5626 * CHOOSE(CONTROL!$C$15, $D$11, 100%, $F$11)</f>
        <v>19.5626</v>
      </c>
      <c r="D615" s="8">
        <f>19.5396 * CHOOSE( CONTROL!$C$15, $D$11, 100%, $F$11)</f>
        <v>19.5396</v>
      </c>
      <c r="E615" s="12">
        <f>19.5475 * CHOOSE( CONTROL!$C$15, $D$11, 100%, $F$11)</f>
        <v>19.547499999999999</v>
      </c>
      <c r="F615" s="4">
        <f>20.2024 * CHOOSE(CONTROL!$C$15, $D$11, 100%, $F$11)</f>
        <v>20.202400000000001</v>
      </c>
      <c r="G615" s="8">
        <f>19.2144 * CHOOSE( CONTROL!$C$15, $D$11, 100%, $F$11)</f>
        <v>19.214400000000001</v>
      </c>
      <c r="H615" s="4">
        <f>20.0962 * CHOOSE(CONTROL!$C$15, $D$11, 100%, $F$11)</f>
        <v>20.0962</v>
      </c>
      <c r="I615" s="8">
        <f>19.0052 * CHOOSE(CONTROL!$C$15, $D$11, 100%, $F$11)</f>
        <v>19.005199999999999</v>
      </c>
      <c r="J615" s="4">
        <f>18.8771 * CHOOSE(CONTROL!$C$15, $D$11, 100%, $F$11)</f>
        <v>18.877099999999999</v>
      </c>
      <c r="K615" s="4"/>
      <c r="L615" s="9">
        <v>28.360600000000002</v>
      </c>
      <c r="M615" s="9">
        <v>11.6745</v>
      </c>
      <c r="N615" s="9">
        <v>4.7850000000000001</v>
      </c>
      <c r="O615" s="9">
        <v>0.36199999999999999</v>
      </c>
      <c r="P615" s="9">
        <v>1.2509999999999999</v>
      </c>
      <c r="Q615" s="9">
        <v>19.053000000000001</v>
      </c>
      <c r="R615" s="9"/>
      <c r="S615" s="11"/>
    </row>
    <row r="616" spans="1:19" ht="15.75">
      <c r="A616" s="13">
        <v>60267</v>
      </c>
      <c r="B616" s="8">
        <f>19.522 * CHOOSE(CONTROL!$C$15, $D$11, 100%, $F$11)</f>
        <v>19.521999999999998</v>
      </c>
      <c r="C616" s="8">
        <f>19.5271 * CHOOSE(CONTROL!$C$15, $D$11, 100%, $F$11)</f>
        <v>19.527100000000001</v>
      </c>
      <c r="D616" s="8">
        <f>19.5054 * CHOOSE( CONTROL!$C$15, $D$11, 100%, $F$11)</f>
        <v>19.505400000000002</v>
      </c>
      <c r="E616" s="12">
        <f>19.5128 * CHOOSE( CONTROL!$C$15, $D$11, 100%, $F$11)</f>
        <v>19.512799999999999</v>
      </c>
      <c r="F616" s="4">
        <f>20.1669 * CHOOSE(CONTROL!$C$15, $D$11, 100%, $F$11)</f>
        <v>20.166899999999998</v>
      </c>
      <c r="G616" s="8">
        <f>19.1804 * CHOOSE( CONTROL!$C$15, $D$11, 100%, $F$11)</f>
        <v>19.180399999999999</v>
      </c>
      <c r="H616" s="4">
        <f>20.0612 * CHOOSE(CONTROL!$C$15, $D$11, 100%, $F$11)</f>
        <v>20.061199999999999</v>
      </c>
      <c r="I616" s="8">
        <f>18.9752 * CHOOSE(CONTROL!$C$15, $D$11, 100%, $F$11)</f>
        <v>18.975200000000001</v>
      </c>
      <c r="J616" s="4">
        <f>18.8427 * CHOOSE(CONTROL!$C$15, $D$11, 100%, $F$11)</f>
        <v>18.842700000000001</v>
      </c>
      <c r="K616" s="4"/>
      <c r="L616" s="9">
        <v>29.306000000000001</v>
      </c>
      <c r="M616" s="9">
        <v>12.063700000000001</v>
      </c>
      <c r="N616" s="9">
        <v>4.9444999999999997</v>
      </c>
      <c r="O616" s="9">
        <v>0.37409999999999999</v>
      </c>
      <c r="P616" s="9">
        <v>1.2927</v>
      </c>
      <c r="Q616" s="9">
        <v>19.688099999999999</v>
      </c>
      <c r="R616" s="9"/>
      <c r="S616" s="11"/>
    </row>
    <row r="617" spans="1:19" ht="15.75">
      <c r="A617" s="13">
        <v>60298</v>
      </c>
      <c r="B617" s="8">
        <f>20.2669 * CHOOSE(CONTROL!$C$15, $D$11, 100%, $F$11)</f>
        <v>20.2669</v>
      </c>
      <c r="C617" s="8">
        <f>20.2721 * CHOOSE(CONTROL!$C$15, $D$11, 100%, $F$11)</f>
        <v>20.272099999999998</v>
      </c>
      <c r="D617" s="8">
        <f>20.2462 * CHOOSE( CONTROL!$C$15, $D$11, 100%, $F$11)</f>
        <v>20.246200000000002</v>
      </c>
      <c r="E617" s="12">
        <f>20.2551 * CHOOSE( CONTROL!$C$15, $D$11, 100%, $F$11)</f>
        <v>20.255099999999999</v>
      </c>
      <c r="F617" s="4">
        <f>20.911 * CHOOSE(CONTROL!$C$15, $D$11, 100%, $F$11)</f>
        <v>20.911000000000001</v>
      </c>
      <c r="G617" s="8">
        <f>19.9068 * CHOOSE( CONTROL!$C$15, $D$11, 100%, $F$11)</f>
        <v>19.9068</v>
      </c>
      <c r="H617" s="4">
        <f>20.793 * CHOOSE(CONTROL!$C$15, $D$11, 100%, $F$11)</f>
        <v>20.792999999999999</v>
      </c>
      <c r="I617" s="8">
        <f>19.6663 * CHOOSE(CONTROL!$C$15, $D$11, 100%, $F$11)</f>
        <v>19.6663</v>
      </c>
      <c r="J617" s="4">
        <f>19.5629 * CHOOSE(CONTROL!$C$15, $D$11, 100%, $F$11)</f>
        <v>19.562899999999999</v>
      </c>
      <c r="K617" s="4"/>
      <c r="L617" s="9">
        <v>29.306000000000001</v>
      </c>
      <c r="M617" s="9">
        <v>12.063700000000001</v>
      </c>
      <c r="N617" s="9">
        <v>4.9444999999999997</v>
      </c>
      <c r="O617" s="9">
        <v>0.37409999999999999</v>
      </c>
      <c r="P617" s="9">
        <v>1.2927</v>
      </c>
      <c r="Q617" s="9">
        <v>19.688099999999999</v>
      </c>
      <c r="R617" s="9"/>
      <c r="S617" s="11"/>
    </row>
    <row r="618" spans="1:19" ht="15.75">
      <c r="A618" s="13">
        <v>60326</v>
      </c>
      <c r="B618" s="8">
        <f>18.9587 * CHOOSE(CONTROL!$C$15, $D$11, 100%, $F$11)</f>
        <v>18.9587</v>
      </c>
      <c r="C618" s="8">
        <f>18.9638 * CHOOSE(CONTROL!$C$15, $D$11, 100%, $F$11)</f>
        <v>18.963799999999999</v>
      </c>
      <c r="D618" s="8">
        <f>18.9382 * CHOOSE( CONTROL!$C$15, $D$11, 100%, $F$11)</f>
        <v>18.938199999999998</v>
      </c>
      <c r="E618" s="12">
        <f>18.947 * CHOOSE( CONTROL!$C$15, $D$11, 100%, $F$11)</f>
        <v>18.946999999999999</v>
      </c>
      <c r="F618" s="4">
        <f>19.6027 * CHOOSE(CONTROL!$C$15, $D$11, 100%, $F$11)</f>
        <v>19.602699999999999</v>
      </c>
      <c r="G618" s="8">
        <f>18.6204 * CHOOSE( CONTROL!$C$15, $D$11, 100%, $F$11)</f>
        <v>18.6204</v>
      </c>
      <c r="H618" s="4">
        <f>19.5064 * CHOOSE(CONTROL!$C$15, $D$11, 100%, $F$11)</f>
        <v>19.506399999999999</v>
      </c>
      <c r="I618" s="8">
        <f>18.4017 * CHOOSE(CONTROL!$C$15, $D$11, 100%, $F$11)</f>
        <v>18.401700000000002</v>
      </c>
      <c r="J618" s="4">
        <f>18.2982 * CHOOSE(CONTROL!$C$15, $D$11, 100%, $F$11)</f>
        <v>18.298200000000001</v>
      </c>
      <c r="K618" s="4"/>
      <c r="L618" s="9">
        <v>26.469899999999999</v>
      </c>
      <c r="M618" s="9">
        <v>10.8962</v>
      </c>
      <c r="N618" s="9">
        <v>4.4660000000000002</v>
      </c>
      <c r="O618" s="9">
        <v>0.33789999999999998</v>
      </c>
      <c r="P618" s="9">
        <v>1.1676</v>
      </c>
      <c r="Q618" s="9">
        <v>17.782800000000002</v>
      </c>
      <c r="R618" s="9"/>
      <c r="S618" s="11"/>
    </row>
    <row r="619" spans="1:19" ht="15.75">
      <c r="A619" s="13">
        <v>60357</v>
      </c>
      <c r="B619" s="8">
        <f>18.5557 * CHOOSE(CONTROL!$C$15, $D$11, 100%, $F$11)</f>
        <v>18.555700000000002</v>
      </c>
      <c r="C619" s="8">
        <f>18.5608 * CHOOSE(CONTROL!$C$15, $D$11, 100%, $F$11)</f>
        <v>18.5608</v>
      </c>
      <c r="D619" s="8">
        <f>18.5352 * CHOOSE( CONTROL!$C$15, $D$11, 100%, $F$11)</f>
        <v>18.5352</v>
      </c>
      <c r="E619" s="12">
        <f>18.544 * CHOOSE( CONTROL!$C$15, $D$11, 100%, $F$11)</f>
        <v>18.544</v>
      </c>
      <c r="F619" s="4">
        <f>19.1998 * CHOOSE(CONTROL!$C$15, $D$11, 100%, $F$11)</f>
        <v>19.1998</v>
      </c>
      <c r="G619" s="8">
        <f>18.224 * CHOOSE( CONTROL!$C$15, $D$11, 100%, $F$11)</f>
        <v>18.224</v>
      </c>
      <c r="H619" s="4">
        <f>19.1101 * CHOOSE(CONTROL!$C$15, $D$11, 100%, $F$11)</f>
        <v>19.110099999999999</v>
      </c>
      <c r="I619" s="8">
        <f>18.0117 * CHOOSE(CONTROL!$C$15, $D$11, 100%, $F$11)</f>
        <v>18.011700000000001</v>
      </c>
      <c r="J619" s="4">
        <f>17.9086 * CHOOSE(CONTROL!$C$15, $D$11, 100%, $F$11)</f>
        <v>17.9086</v>
      </c>
      <c r="K619" s="4"/>
      <c r="L619" s="9">
        <v>29.306000000000001</v>
      </c>
      <c r="M619" s="9">
        <v>12.063700000000001</v>
      </c>
      <c r="N619" s="9">
        <v>4.9444999999999997</v>
      </c>
      <c r="O619" s="9">
        <v>0.37409999999999999</v>
      </c>
      <c r="P619" s="9">
        <v>1.2927</v>
      </c>
      <c r="Q619" s="9">
        <v>19.688099999999999</v>
      </c>
      <c r="R619" s="9"/>
      <c r="S619" s="11"/>
    </row>
    <row r="620" spans="1:19" ht="15.75">
      <c r="A620" s="13">
        <v>60387</v>
      </c>
      <c r="B620" s="8">
        <f>18.8381 * CHOOSE(CONTROL!$C$15, $D$11, 100%, $F$11)</f>
        <v>18.838100000000001</v>
      </c>
      <c r="C620" s="8">
        <f>18.8426 * CHOOSE(CONTROL!$C$15, $D$11, 100%, $F$11)</f>
        <v>18.842600000000001</v>
      </c>
      <c r="D620" s="8">
        <f>18.8536 * CHOOSE( CONTROL!$C$15, $D$11, 100%, $F$11)</f>
        <v>18.8536</v>
      </c>
      <c r="E620" s="12">
        <f>18.8495 * CHOOSE( CONTROL!$C$15, $D$11, 100%, $F$11)</f>
        <v>18.849499999999999</v>
      </c>
      <c r="F620" s="4">
        <f>19.5277 * CHOOSE(CONTROL!$C$15, $D$11, 100%, $F$11)</f>
        <v>19.527699999999999</v>
      </c>
      <c r="G620" s="8">
        <f>18.4938 * CHOOSE( CONTROL!$C$15, $D$11, 100%, $F$11)</f>
        <v>18.4938</v>
      </c>
      <c r="H620" s="4">
        <f>19.4327 * CHOOSE(CONTROL!$C$15, $D$11, 100%, $F$11)</f>
        <v>19.432700000000001</v>
      </c>
      <c r="I620" s="8">
        <f>18.2791 * CHOOSE(CONTROL!$C$15, $D$11, 100%, $F$11)</f>
        <v>18.2791</v>
      </c>
      <c r="J620" s="4">
        <f>18.1808 * CHOOSE(CONTROL!$C$15, $D$11, 100%, $F$11)</f>
        <v>18.180800000000001</v>
      </c>
      <c r="K620" s="4"/>
      <c r="L620" s="9">
        <v>30.092199999999998</v>
      </c>
      <c r="M620" s="9">
        <v>11.6745</v>
      </c>
      <c r="N620" s="9">
        <v>4.7850000000000001</v>
      </c>
      <c r="O620" s="9">
        <v>0.36199999999999999</v>
      </c>
      <c r="P620" s="9">
        <v>1.1791</v>
      </c>
      <c r="Q620" s="9">
        <v>19.053000000000001</v>
      </c>
      <c r="R620" s="9"/>
      <c r="S620" s="11"/>
    </row>
    <row r="621" spans="1:19" ht="15.75">
      <c r="A621" s="13">
        <v>60418</v>
      </c>
      <c r="B621" s="8">
        <f>CHOOSE( CONTROL!$C$32, 19.3441, 19.3406) * CHOOSE(CONTROL!$C$15, $D$11, 100%, $F$11)</f>
        <v>19.344100000000001</v>
      </c>
      <c r="C621" s="8">
        <f>CHOOSE( CONTROL!$C$32, 19.3521, 19.3486) * CHOOSE(CONTROL!$C$15, $D$11, 100%, $F$11)</f>
        <v>19.3521</v>
      </c>
      <c r="D621" s="8">
        <f>CHOOSE( CONTROL!$C$32, 19.3581, 19.3546) * CHOOSE( CONTROL!$C$15, $D$11, 100%, $F$11)</f>
        <v>19.3581</v>
      </c>
      <c r="E621" s="12">
        <f>CHOOSE( CONTROL!$C$32, 19.3547, 19.3512) * CHOOSE( CONTROL!$C$15, $D$11, 100%, $F$11)</f>
        <v>19.354700000000001</v>
      </c>
      <c r="F621" s="4">
        <f>CHOOSE( CONTROL!$C$32, 20.0324, 20.0288) * CHOOSE(CONTROL!$C$15, $D$11, 100%, $F$11)</f>
        <v>20.032399999999999</v>
      </c>
      <c r="G621" s="8">
        <f>CHOOSE( CONTROL!$C$32, 18.9911, 18.9876) * CHOOSE( CONTROL!$C$15, $D$11, 100%, $F$11)</f>
        <v>18.991099999999999</v>
      </c>
      <c r="H621" s="4">
        <f>CHOOSE( CONTROL!$C$32, 19.929, 19.9255) * CHOOSE(CONTROL!$C$15, $D$11, 100%, $F$11)</f>
        <v>19.928999999999998</v>
      </c>
      <c r="I621" s="8">
        <f>CHOOSE( CONTROL!$C$32, 18.7681, 18.7647) * CHOOSE(CONTROL!$C$15, $D$11, 100%, $F$11)</f>
        <v>18.7681</v>
      </c>
      <c r="J621" s="4">
        <f>CHOOSE( CONTROL!$C$32, 18.6687, 18.6653) * CHOOSE(CONTROL!$C$15, $D$11, 100%, $F$11)</f>
        <v>18.668700000000001</v>
      </c>
      <c r="K621" s="4"/>
      <c r="L621" s="9">
        <v>30.7165</v>
      </c>
      <c r="M621" s="9">
        <v>12.063700000000001</v>
      </c>
      <c r="N621" s="9">
        <v>4.9444999999999997</v>
      </c>
      <c r="O621" s="9">
        <v>0.37409999999999999</v>
      </c>
      <c r="P621" s="9">
        <v>1.2183999999999999</v>
      </c>
      <c r="Q621" s="9">
        <v>19.688099999999999</v>
      </c>
      <c r="R621" s="9"/>
      <c r="S621" s="11"/>
    </row>
    <row r="622" spans="1:19" ht="15.75">
      <c r="A622" s="13">
        <v>60448</v>
      </c>
      <c r="B622" s="8">
        <f>CHOOSE( CONTROL!$C$32, 19.0337, 19.0301) * CHOOSE(CONTROL!$C$15, $D$11, 100%, $F$11)</f>
        <v>19.0337</v>
      </c>
      <c r="C622" s="8">
        <f>CHOOSE( CONTROL!$C$32, 19.0417, 19.0381) * CHOOSE(CONTROL!$C$15, $D$11, 100%, $F$11)</f>
        <v>19.041699999999999</v>
      </c>
      <c r="D622" s="8">
        <f>CHOOSE( CONTROL!$C$32, 19.048, 19.0444) * CHOOSE( CONTROL!$C$15, $D$11, 100%, $F$11)</f>
        <v>19.047999999999998</v>
      </c>
      <c r="E622" s="12">
        <f>CHOOSE( CONTROL!$C$32, 19.0445, 19.0409) * CHOOSE( CONTROL!$C$15, $D$11, 100%, $F$11)</f>
        <v>19.044499999999999</v>
      </c>
      <c r="F622" s="4">
        <f>CHOOSE( CONTROL!$C$32, 19.722, 19.7184) * CHOOSE(CONTROL!$C$15, $D$11, 100%, $F$11)</f>
        <v>19.722000000000001</v>
      </c>
      <c r="G622" s="8">
        <f>CHOOSE( CONTROL!$C$32, 18.6863, 18.6827) * CHOOSE( CONTROL!$C$15, $D$11, 100%, $F$11)</f>
        <v>18.686299999999999</v>
      </c>
      <c r="H622" s="4">
        <f>CHOOSE( CONTROL!$C$32, 19.6237, 19.6202) * CHOOSE(CONTROL!$C$15, $D$11, 100%, $F$11)</f>
        <v>19.623699999999999</v>
      </c>
      <c r="I622" s="8">
        <f>CHOOSE( CONTROL!$C$32, 18.4692, 18.4657) * CHOOSE(CONTROL!$C$15, $D$11, 100%, $F$11)</f>
        <v>18.469200000000001</v>
      </c>
      <c r="J622" s="4">
        <f>CHOOSE( CONTROL!$C$32, 18.3686, 18.3652) * CHOOSE(CONTROL!$C$15, $D$11, 100%, $F$11)</f>
        <v>18.368600000000001</v>
      </c>
      <c r="K622" s="4"/>
      <c r="L622" s="9">
        <v>29.7257</v>
      </c>
      <c r="M622" s="9">
        <v>11.6745</v>
      </c>
      <c r="N622" s="9">
        <v>4.7850000000000001</v>
      </c>
      <c r="O622" s="9">
        <v>0.36199999999999999</v>
      </c>
      <c r="P622" s="9">
        <v>1.1791</v>
      </c>
      <c r="Q622" s="9">
        <v>19.053000000000001</v>
      </c>
      <c r="R622" s="9"/>
      <c r="S622" s="11"/>
    </row>
    <row r="623" spans="1:19" ht="15.75">
      <c r="A623" s="13">
        <v>60479</v>
      </c>
      <c r="B623" s="8">
        <f>CHOOSE( CONTROL!$C$32, 19.8512, 19.8476) * CHOOSE(CONTROL!$C$15, $D$11, 100%, $F$11)</f>
        <v>19.851199999999999</v>
      </c>
      <c r="C623" s="8">
        <f>CHOOSE( CONTROL!$C$32, 19.8592, 19.8556) * CHOOSE(CONTROL!$C$15, $D$11, 100%, $F$11)</f>
        <v>19.859200000000001</v>
      </c>
      <c r="D623" s="8">
        <f>CHOOSE( CONTROL!$C$32, 19.8658, 19.8622) * CHOOSE( CONTROL!$C$15, $D$11, 100%, $F$11)</f>
        <v>19.8658</v>
      </c>
      <c r="E623" s="12">
        <f>CHOOSE( CONTROL!$C$32, 19.8622, 19.8586) * CHOOSE( CONTROL!$C$15, $D$11, 100%, $F$11)</f>
        <v>19.862200000000001</v>
      </c>
      <c r="F623" s="4">
        <f>CHOOSE( CONTROL!$C$32, 20.5394, 20.5359) * CHOOSE(CONTROL!$C$15, $D$11, 100%, $F$11)</f>
        <v>20.539400000000001</v>
      </c>
      <c r="G623" s="8">
        <f>CHOOSE( CONTROL!$C$32, 19.4906, 19.4871) * CHOOSE( CONTROL!$C$15, $D$11, 100%, $F$11)</f>
        <v>19.490600000000001</v>
      </c>
      <c r="H623" s="4">
        <f>CHOOSE( CONTROL!$C$32, 20.4276, 20.4241) * CHOOSE(CONTROL!$C$15, $D$11, 100%, $F$11)</f>
        <v>20.427600000000002</v>
      </c>
      <c r="I623" s="8">
        <f>CHOOSE( CONTROL!$C$32, 19.2613, 19.2579) * CHOOSE(CONTROL!$C$15, $D$11, 100%, $F$11)</f>
        <v>19.261299999999999</v>
      </c>
      <c r="J623" s="4">
        <f>CHOOSE( CONTROL!$C$32, 19.1589, 19.1554) * CHOOSE(CONTROL!$C$15, $D$11, 100%, $F$11)</f>
        <v>19.158899999999999</v>
      </c>
      <c r="K623" s="4"/>
      <c r="L623" s="9">
        <v>30.7165</v>
      </c>
      <c r="M623" s="9">
        <v>12.063700000000001</v>
      </c>
      <c r="N623" s="9">
        <v>4.9444999999999997</v>
      </c>
      <c r="O623" s="9">
        <v>0.37409999999999999</v>
      </c>
      <c r="P623" s="9">
        <v>1.2183999999999999</v>
      </c>
      <c r="Q623" s="9">
        <v>19.688099999999999</v>
      </c>
      <c r="R623" s="9"/>
      <c r="S623" s="11"/>
    </row>
    <row r="624" spans="1:19" ht="15.75">
      <c r="A624" s="13">
        <v>60510</v>
      </c>
      <c r="B624" s="8">
        <f>CHOOSE( CONTROL!$C$32, 18.3216, 18.318) * CHOOSE(CONTROL!$C$15, $D$11, 100%, $F$11)</f>
        <v>18.3216</v>
      </c>
      <c r="C624" s="8">
        <f>CHOOSE( CONTROL!$C$32, 18.3296, 18.326) * CHOOSE(CONTROL!$C$15, $D$11, 100%, $F$11)</f>
        <v>18.329599999999999</v>
      </c>
      <c r="D624" s="8">
        <f>CHOOSE( CONTROL!$C$32, 18.3363, 18.3327) * CHOOSE( CONTROL!$C$15, $D$11, 100%, $F$11)</f>
        <v>18.336300000000001</v>
      </c>
      <c r="E624" s="12">
        <f>CHOOSE( CONTROL!$C$32, 18.3327, 18.3291) * CHOOSE( CONTROL!$C$15, $D$11, 100%, $F$11)</f>
        <v>18.332699999999999</v>
      </c>
      <c r="F624" s="4">
        <f>CHOOSE( CONTROL!$C$32, 19.0098, 19.0063) * CHOOSE(CONTROL!$C$15, $D$11, 100%, $F$11)</f>
        <v>19.009799999999998</v>
      </c>
      <c r="G624" s="8">
        <f>CHOOSE( CONTROL!$C$32, 17.9865, 17.983) * CHOOSE( CONTROL!$C$15, $D$11, 100%, $F$11)</f>
        <v>17.986499999999999</v>
      </c>
      <c r="H624" s="4">
        <f>CHOOSE( CONTROL!$C$32, 18.9234, 18.9199) * CHOOSE(CONTROL!$C$15, $D$11, 100%, $F$11)</f>
        <v>18.923400000000001</v>
      </c>
      <c r="I624" s="8">
        <f>CHOOSE( CONTROL!$C$32, 17.7824, 17.7789) * CHOOSE(CONTROL!$C$15, $D$11, 100%, $F$11)</f>
        <v>17.782399999999999</v>
      </c>
      <c r="J624" s="4">
        <f>CHOOSE( CONTROL!$C$32, 17.6802, 17.6768) * CHOOSE(CONTROL!$C$15, $D$11, 100%, $F$11)</f>
        <v>17.680199999999999</v>
      </c>
      <c r="K624" s="4"/>
      <c r="L624" s="9">
        <v>30.7165</v>
      </c>
      <c r="M624" s="9">
        <v>12.063700000000001</v>
      </c>
      <c r="N624" s="9">
        <v>4.9444999999999997</v>
      </c>
      <c r="O624" s="9">
        <v>0.37409999999999999</v>
      </c>
      <c r="P624" s="9">
        <v>1.2183999999999999</v>
      </c>
      <c r="Q624" s="9">
        <v>19.688099999999999</v>
      </c>
      <c r="R624" s="9"/>
      <c r="S624" s="11"/>
    </row>
    <row r="625" spans="1:19" ht="15.75">
      <c r="A625" s="13">
        <v>60540</v>
      </c>
      <c r="B625" s="8">
        <f>CHOOSE( CONTROL!$C$32, 17.9385, 17.935) * CHOOSE(CONTROL!$C$15, $D$11, 100%, $F$11)</f>
        <v>17.938500000000001</v>
      </c>
      <c r="C625" s="8">
        <f>CHOOSE( CONTROL!$C$32, 17.9466, 17.943) * CHOOSE(CONTROL!$C$15, $D$11, 100%, $F$11)</f>
        <v>17.9466</v>
      </c>
      <c r="D625" s="8">
        <f>CHOOSE( CONTROL!$C$32, 17.9532, 17.9497) * CHOOSE( CONTROL!$C$15, $D$11, 100%, $F$11)</f>
        <v>17.953199999999999</v>
      </c>
      <c r="E625" s="12">
        <f>CHOOSE( CONTROL!$C$32, 17.9496, 17.9461) * CHOOSE( CONTROL!$C$15, $D$11, 100%, $F$11)</f>
        <v>17.9496</v>
      </c>
      <c r="F625" s="4">
        <f>CHOOSE( CONTROL!$C$32, 18.6268, 18.6232) * CHOOSE(CONTROL!$C$15, $D$11, 100%, $F$11)</f>
        <v>18.626799999999999</v>
      </c>
      <c r="G625" s="8">
        <f>CHOOSE( CONTROL!$C$32, 17.6099, 17.6064) * CHOOSE( CONTROL!$C$15, $D$11, 100%, $F$11)</f>
        <v>17.6099</v>
      </c>
      <c r="H625" s="4">
        <f>CHOOSE( CONTROL!$C$32, 18.5467, 18.5432) * CHOOSE(CONTROL!$C$15, $D$11, 100%, $F$11)</f>
        <v>18.546700000000001</v>
      </c>
      <c r="I625" s="8">
        <f>CHOOSE( CONTROL!$C$32, 17.4119, 17.4085) * CHOOSE(CONTROL!$C$15, $D$11, 100%, $F$11)</f>
        <v>17.411899999999999</v>
      </c>
      <c r="J625" s="4">
        <f>CHOOSE( CONTROL!$C$32, 17.31, 17.3065) * CHOOSE(CONTROL!$C$15, $D$11, 100%, $F$11)</f>
        <v>17.309999999999999</v>
      </c>
      <c r="K625" s="4"/>
      <c r="L625" s="9">
        <v>29.7257</v>
      </c>
      <c r="M625" s="9">
        <v>11.6745</v>
      </c>
      <c r="N625" s="9">
        <v>4.7850000000000001</v>
      </c>
      <c r="O625" s="9">
        <v>0.36199999999999999</v>
      </c>
      <c r="P625" s="9">
        <v>1.1791</v>
      </c>
      <c r="Q625" s="9">
        <v>19.053000000000001</v>
      </c>
      <c r="R625" s="9"/>
      <c r="S625" s="11"/>
    </row>
    <row r="626" spans="1:19" ht="15.75">
      <c r="A626" s="13">
        <v>60571</v>
      </c>
      <c r="B626" s="8">
        <f>18.7286 * CHOOSE(CONTROL!$C$15, $D$11, 100%, $F$11)</f>
        <v>18.7286</v>
      </c>
      <c r="C626" s="8">
        <f>18.7339 * CHOOSE(CONTROL!$C$15, $D$11, 100%, $F$11)</f>
        <v>18.733899999999998</v>
      </c>
      <c r="D626" s="8">
        <f>18.7455 * CHOOSE( CONTROL!$C$15, $D$11, 100%, $F$11)</f>
        <v>18.7455</v>
      </c>
      <c r="E626" s="12">
        <f>18.7411 * CHOOSE( CONTROL!$C$15, $D$11, 100%, $F$11)</f>
        <v>18.741099999999999</v>
      </c>
      <c r="F626" s="4">
        <f>19.4185 * CHOOSE(CONTROL!$C$15, $D$11, 100%, $F$11)</f>
        <v>19.418500000000002</v>
      </c>
      <c r="G626" s="8">
        <f>18.388 * CHOOSE( CONTROL!$C$15, $D$11, 100%, $F$11)</f>
        <v>18.388000000000002</v>
      </c>
      <c r="H626" s="4">
        <f>19.3253 * CHOOSE(CONTROL!$C$15, $D$11, 100%, $F$11)</f>
        <v>19.325299999999999</v>
      </c>
      <c r="I626" s="8">
        <f>18.1784 * CHOOSE(CONTROL!$C$15, $D$11, 100%, $F$11)</f>
        <v>18.1784</v>
      </c>
      <c r="J626" s="4">
        <f>18.0753 * CHOOSE(CONTROL!$C$15, $D$11, 100%, $F$11)</f>
        <v>18.075299999999999</v>
      </c>
      <c r="K626" s="4"/>
      <c r="L626" s="9">
        <v>31.095300000000002</v>
      </c>
      <c r="M626" s="9">
        <v>12.063700000000001</v>
      </c>
      <c r="N626" s="9">
        <v>4.9444999999999997</v>
      </c>
      <c r="O626" s="9">
        <v>0.37409999999999999</v>
      </c>
      <c r="P626" s="9">
        <v>1.2183999999999999</v>
      </c>
      <c r="Q626" s="9">
        <v>19.688099999999999</v>
      </c>
      <c r="R626" s="9"/>
      <c r="S626" s="11"/>
    </row>
    <row r="627" spans="1:19" ht="15.75">
      <c r="A627" s="13">
        <v>60601</v>
      </c>
      <c r="B627" s="8">
        <f>20.1961 * CHOOSE(CONTROL!$C$15, $D$11, 100%, $F$11)</f>
        <v>20.196100000000001</v>
      </c>
      <c r="C627" s="8">
        <f>20.2012 * CHOOSE(CONTROL!$C$15, $D$11, 100%, $F$11)</f>
        <v>20.2012</v>
      </c>
      <c r="D627" s="8">
        <f>20.1782 * CHOOSE( CONTROL!$C$15, $D$11, 100%, $F$11)</f>
        <v>20.1782</v>
      </c>
      <c r="E627" s="12">
        <f>20.1861 * CHOOSE( CONTROL!$C$15, $D$11, 100%, $F$11)</f>
        <v>20.1861</v>
      </c>
      <c r="F627" s="4">
        <f>20.841 * CHOOSE(CONTROL!$C$15, $D$11, 100%, $F$11)</f>
        <v>20.841000000000001</v>
      </c>
      <c r="G627" s="8">
        <f>19.8424 * CHOOSE( CONTROL!$C$15, $D$11, 100%, $F$11)</f>
        <v>19.842400000000001</v>
      </c>
      <c r="H627" s="4">
        <f>20.7242 * CHOOSE(CONTROL!$C$15, $D$11, 100%, $F$11)</f>
        <v>20.7242</v>
      </c>
      <c r="I627" s="8">
        <f>19.6229 * CHOOSE(CONTROL!$C$15, $D$11, 100%, $F$11)</f>
        <v>19.622900000000001</v>
      </c>
      <c r="J627" s="4">
        <f>19.4944 * CHOOSE(CONTROL!$C$15, $D$11, 100%, $F$11)</f>
        <v>19.494399999999999</v>
      </c>
      <c r="K627" s="4"/>
      <c r="L627" s="9">
        <v>28.360600000000002</v>
      </c>
      <c r="M627" s="9">
        <v>11.6745</v>
      </c>
      <c r="N627" s="9">
        <v>4.7850000000000001</v>
      </c>
      <c r="O627" s="9">
        <v>0.36199999999999999</v>
      </c>
      <c r="P627" s="9">
        <v>1.2509999999999999</v>
      </c>
      <c r="Q627" s="9">
        <v>19.053000000000001</v>
      </c>
      <c r="R627" s="9"/>
      <c r="S627" s="11"/>
    </row>
    <row r="628" spans="1:19" ht="15.75">
      <c r="A628" s="13">
        <v>60632</v>
      </c>
      <c r="B628" s="8">
        <f>20.1594 * CHOOSE(CONTROL!$C$15, $D$11, 100%, $F$11)</f>
        <v>20.159400000000002</v>
      </c>
      <c r="C628" s="8">
        <f>20.1645 * CHOOSE(CONTROL!$C$15, $D$11, 100%, $F$11)</f>
        <v>20.1645</v>
      </c>
      <c r="D628" s="8">
        <f>20.1429 * CHOOSE( CONTROL!$C$15, $D$11, 100%, $F$11)</f>
        <v>20.142900000000001</v>
      </c>
      <c r="E628" s="12">
        <f>20.1503 * CHOOSE( CONTROL!$C$15, $D$11, 100%, $F$11)</f>
        <v>20.150300000000001</v>
      </c>
      <c r="F628" s="4">
        <f>20.8043 * CHOOSE(CONTROL!$C$15, $D$11, 100%, $F$11)</f>
        <v>20.804300000000001</v>
      </c>
      <c r="G628" s="8">
        <f>19.8073 * CHOOSE( CONTROL!$C$15, $D$11, 100%, $F$11)</f>
        <v>19.807300000000001</v>
      </c>
      <c r="H628" s="4">
        <f>20.6881 * CHOOSE(CONTROL!$C$15, $D$11, 100%, $F$11)</f>
        <v>20.688099999999999</v>
      </c>
      <c r="I628" s="8">
        <f>19.5917 * CHOOSE(CONTROL!$C$15, $D$11, 100%, $F$11)</f>
        <v>19.591699999999999</v>
      </c>
      <c r="J628" s="4">
        <f>19.459 * CHOOSE(CONTROL!$C$15, $D$11, 100%, $F$11)</f>
        <v>19.459</v>
      </c>
      <c r="K628" s="4"/>
      <c r="L628" s="9">
        <v>29.306000000000001</v>
      </c>
      <c r="M628" s="9">
        <v>12.063700000000001</v>
      </c>
      <c r="N628" s="9">
        <v>4.9444999999999997</v>
      </c>
      <c r="O628" s="9">
        <v>0.37409999999999999</v>
      </c>
      <c r="P628" s="9">
        <v>1.2927</v>
      </c>
      <c r="Q628" s="9">
        <v>19.688099999999999</v>
      </c>
      <c r="R628" s="9"/>
      <c r="S628" s="11"/>
    </row>
    <row r="629" spans="1:19" ht="15.75">
      <c r="A629" s="13">
        <v>60663</v>
      </c>
      <c r="B629" s="8">
        <f>20.9288 * CHOOSE(CONTROL!$C$15, $D$11, 100%, $F$11)</f>
        <v>20.928799999999999</v>
      </c>
      <c r="C629" s="8">
        <f>20.9339 * CHOOSE(CONTROL!$C$15, $D$11, 100%, $F$11)</f>
        <v>20.933900000000001</v>
      </c>
      <c r="D629" s="8">
        <f>20.908 * CHOOSE( CONTROL!$C$15, $D$11, 100%, $F$11)</f>
        <v>20.908000000000001</v>
      </c>
      <c r="E629" s="12">
        <f>20.9169 * CHOOSE( CONTROL!$C$15, $D$11, 100%, $F$11)</f>
        <v>20.916899999999998</v>
      </c>
      <c r="F629" s="4">
        <f>21.5728 * CHOOSE(CONTROL!$C$15, $D$11, 100%, $F$11)</f>
        <v>21.572800000000001</v>
      </c>
      <c r="G629" s="8">
        <f>20.5576 * CHOOSE( CONTROL!$C$15, $D$11, 100%, $F$11)</f>
        <v>20.557600000000001</v>
      </c>
      <c r="H629" s="4">
        <f>21.4438 * CHOOSE(CONTROL!$C$15, $D$11, 100%, $F$11)</f>
        <v>21.4438</v>
      </c>
      <c r="I629" s="8">
        <f>20.3064 * CHOOSE(CONTROL!$C$15, $D$11, 100%, $F$11)</f>
        <v>20.3064</v>
      </c>
      <c r="J629" s="4">
        <f>20.2027 * CHOOSE(CONTROL!$C$15, $D$11, 100%, $F$11)</f>
        <v>20.2027</v>
      </c>
      <c r="K629" s="4"/>
      <c r="L629" s="9">
        <v>29.306000000000001</v>
      </c>
      <c r="M629" s="9">
        <v>12.063700000000001</v>
      </c>
      <c r="N629" s="9">
        <v>4.9444999999999997</v>
      </c>
      <c r="O629" s="9">
        <v>0.37409999999999999</v>
      </c>
      <c r="P629" s="9">
        <v>1.2927</v>
      </c>
      <c r="Q629" s="9">
        <v>19.688099999999999</v>
      </c>
      <c r="R629" s="9"/>
      <c r="S629" s="11"/>
    </row>
    <row r="630" spans="1:19" ht="15.75">
      <c r="A630" s="13">
        <v>60691</v>
      </c>
      <c r="B630" s="8">
        <f>19.5777 * CHOOSE(CONTROL!$C$15, $D$11, 100%, $F$11)</f>
        <v>19.5777</v>
      </c>
      <c r="C630" s="8">
        <f>19.5828 * CHOOSE(CONTROL!$C$15, $D$11, 100%, $F$11)</f>
        <v>19.582799999999999</v>
      </c>
      <c r="D630" s="8">
        <f>19.5572 * CHOOSE( CONTROL!$C$15, $D$11, 100%, $F$11)</f>
        <v>19.557200000000002</v>
      </c>
      <c r="E630" s="12">
        <f>19.566 * CHOOSE( CONTROL!$C$15, $D$11, 100%, $F$11)</f>
        <v>19.565999999999999</v>
      </c>
      <c r="F630" s="4">
        <f>20.2217 * CHOOSE(CONTROL!$C$15, $D$11, 100%, $F$11)</f>
        <v>20.221699999999998</v>
      </c>
      <c r="G630" s="8">
        <f>19.2291 * CHOOSE( CONTROL!$C$15, $D$11, 100%, $F$11)</f>
        <v>19.229099999999999</v>
      </c>
      <c r="H630" s="4">
        <f>20.1152 * CHOOSE(CONTROL!$C$15, $D$11, 100%, $F$11)</f>
        <v>20.115200000000002</v>
      </c>
      <c r="I630" s="8">
        <f>19.0004 * CHOOSE(CONTROL!$C$15, $D$11, 100%, $F$11)</f>
        <v>19.000399999999999</v>
      </c>
      <c r="J630" s="4">
        <f>18.8966 * CHOOSE(CONTROL!$C$15, $D$11, 100%, $F$11)</f>
        <v>18.896599999999999</v>
      </c>
      <c r="K630" s="4"/>
      <c r="L630" s="9">
        <v>26.469899999999999</v>
      </c>
      <c r="M630" s="9">
        <v>10.8962</v>
      </c>
      <c r="N630" s="9">
        <v>4.4660000000000002</v>
      </c>
      <c r="O630" s="9">
        <v>0.33789999999999998</v>
      </c>
      <c r="P630" s="9">
        <v>1.1676</v>
      </c>
      <c r="Q630" s="9">
        <v>17.782800000000002</v>
      </c>
      <c r="R630" s="9"/>
      <c r="S630" s="11"/>
    </row>
    <row r="631" spans="1:19" ht="15.75">
      <c r="A631" s="13">
        <v>60722</v>
      </c>
      <c r="B631" s="8">
        <f>19.1616 * CHOOSE(CONTROL!$C$15, $D$11, 100%, $F$11)</f>
        <v>19.1616</v>
      </c>
      <c r="C631" s="8">
        <f>19.1667 * CHOOSE(CONTROL!$C$15, $D$11, 100%, $F$11)</f>
        <v>19.166699999999999</v>
      </c>
      <c r="D631" s="8">
        <f>19.141 * CHOOSE( CONTROL!$C$15, $D$11, 100%, $F$11)</f>
        <v>19.140999999999998</v>
      </c>
      <c r="E631" s="12">
        <f>19.1499 * CHOOSE( CONTROL!$C$15, $D$11, 100%, $F$11)</f>
        <v>19.149899999999999</v>
      </c>
      <c r="F631" s="4">
        <f>19.8056 * CHOOSE(CONTROL!$C$15, $D$11, 100%, $F$11)</f>
        <v>19.805599999999998</v>
      </c>
      <c r="G631" s="8">
        <f>18.8198 * CHOOSE( CONTROL!$C$15, $D$11, 100%, $F$11)</f>
        <v>18.819800000000001</v>
      </c>
      <c r="H631" s="4">
        <f>19.706 * CHOOSE(CONTROL!$C$15, $D$11, 100%, $F$11)</f>
        <v>19.706</v>
      </c>
      <c r="I631" s="8">
        <f>18.5977 * CHOOSE(CONTROL!$C$15, $D$11, 100%, $F$11)</f>
        <v>18.5977</v>
      </c>
      <c r="J631" s="4">
        <f>18.4943 * CHOOSE(CONTROL!$C$15, $D$11, 100%, $F$11)</f>
        <v>18.494299999999999</v>
      </c>
      <c r="K631" s="4"/>
      <c r="L631" s="9">
        <v>29.306000000000001</v>
      </c>
      <c r="M631" s="9">
        <v>12.063700000000001</v>
      </c>
      <c r="N631" s="9">
        <v>4.9444999999999997</v>
      </c>
      <c r="O631" s="9">
        <v>0.37409999999999999</v>
      </c>
      <c r="P631" s="9">
        <v>1.2927</v>
      </c>
      <c r="Q631" s="9">
        <v>19.688099999999999</v>
      </c>
      <c r="R631" s="9"/>
      <c r="S631" s="11"/>
    </row>
    <row r="632" spans="1:19" ht="15.75">
      <c r="A632" s="13">
        <v>60752</v>
      </c>
      <c r="B632" s="8">
        <f>19.4531 * CHOOSE(CONTROL!$C$15, $D$11, 100%, $F$11)</f>
        <v>19.453099999999999</v>
      </c>
      <c r="C632" s="8">
        <f>19.4577 * CHOOSE(CONTROL!$C$15, $D$11, 100%, $F$11)</f>
        <v>19.457699999999999</v>
      </c>
      <c r="D632" s="8">
        <f>19.4687 * CHOOSE( CONTROL!$C$15, $D$11, 100%, $F$11)</f>
        <v>19.468699999999998</v>
      </c>
      <c r="E632" s="12">
        <f>19.4645 * CHOOSE( CONTROL!$C$15, $D$11, 100%, $F$11)</f>
        <v>19.464500000000001</v>
      </c>
      <c r="F632" s="4">
        <f>20.1428 * CHOOSE(CONTROL!$C$15, $D$11, 100%, $F$11)</f>
        <v>20.142800000000001</v>
      </c>
      <c r="G632" s="8">
        <f>19.0987 * CHOOSE( CONTROL!$C$15, $D$11, 100%, $F$11)</f>
        <v>19.098700000000001</v>
      </c>
      <c r="H632" s="4">
        <f>20.0375 * CHOOSE(CONTROL!$C$15, $D$11, 100%, $F$11)</f>
        <v>20.037500000000001</v>
      </c>
      <c r="I632" s="8">
        <f>18.874 * CHOOSE(CONTROL!$C$15, $D$11, 100%, $F$11)</f>
        <v>18.873999999999999</v>
      </c>
      <c r="J632" s="4">
        <f>18.7754 * CHOOSE(CONTROL!$C$15, $D$11, 100%, $F$11)</f>
        <v>18.775400000000001</v>
      </c>
      <c r="K632" s="4"/>
      <c r="L632" s="9">
        <v>30.092199999999998</v>
      </c>
      <c r="M632" s="9">
        <v>11.6745</v>
      </c>
      <c r="N632" s="9">
        <v>4.7850000000000001</v>
      </c>
      <c r="O632" s="9">
        <v>0.36199999999999999</v>
      </c>
      <c r="P632" s="9">
        <v>1.1791</v>
      </c>
      <c r="Q632" s="9">
        <v>19.053000000000001</v>
      </c>
      <c r="R632" s="9"/>
      <c r="S632" s="11"/>
    </row>
    <row r="633" spans="1:19" ht="15.75">
      <c r="A633" s="13">
        <v>60783</v>
      </c>
      <c r="B633" s="8">
        <f>CHOOSE( CONTROL!$C$32, 19.9756, 19.972) * CHOOSE(CONTROL!$C$15, $D$11, 100%, $F$11)</f>
        <v>19.9756</v>
      </c>
      <c r="C633" s="8">
        <f>CHOOSE( CONTROL!$C$32, 19.9836, 19.98) * CHOOSE(CONTROL!$C$15, $D$11, 100%, $F$11)</f>
        <v>19.983599999999999</v>
      </c>
      <c r="D633" s="8">
        <f>CHOOSE( CONTROL!$C$32, 19.9896, 19.986) * CHOOSE( CONTROL!$C$15, $D$11, 100%, $F$11)</f>
        <v>19.989599999999999</v>
      </c>
      <c r="E633" s="12">
        <f>CHOOSE( CONTROL!$C$32, 19.9862, 19.9826) * CHOOSE( CONTROL!$C$15, $D$11, 100%, $F$11)</f>
        <v>19.9862</v>
      </c>
      <c r="F633" s="4">
        <f>CHOOSE( CONTROL!$C$32, 20.6638, 20.6603) * CHOOSE(CONTROL!$C$15, $D$11, 100%, $F$11)</f>
        <v>20.663799999999998</v>
      </c>
      <c r="G633" s="8">
        <f>CHOOSE( CONTROL!$C$32, 19.6121, 19.6086) * CHOOSE( CONTROL!$C$15, $D$11, 100%, $F$11)</f>
        <v>19.612100000000002</v>
      </c>
      <c r="H633" s="4">
        <f>CHOOSE( CONTROL!$C$32, 20.55, 20.5465) * CHOOSE(CONTROL!$C$15, $D$11, 100%, $F$11)</f>
        <v>20.55</v>
      </c>
      <c r="I633" s="8">
        <f>CHOOSE( CONTROL!$C$32, 19.3788, 19.3754) * CHOOSE(CONTROL!$C$15, $D$11, 100%, $F$11)</f>
        <v>19.378799999999998</v>
      </c>
      <c r="J633" s="4">
        <f>CHOOSE( CONTROL!$C$32, 19.2792, 19.2757) * CHOOSE(CONTROL!$C$15, $D$11, 100%, $F$11)</f>
        <v>19.279199999999999</v>
      </c>
      <c r="K633" s="4"/>
      <c r="L633" s="9">
        <v>30.7165</v>
      </c>
      <c r="M633" s="9">
        <v>12.063700000000001</v>
      </c>
      <c r="N633" s="9">
        <v>4.9444999999999997</v>
      </c>
      <c r="O633" s="9">
        <v>0.37409999999999999</v>
      </c>
      <c r="P633" s="9">
        <v>1.2183999999999999</v>
      </c>
      <c r="Q633" s="9">
        <v>19.688099999999999</v>
      </c>
      <c r="R633" s="9"/>
      <c r="S633" s="11"/>
    </row>
    <row r="634" spans="1:19" ht="15.75">
      <c r="A634" s="13">
        <v>60813</v>
      </c>
      <c r="B634" s="8">
        <f>CHOOSE( CONTROL!$C$32, 19.655, 19.6514) * CHOOSE(CONTROL!$C$15, $D$11, 100%, $F$11)</f>
        <v>19.655000000000001</v>
      </c>
      <c r="C634" s="8">
        <f>CHOOSE( CONTROL!$C$32, 19.663, 19.6594) * CHOOSE(CONTROL!$C$15, $D$11, 100%, $F$11)</f>
        <v>19.663</v>
      </c>
      <c r="D634" s="8">
        <f>CHOOSE( CONTROL!$C$32, 19.6693, 19.6657) * CHOOSE( CONTROL!$C$15, $D$11, 100%, $F$11)</f>
        <v>19.6693</v>
      </c>
      <c r="E634" s="12">
        <f>CHOOSE( CONTROL!$C$32, 19.6658, 19.6622) * CHOOSE( CONTROL!$C$15, $D$11, 100%, $F$11)</f>
        <v>19.665800000000001</v>
      </c>
      <c r="F634" s="4">
        <f>CHOOSE( CONTROL!$C$32, 20.3433, 20.3397) * CHOOSE(CONTROL!$C$15, $D$11, 100%, $F$11)</f>
        <v>20.343299999999999</v>
      </c>
      <c r="G634" s="8">
        <f>CHOOSE( CONTROL!$C$32, 19.2972, 19.2937) * CHOOSE( CONTROL!$C$15, $D$11, 100%, $F$11)</f>
        <v>19.2972</v>
      </c>
      <c r="H634" s="4">
        <f>CHOOSE( CONTROL!$C$32, 20.2347, 20.2312) * CHOOSE(CONTROL!$C$15, $D$11, 100%, $F$11)</f>
        <v>20.2347</v>
      </c>
      <c r="I634" s="8">
        <f>CHOOSE( CONTROL!$C$32, 19.0701, 19.0667) * CHOOSE(CONTROL!$C$15, $D$11, 100%, $F$11)</f>
        <v>19.0701</v>
      </c>
      <c r="J634" s="4">
        <f>CHOOSE( CONTROL!$C$32, 18.9692, 18.9658) * CHOOSE(CONTROL!$C$15, $D$11, 100%, $F$11)</f>
        <v>18.969200000000001</v>
      </c>
      <c r="K634" s="4"/>
      <c r="L634" s="9">
        <v>29.7257</v>
      </c>
      <c r="M634" s="9">
        <v>11.6745</v>
      </c>
      <c r="N634" s="9">
        <v>4.7850000000000001</v>
      </c>
      <c r="O634" s="9">
        <v>0.36199999999999999</v>
      </c>
      <c r="P634" s="9">
        <v>1.1791</v>
      </c>
      <c r="Q634" s="9">
        <v>19.053000000000001</v>
      </c>
      <c r="R634" s="9"/>
      <c r="S634" s="11"/>
    </row>
    <row r="635" spans="1:19" ht="15.75">
      <c r="A635" s="13">
        <v>60844</v>
      </c>
      <c r="B635" s="8">
        <f>CHOOSE( CONTROL!$C$32, 20.4992, 20.4956) * CHOOSE(CONTROL!$C$15, $D$11, 100%, $F$11)</f>
        <v>20.499199999999998</v>
      </c>
      <c r="C635" s="8">
        <f>CHOOSE( CONTROL!$C$32, 20.5072, 20.5037) * CHOOSE(CONTROL!$C$15, $D$11, 100%, $F$11)</f>
        <v>20.507200000000001</v>
      </c>
      <c r="D635" s="8">
        <f>CHOOSE( CONTROL!$C$32, 20.5138, 20.5102) * CHOOSE( CONTROL!$C$15, $D$11, 100%, $F$11)</f>
        <v>20.5138</v>
      </c>
      <c r="E635" s="12">
        <f>CHOOSE( CONTROL!$C$32, 20.5102, 20.5066) * CHOOSE( CONTROL!$C$15, $D$11, 100%, $F$11)</f>
        <v>20.510200000000001</v>
      </c>
      <c r="F635" s="4">
        <f>CHOOSE( CONTROL!$C$32, 21.1875, 21.1839) * CHOOSE(CONTROL!$C$15, $D$11, 100%, $F$11)</f>
        <v>21.1875</v>
      </c>
      <c r="G635" s="8">
        <f>CHOOSE( CONTROL!$C$32, 20.1279, 20.1244) * CHOOSE( CONTROL!$C$15, $D$11, 100%, $F$11)</f>
        <v>20.1279</v>
      </c>
      <c r="H635" s="4">
        <f>CHOOSE( CONTROL!$C$32, 21.0649, 21.0614) * CHOOSE(CONTROL!$C$15, $D$11, 100%, $F$11)</f>
        <v>21.064900000000002</v>
      </c>
      <c r="I635" s="8">
        <f>CHOOSE( CONTROL!$C$32, 19.8881, 19.8846) * CHOOSE(CONTROL!$C$15, $D$11, 100%, $F$11)</f>
        <v>19.888100000000001</v>
      </c>
      <c r="J635" s="4">
        <f>CHOOSE( CONTROL!$C$32, 19.7853, 19.7819) * CHOOSE(CONTROL!$C$15, $D$11, 100%, $F$11)</f>
        <v>19.785299999999999</v>
      </c>
      <c r="K635" s="4"/>
      <c r="L635" s="9">
        <v>30.7165</v>
      </c>
      <c r="M635" s="9">
        <v>12.063700000000001</v>
      </c>
      <c r="N635" s="9">
        <v>4.9444999999999997</v>
      </c>
      <c r="O635" s="9">
        <v>0.37409999999999999</v>
      </c>
      <c r="P635" s="9">
        <v>1.2183999999999999</v>
      </c>
      <c r="Q635" s="9">
        <v>19.688099999999999</v>
      </c>
      <c r="R635" s="9"/>
      <c r="S635" s="11"/>
    </row>
    <row r="636" spans="1:19" ht="15.75">
      <c r="A636" s="13">
        <v>60875</v>
      </c>
      <c r="B636" s="8">
        <f>CHOOSE( CONTROL!$C$32, 18.9196, 18.916) * CHOOSE(CONTROL!$C$15, $D$11, 100%, $F$11)</f>
        <v>18.919599999999999</v>
      </c>
      <c r="C636" s="8">
        <f>CHOOSE( CONTROL!$C$32, 18.9276, 18.924) * CHOOSE(CONTROL!$C$15, $D$11, 100%, $F$11)</f>
        <v>18.927600000000002</v>
      </c>
      <c r="D636" s="8">
        <f>CHOOSE( CONTROL!$C$32, 18.9343, 18.9307) * CHOOSE( CONTROL!$C$15, $D$11, 100%, $F$11)</f>
        <v>18.9343</v>
      </c>
      <c r="E636" s="12">
        <f>CHOOSE( CONTROL!$C$32, 18.9307, 18.9271) * CHOOSE( CONTROL!$C$15, $D$11, 100%, $F$11)</f>
        <v>18.930700000000002</v>
      </c>
      <c r="F636" s="4">
        <f>CHOOSE( CONTROL!$C$32, 19.6079, 19.6043) * CHOOSE(CONTROL!$C$15, $D$11, 100%, $F$11)</f>
        <v>19.607900000000001</v>
      </c>
      <c r="G636" s="8">
        <f>CHOOSE( CONTROL!$C$32, 18.5746, 18.5711) * CHOOSE( CONTROL!$C$15, $D$11, 100%, $F$11)</f>
        <v>18.5746</v>
      </c>
      <c r="H636" s="4">
        <f>CHOOSE( CONTROL!$C$32, 19.5115, 19.508) * CHOOSE(CONTROL!$C$15, $D$11, 100%, $F$11)</f>
        <v>19.511500000000002</v>
      </c>
      <c r="I636" s="8">
        <f>CHOOSE( CONTROL!$C$32, 18.3608, 18.3573) * CHOOSE(CONTROL!$C$15, $D$11, 100%, $F$11)</f>
        <v>18.360800000000001</v>
      </c>
      <c r="J636" s="4">
        <f>CHOOSE( CONTROL!$C$32, 18.2583, 18.2549) * CHOOSE(CONTROL!$C$15, $D$11, 100%, $F$11)</f>
        <v>18.258299999999998</v>
      </c>
      <c r="K636" s="4"/>
      <c r="L636" s="9">
        <v>30.7165</v>
      </c>
      <c r="M636" s="9">
        <v>12.063700000000001</v>
      </c>
      <c r="N636" s="9">
        <v>4.9444999999999997</v>
      </c>
      <c r="O636" s="9">
        <v>0.37409999999999999</v>
      </c>
      <c r="P636" s="9">
        <v>1.2183999999999999</v>
      </c>
      <c r="Q636" s="9">
        <v>19.688099999999999</v>
      </c>
      <c r="R636" s="9"/>
      <c r="S636" s="11"/>
    </row>
    <row r="637" spans="1:19" ht="15.75">
      <c r="A637" s="13">
        <v>60905</v>
      </c>
      <c r="B637" s="8">
        <f>CHOOSE( CONTROL!$C$32, 18.524, 18.5205) * CHOOSE(CONTROL!$C$15, $D$11, 100%, $F$11)</f>
        <v>18.524000000000001</v>
      </c>
      <c r="C637" s="8">
        <f>CHOOSE( CONTROL!$C$32, 18.532, 18.5285) * CHOOSE(CONTROL!$C$15, $D$11, 100%, $F$11)</f>
        <v>18.532</v>
      </c>
      <c r="D637" s="8">
        <f>CHOOSE( CONTROL!$C$32, 18.5387, 18.5352) * CHOOSE( CONTROL!$C$15, $D$11, 100%, $F$11)</f>
        <v>18.538699999999999</v>
      </c>
      <c r="E637" s="12">
        <f>CHOOSE( CONTROL!$C$32, 18.5351, 18.5316) * CHOOSE( CONTROL!$C$15, $D$11, 100%, $F$11)</f>
        <v>18.5351</v>
      </c>
      <c r="F637" s="4">
        <f>CHOOSE( CONTROL!$C$32, 19.2123, 19.2087) * CHOOSE(CONTROL!$C$15, $D$11, 100%, $F$11)</f>
        <v>19.212299999999999</v>
      </c>
      <c r="G637" s="8">
        <f>CHOOSE( CONTROL!$C$32, 18.1856, 18.1821) * CHOOSE( CONTROL!$C$15, $D$11, 100%, $F$11)</f>
        <v>18.185600000000001</v>
      </c>
      <c r="H637" s="4">
        <f>CHOOSE( CONTROL!$C$32, 19.1225, 19.119) * CHOOSE(CONTROL!$C$15, $D$11, 100%, $F$11)</f>
        <v>19.122499999999999</v>
      </c>
      <c r="I637" s="8">
        <f>CHOOSE( CONTROL!$C$32, 17.9782, 17.9747) * CHOOSE(CONTROL!$C$15, $D$11, 100%, $F$11)</f>
        <v>17.978200000000001</v>
      </c>
      <c r="J637" s="4">
        <f>CHOOSE( CONTROL!$C$32, 17.8759, 17.8725) * CHOOSE(CONTROL!$C$15, $D$11, 100%, $F$11)</f>
        <v>17.875900000000001</v>
      </c>
      <c r="K637" s="4"/>
      <c r="L637" s="9">
        <v>29.7257</v>
      </c>
      <c r="M637" s="9">
        <v>11.6745</v>
      </c>
      <c r="N637" s="9">
        <v>4.7850000000000001</v>
      </c>
      <c r="O637" s="9">
        <v>0.36199999999999999</v>
      </c>
      <c r="P637" s="9">
        <v>1.1791</v>
      </c>
      <c r="Q637" s="9">
        <v>19.053000000000001</v>
      </c>
      <c r="R637" s="9"/>
      <c r="S637" s="11"/>
    </row>
    <row r="638" spans="1:19" ht="15.75">
      <c r="A638" s="13">
        <v>60936</v>
      </c>
      <c r="B638" s="8">
        <f>19.34 * CHOOSE(CONTROL!$C$15, $D$11, 100%, $F$11)</f>
        <v>19.34</v>
      </c>
      <c r="C638" s="8">
        <f>19.3454 * CHOOSE(CONTROL!$C$15, $D$11, 100%, $F$11)</f>
        <v>19.345400000000001</v>
      </c>
      <c r="D638" s="8">
        <f>19.3569 * CHOOSE( CONTROL!$C$15, $D$11, 100%, $F$11)</f>
        <v>19.3569</v>
      </c>
      <c r="E638" s="12">
        <f>19.3525 * CHOOSE( CONTROL!$C$15, $D$11, 100%, $F$11)</f>
        <v>19.352499999999999</v>
      </c>
      <c r="F638" s="4">
        <f>20.03 * CHOOSE(CONTROL!$C$15, $D$11, 100%, $F$11)</f>
        <v>20.03</v>
      </c>
      <c r="G638" s="8">
        <f>18.9893 * CHOOSE( CONTROL!$C$15, $D$11, 100%, $F$11)</f>
        <v>18.9893</v>
      </c>
      <c r="H638" s="4">
        <f>19.9267 * CHOOSE(CONTROL!$C$15, $D$11, 100%, $F$11)</f>
        <v>19.9267</v>
      </c>
      <c r="I638" s="8">
        <f>18.7698 * CHOOSE(CONTROL!$C$15, $D$11, 100%, $F$11)</f>
        <v>18.7698</v>
      </c>
      <c r="J638" s="4">
        <f>18.6665 * CHOOSE(CONTROL!$C$15, $D$11, 100%, $F$11)</f>
        <v>18.666499999999999</v>
      </c>
      <c r="K638" s="4"/>
      <c r="L638" s="9">
        <v>31.095300000000002</v>
      </c>
      <c r="M638" s="9">
        <v>12.063700000000001</v>
      </c>
      <c r="N638" s="9">
        <v>4.9444999999999997</v>
      </c>
      <c r="O638" s="9">
        <v>0.37409999999999999</v>
      </c>
      <c r="P638" s="9">
        <v>1.2183999999999999</v>
      </c>
      <c r="Q638" s="9">
        <v>19.688099999999999</v>
      </c>
      <c r="R638" s="9"/>
      <c r="S638" s="11"/>
    </row>
    <row r="639" spans="1:19" ht="15.75">
      <c r="A639" s="13">
        <v>60966</v>
      </c>
      <c r="B639" s="8">
        <f>20.8556 * CHOOSE(CONTROL!$C$15, $D$11, 100%, $F$11)</f>
        <v>20.855599999999999</v>
      </c>
      <c r="C639" s="8">
        <f>20.8607 * CHOOSE(CONTROL!$C$15, $D$11, 100%, $F$11)</f>
        <v>20.860700000000001</v>
      </c>
      <c r="D639" s="8">
        <f>20.8377 * CHOOSE( CONTROL!$C$15, $D$11, 100%, $F$11)</f>
        <v>20.837700000000002</v>
      </c>
      <c r="E639" s="12">
        <f>20.8456 * CHOOSE( CONTROL!$C$15, $D$11, 100%, $F$11)</f>
        <v>20.845600000000001</v>
      </c>
      <c r="F639" s="4">
        <f>21.5005 * CHOOSE(CONTROL!$C$15, $D$11, 100%, $F$11)</f>
        <v>21.500499999999999</v>
      </c>
      <c r="G639" s="8">
        <f>20.4909 * CHOOSE( CONTROL!$C$15, $D$11, 100%, $F$11)</f>
        <v>20.4909</v>
      </c>
      <c r="H639" s="4">
        <f>21.3727 * CHOOSE(CONTROL!$C$15, $D$11, 100%, $F$11)</f>
        <v>21.372699999999998</v>
      </c>
      <c r="I639" s="8">
        <f>20.2607 * CHOOSE(CONTROL!$C$15, $D$11, 100%, $F$11)</f>
        <v>20.2607</v>
      </c>
      <c r="J639" s="4">
        <f>20.1319 * CHOOSE(CONTROL!$C$15, $D$11, 100%, $F$11)</f>
        <v>20.131900000000002</v>
      </c>
      <c r="K639" s="4"/>
      <c r="L639" s="9">
        <v>28.360600000000002</v>
      </c>
      <c r="M639" s="9">
        <v>11.6745</v>
      </c>
      <c r="N639" s="9">
        <v>4.7850000000000001</v>
      </c>
      <c r="O639" s="9">
        <v>0.36199999999999999</v>
      </c>
      <c r="P639" s="9">
        <v>1.2509999999999999</v>
      </c>
      <c r="Q639" s="9">
        <v>19.053000000000001</v>
      </c>
      <c r="R639" s="9"/>
      <c r="S639" s="11"/>
    </row>
    <row r="640" spans="1:19" ht="15.75">
      <c r="A640" s="13">
        <v>60997</v>
      </c>
      <c r="B640" s="8">
        <f>20.8177 * CHOOSE(CONTROL!$C$15, $D$11, 100%, $F$11)</f>
        <v>20.817699999999999</v>
      </c>
      <c r="C640" s="8">
        <f>20.8229 * CHOOSE(CONTROL!$C$15, $D$11, 100%, $F$11)</f>
        <v>20.822900000000001</v>
      </c>
      <c r="D640" s="8">
        <f>20.8012 * CHOOSE( CONTROL!$C$15, $D$11, 100%, $F$11)</f>
        <v>20.801200000000001</v>
      </c>
      <c r="E640" s="12">
        <f>20.8086 * CHOOSE( CONTROL!$C$15, $D$11, 100%, $F$11)</f>
        <v>20.808599999999998</v>
      </c>
      <c r="F640" s="4">
        <f>21.4626 * CHOOSE(CONTROL!$C$15, $D$11, 100%, $F$11)</f>
        <v>21.462599999999998</v>
      </c>
      <c r="G640" s="8">
        <f>20.4547 * CHOOSE( CONTROL!$C$15, $D$11, 100%, $F$11)</f>
        <v>20.454699999999999</v>
      </c>
      <c r="H640" s="4">
        <f>21.3355 * CHOOSE(CONTROL!$C$15, $D$11, 100%, $F$11)</f>
        <v>21.3355</v>
      </c>
      <c r="I640" s="8">
        <f>20.2284 * CHOOSE(CONTROL!$C$15, $D$11, 100%, $F$11)</f>
        <v>20.228400000000001</v>
      </c>
      <c r="J640" s="4">
        <f>20.0953 * CHOOSE(CONTROL!$C$15, $D$11, 100%, $F$11)</f>
        <v>20.095300000000002</v>
      </c>
      <c r="K640" s="4"/>
      <c r="L640" s="9">
        <v>29.306000000000001</v>
      </c>
      <c r="M640" s="9">
        <v>12.063700000000001</v>
      </c>
      <c r="N640" s="9">
        <v>4.9444999999999997</v>
      </c>
      <c r="O640" s="9">
        <v>0.37409999999999999</v>
      </c>
      <c r="P640" s="9">
        <v>1.2927</v>
      </c>
      <c r="Q640" s="9">
        <v>19.688099999999999</v>
      </c>
      <c r="R640" s="9"/>
      <c r="S640" s="11"/>
    </row>
    <row r="641" spans="1:19" ht="15.75">
      <c r="A641" s="13">
        <v>61028</v>
      </c>
      <c r="B641" s="8">
        <f>21.6122 * CHOOSE(CONTROL!$C$15, $D$11, 100%, $F$11)</f>
        <v>21.612200000000001</v>
      </c>
      <c r="C641" s="8">
        <f>21.6173 * CHOOSE(CONTROL!$C$15, $D$11, 100%, $F$11)</f>
        <v>21.6173</v>
      </c>
      <c r="D641" s="8">
        <f>21.5915 * CHOOSE( CONTROL!$C$15, $D$11, 100%, $F$11)</f>
        <v>21.5915</v>
      </c>
      <c r="E641" s="12">
        <f>21.6004 * CHOOSE( CONTROL!$C$15, $D$11, 100%, $F$11)</f>
        <v>21.6004</v>
      </c>
      <c r="F641" s="4">
        <f>22.2562 * CHOOSE(CONTROL!$C$15, $D$11, 100%, $F$11)</f>
        <v>22.2562</v>
      </c>
      <c r="G641" s="8">
        <f>21.2297 * CHOOSE( CONTROL!$C$15, $D$11, 100%, $F$11)</f>
        <v>21.229700000000001</v>
      </c>
      <c r="H641" s="4">
        <f>22.116 * CHOOSE(CONTROL!$C$15, $D$11, 100%, $F$11)</f>
        <v>22.116</v>
      </c>
      <c r="I641" s="8">
        <f>20.9674 * CHOOSE(CONTROL!$C$15, $D$11, 100%, $F$11)</f>
        <v>20.967400000000001</v>
      </c>
      <c r="J641" s="4">
        <f>20.8634 * CHOOSE(CONTROL!$C$15, $D$11, 100%, $F$11)</f>
        <v>20.863399999999999</v>
      </c>
      <c r="K641" s="4"/>
      <c r="L641" s="9">
        <v>29.306000000000001</v>
      </c>
      <c r="M641" s="9">
        <v>12.063700000000001</v>
      </c>
      <c r="N641" s="9">
        <v>4.9444999999999997</v>
      </c>
      <c r="O641" s="9">
        <v>0.37409999999999999</v>
      </c>
      <c r="P641" s="9">
        <v>1.2927</v>
      </c>
      <c r="Q641" s="9">
        <v>19.688099999999999</v>
      </c>
      <c r="R641" s="9"/>
      <c r="S641" s="11"/>
    </row>
    <row r="642" spans="1:19" ht="15.75">
      <c r="A642" s="13">
        <v>61056</v>
      </c>
      <c r="B642" s="8">
        <f>20.217 * CHOOSE(CONTROL!$C$15, $D$11, 100%, $F$11)</f>
        <v>20.216999999999999</v>
      </c>
      <c r="C642" s="8">
        <f>20.2221 * CHOOSE(CONTROL!$C$15, $D$11, 100%, $F$11)</f>
        <v>20.222100000000001</v>
      </c>
      <c r="D642" s="8">
        <f>20.1965 * CHOOSE( CONTROL!$C$15, $D$11, 100%, $F$11)</f>
        <v>20.1965</v>
      </c>
      <c r="E642" s="12">
        <f>20.2053 * CHOOSE( CONTROL!$C$15, $D$11, 100%, $F$11)</f>
        <v>20.205300000000001</v>
      </c>
      <c r="F642" s="4">
        <f>20.861 * CHOOSE(CONTROL!$C$15, $D$11, 100%, $F$11)</f>
        <v>20.861000000000001</v>
      </c>
      <c r="G642" s="8">
        <f>19.8578 * CHOOSE( CONTROL!$C$15, $D$11, 100%, $F$11)</f>
        <v>19.857800000000001</v>
      </c>
      <c r="H642" s="4">
        <f>20.7439 * CHOOSE(CONTROL!$C$15, $D$11, 100%, $F$11)</f>
        <v>20.7439</v>
      </c>
      <c r="I642" s="8">
        <f>19.6187 * CHOOSE(CONTROL!$C$15, $D$11, 100%, $F$11)</f>
        <v>19.6187</v>
      </c>
      <c r="J642" s="4">
        <f>19.5146 * CHOOSE(CONTROL!$C$15, $D$11, 100%, $F$11)</f>
        <v>19.514600000000002</v>
      </c>
      <c r="K642" s="4"/>
      <c r="L642" s="9">
        <v>26.469899999999999</v>
      </c>
      <c r="M642" s="9">
        <v>10.8962</v>
      </c>
      <c r="N642" s="9">
        <v>4.4660000000000002</v>
      </c>
      <c r="O642" s="9">
        <v>0.33789999999999998</v>
      </c>
      <c r="P642" s="9">
        <v>1.1676</v>
      </c>
      <c r="Q642" s="9">
        <v>17.782800000000002</v>
      </c>
      <c r="R642" s="9"/>
      <c r="S642" s="11"/>
    </row>
    <row r="643" spans="1:19" ht="15.75">
      <c r="A643" s="13">
        <v>61087</v>
      </c>
      <c r="B643" s="8">
        <f>19.7872 * CHOOSE(CONTROL!$C$15, $D$11, 100%, $F$11)</f>
        <v>19.787199999999999</v>
      </c>
      <c r="C643" s="8">
        <f>19.7924 * CHOOSE(CONTROL!$C$15, $D$11, 100%, $F$11)</f>
        <v>19.792400000000001</v>
      </c>
      <c r="D643" s="8">
        <f>19.7667 * CHOOSE( CONTROL!$C$15, $D$11, 100%, $F$11)</f>
        <v>19.7667</v>
      </c>
      <c r="E643" s="12">
        <f>19.7755 * CHOOSE( CONTROL!$C$15, $D$11, 100%, $F$11)</f>
        <v>19.775500000000001</v>
      </c>
      <c r="F643" s="4">
        <f>20.4313 * CHOOSE(CONTROL!$C$15, $D$11, 100%, $F$11)</f>
        <v>20.4313</v>
      </c>
      <c r="G643" s="8">
        <f>19.4351 * CHOOSE( CONTROL!$C$15, $D$11, 100%, $F$11)</f>
        <v>19.435099999999998</v>
      </c>
      <c r="H643" s="4">
        <f>20.3212 * CHOOSE(CONTROL!$C$15, $D$11, 100%, $F$11)</f>
        <v>20.321200000000001</v>
      </c>
      <c r="I643" s="8">
        <f>19.2029 * CHOOSE(CONTROL!$C$15, $D$11, 100%, $F$11)</f>
        <v>19.2029</v>
      </c>
      <c r="J643" s="4">
        <f>19.0992 * CHOOSE(CONTROL!$C$15, $D$11, 100%, $F$11)</f>
        <v>19.0992</v>
      </c>
      <c r="K643" s="4"/>
      <c r="L643" s="9">
        <v>29.306000000000001</v>
      </c>
      <c r="M643" s="9">
        <v>12.063700000000001</v>
      </c>
      <c r="N643" s="9">
        <v>4.9444999999999997</v>
      </c>
      <c r="O643" s="9">
        <v>0.37409999999999999</v>
      </c>
      <c r="P643" s="9">
        <v>1.2927</v>
      </c>
      <c r="Q643" s="9">
        <v>19.688099999999999</v>
      </c>
      <c r="R643" s="9"/>
      <c r="S643" s="11"/>
    </row>
    <row r="644" spans="1:19" ht="15.75">
      <c r="A644" s="13">
        <v>61117</v>
      </c>
      <c r="B644" s="8">
        <f>20.0883 * CHOOSE(CONTROL!$C$15, $D$11, 100%, $F$11)</f>
        <v>20.0883</v>
      </c>
      <c r="C644" s="8">
        <f>20.0928 * CHOOSE(CONTROL!$C$15, $D$11, 100%, $F$11)</f>
        <v>20.0928</v>
      </c>
      <c r="D644" s="8">
        <f>20.1039 * CHOOSE( CONTROL!$C$15, $D$11, 100%, $F$11)</f>
        <v>20.103899999999999</v>
      </c>
      <c r="E644" s="12">
        <f>20.0997 * CHOOSE( CONTROL!$C$15, $D$11, 100%, $F$11)</f>
        <v>20.099699999999999</v>
      </c>
      <c r="F644" s="4">
        <f>20.7779 * CHOOSE(CONTROL!$C$15, $D$11, 100%, $F$11)</f>
        <v>20.777899999999999</v>
      </c>
      <c r="G644" s="8">
        <f>19.7233 * CHOOSE( CONTROL!$C$15, $D$11, 100%, $F$11)</f>
        <v>19.723299999999998</v>
      </c>
      <c r="H644" s="4">
        <f>20.6622 * CHOOSE(CONTROL!$C$15, $D$11, 100%, $F$11)</f>
        <v>20.662199999999999</v>
      </c>
      <c r="I644" s="8">
        <f>19.4883 * CHOOSE(CONTROL!$C$15, $D$11, 100%, $F$11)</f>
        <v>19.488299999999999</v>
      </c>
      <c r="J644" s="4">
        <f>19.3894 * CHOOSE(CONTROL!$C$15, $D$11, 100%, $F$11)</f>
        <v>19.389399999999998</v>
      </c>
      <c r="K644" s="4"/>
      <c r="L644" s="9">
        <v>30.092199999999998</v>
      </c>
      <c r="M644" s="9">
        <v>11.6745</v>
      </c>
      <c r="N644" s="9">
        <v>4.7850000000000001</v>
      </c>
      <c r="O644" s="9">
        <v>0.36199999999999999</v>
      </c>
      <c r="P644" s="9">
        <v>1.1791</v>
      </c>
      <c r="Q644" s="9">
        <v>19.053000000000001</v>
      </c>
      <c r="R644" s="9"/>
      <c r="S644" s="11"/>
    </row>
    <row r="645" spans="1:19" ht="15.75">
      <c r="A645" s="13">
        <v>61148</v>
      </c>
      <c r="B645" s="8">
        <f>CHOOSE( CONTROL!$C$32, 20.6277, 20.6241) * CHOOSE(CONTROL!$C$15, $D$11, 100%, $F$11)</f>
        <v>20.627700000000001</v>
      </c>
      <c r="C645" s="8">
        <f>CHOOSE( CONTROL!$C$32, 20.6357, 20.6321) * CHOOSE(CONTROL!$C$15, $D$11, 100%, $F$11)</f>
        <v>20.6357</v>
      </c>
      <c r="D645" s="8">
        <f>CHOOSE( CONTROL!$C$32, 20.6417, 20.6381) * CHOOSE( CONTROL!$C$15, $D$11, 100%, $F$11)</f>
        <v>20.6417</v>
      </c>
      <c r="E645" s="12">
        <f>CHOOSE( CONTROL!$C$32, 20.6383, 20.6347) * CHOOSE( CONTROL!$C$15, $D$11, 100%, $F$11)</f>
        <v>20.638300000000001</v>
      </c>
      <c r="F645" s="4">
        <f>CHOOSE( CONTROL!$C$32, 21.3159, 21.3124) * CHOOSE(CONTROL!$C$15, $D$11, 100%, $F$11)</f>
        <v>21.315899999999999</v>
      </c>
      <c r="G645" s="8">
        <f>CHOOSE( CONTROL!$C$32, 20.2534, 20.2499) * CHOOSE( CONTROL!$C$15, $D$11, 100%, $F$11)</f>
        <v>20.253399999999999</v>
      </c>
      <c r="H645" s="4">
        <f>CHOOSE( CONTROL!$C$32, 21.1912, 21.1877) * CHOOSE(CONTROL!$C$15, $D$11, 100%, $F$11)</f>
        <v>21.191199999999998</v>
      </c>
      <c r="I645" s="8">
        <f>CHOOSE( CONTROL!$C$32, 20.0095, 20.0061) * CHOOSE(CONTROL!$C$15, $D$11, 100%, $F$11)</f>
        <v>20.009499999999999</v>
      </c>
      <c r="J645" s="4">
        <f>CHOOSE( CONTROL!$C$32, 19.9095, 19.9061) * CHOOSE(CONTROL!$C$15, $D$11, 100%, $F$11)</f>
        <v>19.909500000000001</v>
      </c>
      <c r="K645" s="4"/>
      <c r="L645" s="9">
        <v>30.7165</v>
      </c>
      <c r="M645" s="9">
        <v>12.063700000000001</v>
      </c>
      <c r="N645" s="9">
        <v>4.9444999999999997</v>
      </c>
      <c r="O645" s="9">
        <v>0.37409999999999999</v>
      </c>
      <c r="P645" s="9">
        <v>1.2183999999999999</v>
      </c>
      <c r="Q645" s="9">
        <v>19.688099999999999</v>
      </c>
      <c r="R645" s="9"/>
      <c r="S645" s="11"/>
    </row>
    <row r="646" spans="1:19" ht="15.75">
      <c r="A646" s="13">
        <v>61178</v>
      </c>
      <c r="B646" s="8">
        <f>CHOOSE( CONTROL!$C$32, 20.2966, 20.293) * CHOOSE(CONTROL!$C$15, $D$11, 100%, $F$11)</f>
        <v>20.296600000000002</v>
      </c>
      <c r="C646" s="8">
        <f>CHOOSE( CONTROL!$C$32, 20.3046, 20.3011) * CHOOSE(CONTROL!$C$15, $D$11, 100%, $F$11)</f>
        <v>20.304600000000001</v>
      </c>
      <c r="D646" s="8">
        <f>CHOOSE( CONTROL!$C$32, 20.3109, 20.3073) * CHOOSE( CONTROL!$C$15, $D$11, 100%, $F$11)</f>
        <v>20.3109</v>
      </c>
      <c r="E646" s="12">
        <f>CHOOSE( CONTROL!$C$32, 20.3074, 20.3038) * CHOOSE( CONTROL!$C$15, $D$11, 100%, $F$11)</f>
        <v>20.307400000000001</v>
      </c>
      <c r="F646" s="4">
        <f>CHOOSE( CONTROL!$C$32, 20.9849, 20.9813) * CHOOSE(CONTROL!$C$15, $D$11, 100%, $F$11)</f>
        <v>20.9849</v>
      </c>
      <c r="G646" s="8">
        <f>CHOOSE( CONTROL!$C$32, 19.9282, 19.9247) * CHOOSE( CONTROL!$C$15, $D$11, 100%, $F$11)</f>
        <v>19.9282</v>
      </c>
      <c r="H646" s="4">
        <f>CHOOSE( CONTROL!$C$32, 20.8657, 20.8622) * CHOOSE(CONTROL!$C$15, $D$11, 100%, $F$11)</f>
        <v>20.8657</v>
      </c>
      <c r="I646" s="8">
        <f>CHOOSE( CONTROL!$C$32, 19.6907, 19.6872) * CHOOSE(CONTROL!$C$15, $D$11, 100%, $F$11)</f>
        <v>19.6907</v>
      </c>
      <c r="J646" s="4">
        <f>CHOOSE( CONTROL!$C$32, 19.5895, 19.586) * CHOOSE(CONTROL!$C$15, $D$11, 100%, $F$11)</f>
        <v>19.589500000000001</v>
      </c>
      <c r="K646" s="4"/>
      <c r="L646" s="9">
        <v>29.7257</v>
      </c>
      <c r="M646" s="9">
        <v>11.6745</v>
      </c>
      <c r="N646" s="9">
        <v>4.7850000000000001</v>
      </c>
      <c r="O646" s="9">
        <v>0.36199999999999999</v>
      </c>
      <c r="P646" s="9">
        <v>1.1791</v>
      </c>
      <c r="Q646" s="9">
        <v>19.053000000000001</v>
      </c>
      <c r="R646" s="9"/>
      <c r="S646" s="11"/>
    </row>
    <row r="647" spans="1:19" ht="15.75">
      <c r="A647" s="13">
        <v>61209</v>
      </c>
      <c r="B647" s="8">
        <f>CHOOSE( CONTROL!$C$32, 21.1684, 21.1649) * CHOOSE(CONTROL!$C$15, $D$11, 100%, $F$11)</f>
        <v>21.168399999999998</v>
      </c>
      <c r="C647" s="8">
        <f>CHOOSE( CONTROL!$C$32, 21.1764, 21.1729) * CHOOSE(CONTROL!$C$15, $D$11, 100%, $F$11)</f>
        <v>21.176400000000001</v>
      </c>
      <c r="D647" s="8">
        <f>CHOOSE( CONTROL!$C$32, 21.183, 21.1795) * CHOOSE( CONTROL!$C$15, $D$11, 100%, $F$11)</f>
        <v>21.183</v>
      </c>
      <c r="E647" s="12">
        <f>CHOOSE( CONTROL!$C$32, 21.1794, 21.1759) * CHOOSE( CONTROL!$C$15, $D$11, 100%, $F$11)</f>
        <v>21.179400000000001</v>
      </c>
      <c r="F647" s="4">
        <f>CHOOSE( CONTROL!$C$32, 21.8567, 21.8531) * CHOOSE(CONTROL!$C$15, $D$11, 100%, $F$11)</f>
        <v>21.8567</v>
      </c>
      <c r="G647" s="8">
        <f>CHOOSE( CONTROL!$C$32, 20.7861, 20.7825) * CHOOSE( CONTROL!$C$15, $D$11, 100%, $F$11)</f>
        <v>20.786100000000001</v>
      </c>
      <c r="H647" s="4">
        <f>CHOOSE( CONTROL!$C$32, 21.723, 21.7195) * CHOOSE(CONTROL!$C$15, $D$11, 100%, $F$11)</f>
        <v>21.722999999999999</v>
      </c>
      <c r="I647" s="8">
        <f>CHOOSE( CONTROL!$C$32, 20.5354, 20.5319) * CHOOSE(CONTROL!$C$15, $D$11, 100%, $F$11)</f>
        <v>20.535399999999999</v>
      </c>
      <c r="J647" s="4">
        <f>CHOOSE( CONTROL!$C$32, 20.4323, 20.4288) * CHOOSE(CONTROL!$C$15, $D$11, 100%, $F$11)</f>
        <v>20.432300000000001</v>
      </c>
      <c r="K647" s="4"/>
      <c r="L647" s="9">
        <v>30.7165</v>
      </c>
      <c r="M647" s="9">
        <v>12.063700000000001</v>
      </c>
      <c r="N647" s="9">
        <v>4.9444999999999997</v>
      </c>
      <c r="O647" s="9">
        <v>0.37409999999999999</v>
      </c>
      <c r="P647" s="9">
        <v>1.2183999999999999</v>
      </c>
      <c r="Q647" s="9">
        <v>19.688099999999999</v>
      </c>
      <c r="R647" s="9"/>
      <c r="S647" s="11"/>
    </row>
    <row r="648" spans="1:19" ht="15.75">
      <c r="A648" s="13">
        <v>61240</v>
      </c>
      <c r="B648" s="8">
        <f>CHOOSE( CONTROL!$C$32, 19.5372, 19.5336) * CHOOSE(CONTROL!$C$15, $D$11, 100%, $F$11)</f>
        <v>19.537199999999999</v>
      </c>
      <c r="C648" s="8">
        <f>CHOOSE( CONTROL!$C$32, 19.5452, 19.5416) * CHOOSE(CONTROL!$C$15, $D$11, 100%, $F$11)</f>
        <v>19.545200000000001</v>
      </c>
      <c r="D648" s="8">
        <f>CHOOSE( CONTROL!$C$32, 19.5519, 19.5483) * CHOOSE( CONTROL!$C$15, $D$11, 100%, $F$11)</f>
        <v>19.5519</v>
      </c>
      <c r="E648" s="12">
        <f>CHOOSE( CONTROL!$C$32, 19.5483, 19.5447) * CHOOSE( CONTROL!$C$15, $D$11, 100%, $F$11)</f>
        <v>19.548300000000001</v>
      </c>
      <c r="F648" s="4">
        <f>CHOOSE( CONTROL!$C$32, 20.2254, 20.2219) * CHOOSE(CONTROL!$C$15, $D$11, 100%, $F$11)</f>
        <v>20.2254</v>
      </c>
      <c r="G648" s="8">
        <f>CHOOSE( CONTROL!$C$32, 19.182, 19.1785) * CHOOSE( CONTROL!$C$15, $D$11, 100%, $F$11)</f>
        <v>19.181999999999999</v>
      </c>
      <c r="H648" s="4">
        <f>CHOOSE( CONTROL!$C$32, 20.1188, 20.1153) * CHOOSE(CONTROL!$C$15, $D$11, 100%, $F$11)</f>
        <v>20.1188</v>
      </c>
      <c r="I648" s="8">
        <f>CHOOSE( CONTROL!$C$32, 18.9581, 18.9546) * CHOOSE(CONTROL!$C$15, $D$11, 100%, $F$11)</f>
        <v>18.958100000000002</v>
      </c>
      <c r="J648" s="4">
        <f>CHOOSE( CONTROL!$C$32, 18.8553, 18.8519) * CHOOSE(CONTROL!$C$15, $D$11, 100%, $F$11)</f>
        <v>18.8553</v>
      </c>
      <c r="K648" s="4"/>
      <c r="L648" s="9">
        <v>30.7165</v>
      </c>
      <c r="M648" s="9">
        <v>12.063700000000001</v>
      </c>
      <c r="N648" s="9">
        <v>4.9444999999999997</v>
      </c>
      <c r="O648" s="9">
        <v>0.37409999999999999</v>
      </c>
      <c r="P648" s="9">
        <v>1.2183999999999999</v>
      </c>
      <c r="Q648" s="9">
        <v>19.688099999999999</v>
      </c>
      <c r="R648" s="9"/>
      <c r="S648" s="11"/>
    </row>
    <row r="649" spans="1:19" ht="15.75">
      <c r="A649" s="13">
        <v>61270</v>
      </c>
      <c r="B649" s="8">
        <f>CHOOSE( CONTROL!$C$32, 19.1287, 19.1251) * CHOOSE(CONTROL!$C$15, $D$11, 100%, $F$11)</f>
        <v>19.128699999999998</v>
      </c>
      <c r="C649" s="8">
        <f>CHOOSE( CONTROL!$C$32, 19.1367, 19.1331) * CHOOSE(CONTROL!$C$15, $D$11, 100%, $F$11)</f>
        <v>19.136700000000001</v>
      </c>
      <c r="D649" s="8">
        <f>CHOOSE( CONTROL!$C$32, 19.1434, 19.1398) * CHOOSE( CONTROL!$C$15, $D$11, 100%, $F$11)</f>
        <v>19.1434</v>
      </c>
      <c r="E649" s="12">
        <f>CHOOSE( CONTROL!$C$32, 19.1398, 19.1362) * CHOOSE( CONTROL!$C$15, $D$11, 100%, $F$11)</f>
        <v>19.139800000000001</v>
      </c>
      <c r="F649" s="4">
        <f>CHOOSE( CONTROL!$C$32, 19.8169, 19.8134) * CHOOSE(CONTROL!$C$15, $D$11, 100%, $F$11)</f>
        <v>19.8169</v>
      </c>
      <c r="G649" s="8">
        <f>CHOOSE( CONTROL!$C$32, 18.7803, 18.7767) * CHOOSE( CONTROL!$C$15, $D$11, 100%, $F$11)</f>
        <v>18.7803</v>
      </c>
      <c r="H649" s="4">
        <f>CHOOSE( CONTROL!$C$32, 19.7171, 19.7136) * CHOOSE(CONTROL!$C$15, $D$11, 100%, $F$11)</f>
        <v>19.717099999999999</v>
      </c>
      <c r="I649" s="8">
        <f>CHOOSE( CONTROL!$C$32, 18.563, 18.5595) * CHOOSE(CONTROL!$C$15, $D$11, 100%, $F$11)</f>
        <v>18.562999999999999</v>
      </c>
      <c r="J649" s="4">
        <f>CHOOSE( CONTROL!$C$32, 18.4604, 18.457) * CHOOSE(CONTROL!$C$15, $D$11, 100%, $F$11)</f>
        <v>18.4604</v>
      </c>
      <c r="K649" s="4"/>
      <c r="L649" s="9">
        <v>29.7257</v>
      </c>
      <c r="M649" s="9">
        <v>11.6745</v>
      </c>
      <c r="N649" s="9">
        <v>4.7850000000000001</v>
      </c>
      <c r="O649" s="9">
        <v>0.36199999999999999</v>
      </c>
      <c r="P649" s="9">
        <v>1.1791</v>
      </c>
      <c r="Q649" s="9">
        <v>19.053000000000001</v>
      </c>
      <c r="R649" s="9"/>
      <c r="S649" s="11"/>
    </row>
    <row r="650" spans="1:19" ht="15.75">
      <c r="A650" s="13">
        <v>61301</v>
      </c>
      <c r="B650" s="8">
        <f>19.9715 * CHOOSE(CONTROL!$C$15, $D$11, 100%, $F$11)</f>
        <v>19.971499999999999</v>
      </c>
      <c r="C650" s="8">
        <f>19.9769 * CHOOSE(CONTROL!$C$15, $D$11, 100%, $F$11)</f>
        <v>19.976900000000001</v>
      </c>
      <c r="D650" s="8">
        <f>19.9884 * CHOOSE( CONTROL!$C$15, $D$11, 100%, $F$11)</f>
        <v>19.988399999999999</v>
      </c>
      <c r="E650" s="12">
        <f>19.984 * CHOOSE( CONTROL!$C$15, $D$11, 100%, $F$11)</f>
        <v>19.984000000000002</v>
      </c>
      <c r="F650" s="4">
        <f>20.6615 * CHOOSE(CONTROL!$C$15, $D$11, 100%, $F$11)</f>
        <v>20.6615</v>
      </c>
      <c r="G650" s="8">
        <f>19.6103 * CHOOSE( CONTROL!$C$15, $D$11, 100%, $F$11)</f>
        <v>19.610299999999999</v>
      </c>
      <c r="H650" s="4">
        <f>20.5477 * CHOOSE(CONTROL!$C$15, $D$11, 100%, $F$11)</f>
        <v>20.547699999999999</v>
      </c>
      <c r="I650" s="8">
        <f>19.3806 * CHOOSE(CONTROL!$C$15, $D$11, 100%, $F$11)</f>
        <v>19.380600000000001</v>
      </c>
      <c r="J650" s="4">
        <f>19.2769 * CHOOSE(CONTROL!$C$15, $D$11, 100%, $F$11)</f>
        <v>19.276900000000001</v>
      </c>
      <c r="K650" s="4"/>
      <c r="L650" s="9">
        <v>31.095300000000002</v>
      </c>
      <c r="M650" s="9">
        <v>12.063700000000001</v>
      </c>
      <c r="N650" s="9">
        <v>4.9444999999999997</v>
      </c>
      <c r="O650" s="9">
        <v>0.37409999999999999</v>
      </c>
      <c r="P650" s="9">
        <v>1.2183999999999999</v>
      </c>
      <c r="Q650" s="9">
        <v>19.688099999999999</v>
      </c>
      <c r="R650" s="9"/>
      <c r="S650" s="11"/>
    </row>
    <row r="651" spans="1:19" ht="15.75">
      <c r="A651" s="13">
        <v>61331</v>
      </c>
      <c r="B651" s="8">
        <f>21.5367 * CHOOSE(CONTROL!$C$15, $D$11, 100%, $F$11)</f>
        <v>21.5367</v>
      </c>
      <c r="C651" s="8">
        <f>21.5418 * CHOOSE(CONTROL!$C$15, $D$11, 100%, $F$11)</f>
        <v>21.541799999999999</v>
      </c>
      <c r="D651" s="8">
        <f>21.5188 * CHOOSE( CONTROL!$C$15, $D$11, 100%, $F$11)</f>
        <v>21.518799999999999</v>
      </c>
      <c r="E651" s="12">
        <f>21.5267 * CHOOSE( CONTROL!$C$15, $D$11, 100%, $F$11)</f>
        <v>21.526700000000002</v>
      </c>
      <c r="F651" s="4">
        <f>22.1816 * CHOOSE(CONTROL!$C$15, $D$11, 100%, $F$11)</f>
        <v>22.1816</v>
      </c>
      <c r="G651" s="8">
        <f>21.1607 * CHOOSE( CONTROL!$C$15, $D$11, 100%, $F$11)</f>
        <v>21.160699999999999</v>
      </c>
      <c r="H651" s="4">
        <f>22.0425 * CHOOSE(CONTROL!$C$15, $D$11, 100%, $F$11)</f>
        <v>22.0425</v>
      </c>
      <c r="I651" s="8">
        <f>20.9194 * CHOOSE(CONTROL!$C$15, $D$11, 100%, $F$11)</f>
        <v>20.9194</v>
      </c>
      <c r="J651" s="4">
        <f>20.7903 * CHOOSE(CONTROL!$C$15, $D$11, 100%, $F$11)</f>
        <v>20.790299999999998</v>
      </c>
      <c r="K651" s="4"/>
      <c r="L651" s="9">
        <v>28.360600000000002</v>
      </c>
      <c r="M651" s="9">
        <v>11.6745</v>
      </c>
      <c r="N651" s="9">
        <v>4.7850000000000001</v>
      </c>
      <c r="O651" s="9">
        <v>0.36199999999999999</v>
      </c>
      <c r="P651" s="9">
        <v>1.2509999999999999</v>
      </c>
      <c r="Q651" s="9">
        <v>19.053000000000001</v>
      </c>
      <c r="R651" s="9"/>
      <c r="S651" s="11"/>
    </row>
    <row r="652" spans="1:19" ht="15.75">
      <c r="A652" s="13">
        <v>61362</v>
      </c>
      <c r="B652" s="8">
        <f>21.4976 * CHOOSE(CONTROL!$C$15, $D$11, 100%, $F$11)</f>
        <v>21.497599999999998</v>
      </c>
      <c r="C652" s="8">
        <f>21.5027 * CHOOSE(CONTROL!$C$15, $D$11, 100%, $F$11)</f>
        <v>21.502700000000001</v>
      </c>
      <c r="D652" s="8">
        <f>21.481 * CHOOSE( CONTROL!$C$15, $D$11, 100%, $F$11)</f>
        <v>21.481000000000002</v>
      </c>
      <c r="E652" s="12">
        <f>21.4884 * CHOOSE( CONTROL!$C$15, $D$11, 100%, $F$11)</f>
        <v>21.488399999999999</v>
      </c>
      <c r="F652" s="4">
        <f>22.1425 * CHOOSE(CONTROL!$C$15, $D$11, 100%, $F$11)</f>
        <v>22.142499999999998</v>
      </c>
      <c r="G652" s="8">
        <f>21.1233 * CHOOSE( CONTROL!$C$15, $D$11, 100%, $F$11)</f>
        <v>21.1233</v>
      </c>
      <c r="H652" s="4">
        <f>22.0041 * CHOOSE(CONTROL!$C$15, $D$11, 100%, $F$11)</f>
        <v>22.004100000000001</v>
      </c>
      <c r="I652" s="8">
        <f>20.8859 * CHOOSE(CONTROL!$C$15, $D$11, 100%, $F$11)</f>
        <v>20.885899999999999</v>
      </c>
      <c r="J652" s="4">
        <f>20.7525 * CHOOSE(CONTROL!$C$15, $D$11, 100%, $F$11)</f>
        <v>20.752500000000001</v>
      </c>
      <c r="K652" s="4"/>
      <c r="L652" s="9">
        <v>29.306000000000001</v>
      </c>
      <c r="M652" s="9">
        <v>12.063700000000001</v>
      </c>
      <c r="N652" s="9">
        <v>4.9444999999999997</v>
      </c>
      <c r="O652" s="9">
        <v>0.37409999999999999</v>
      </c>
      <c r="P652" s="9">
        <v>1.2927</v>
      </c>
      <c r="Q652" s="9">
        <v>19.688099999999999</v>
      </c>
      <c r="R652" s="9"/>
      <c r="S652" s="11"/>
    </row>
    <row r="653" spans="1:19" ht="15.75">
      <c r="A653" s="13">
        <v>61393</v>
      </c>
      <c r="B653" s="8">
        <f>22.318 * CHOOSE(CONTROL!$C$15, $D$11, 100%, $F$11)</f>
        <v>22.318000000000001</v>
      </c>
      <c r="C653" s="8">
        <f>22.3232 * CHOOSE(CONTROL!$C$15, $D$11, 100%, $F$11)</f>
        <v>22.3232</v>
      </c>
      <c r="D653" s="8">
        <f>22.2973 * CHOOSE( CONTROL!$C$15, $D$11, 100%, $F$11)</f>
        <v>22.2973</v>
      </c>
      <c r="E653" s="12">
        <f>22.3062 * CHOOSE( CONTROL!$C$15, $D$11, 100%, $F$11)</f>
        <v>22.3062</v>
      </c>
      <c r="F653" s="4">
        <f>22.9621 * CHOOSE(CONTROL!$C$15, $D$11, 100%, $F$11)</f>
        <v>22.9621</v>
      </c>
      <c r="G653" s="8">
        <f>21.9238 * CHOOSE( CONTROL!$C$15, $D$11, 100%, $F$11)</f>
        <v>21.9238</v>
      </c>
      <c r="H653" s="4">
        <f>22.8101 * CHOOSE(CONTROL!$C$15, $D$11, 100%, $F$11)</f>
        <v>22.810099999999998</v>
      </c>
      <c r="I653" s="8">
        <f>21.6501 * CHOOSE(CONTROL!$C$15, $D$11, 100%, $F$11)</f>
        <v>21.650099999999998</v>
      </c>
      <c r="J653" s="4">
        <f>21.5457 * CHOOSE(CONTROL!$C$15, $D$11, 100%, $F$11)</f>
        <v>21.5457</v>
      </c>
      <c r="K653" s="4"/>
      <c r="L653" s="9">
        <v>29.306000000000001</v>
      </c>
      <c r="M653" s="9">
        <v>12.063700000000001</v>
      </c>
      <c r="N653" s="9">
        <v>4.9444999999999997</v>
      </c>
      <c r="O653" s="9">
        <v>0.37409999999999999</v>
      </c>
      <c r="P653" s="9">
        <v>1.2927</v>
      </c>
      <c r="Q653" s="9">
        <v>19.688099999999999</v>
      </c>
      <c r="R653" s="9"/>
      <c r="S653" s="11"/>
    </row>
    <row r="654" spans="1:19" ht="15.75">
      <c r="A654" s="13">
        <v>61422</v>
      </c>
      <c r="B654" s="8">
        <f>20.8772 * CHOOSE(CONTROL!$C$15, $D$11, 100%, $F$11)</f>
        <v>20.877199999999998</v>
      </c>
      <c r="C654" s="8">
        <f>20.8823 * CHOOSE(CONTROL!$C$15, $D$11, 100%, $F$11)</f>
        <v>20.882300000000001</v>
      </c>
      <c r="D654" s="8">
        <f>20.8567 * CHOOSE( CONTROL!$C$15, $D$11, 100%, $F$11)</f>
        <v>20.8567</v>
      </c>
      <c r="E654" s="12">
        <f>20.8655 * CHOOSE( CONTROL!$C$15, $D$11, 100%, $F$11)</f>
        <v>20.865500000000001</v>
      </c>
      <c r="F654" s="4">
        <f>21.5212 * CHOOSE(CONTROL!$C$15, $D$11, 100%, $F$11)</f>
        <v>21.5212</v>
      </c>
      <c r="G654" s="8">
        <f>20.507 * CHOOSE( CONTROL!$C$15, $D$11, 100%, $F$11)</f>
        <v>20.507000000000001</v>
      </c>
      <c r="H654" s="4">
        <f>21.3931 * CHOOSE(CONTROL!$C$15, $D$11, 100%, $F$11)</f>
        <v>21.3931</v>
      </c>
      <c r="I654" s="8">
        <f>20.2572 * CHOOSE(CONTROL!$C$15, $D$11, 100%, $F$11)</f>
        <v>20.257200000000001</v>
      </c>
      <c r="J654" s="4">
        <f>20.1528 * CHOOSE(CONTROL!$C$15, $D$11, 100%, $F$11)</f>
        <v>20.152799999999999</v>
      </c>
      <c r="K654" s="4"/>
      <c r="L654" s="9">
        <v>27.415299999999998</v>
      </c>
      <c r="M654" s="9">
        <v>11.285299999999999</v>
      </c>
      <c r="N654" s="9">
        <v>4.6254999999999997</v>
      </c>
      <c r="O654" s="9">
        <v>0.34989999999999999</v>
      </c>
      <c r="P654" s="9">
        <v>1.2093</v>
      </c>
      <c r="Q654" s="9">
        <v>18.417899999999999</v>
      </c>
      <c r="R654" s="9"/>
      <c r="S654" s="11"/>
    </row>
    <row r="655" spans="1:19" ht="15.75">
      <c r="A655" s="13">
        <v>61453</v>
      </c>
      <c r="B655" s="8">
        <f>20.4334 * CHOOSE(CONTROL!$C$15, $D$11, 100%, $F$11)</f>
        <v>20.433399999999999</v>
      </c>
      <c r="C655" s="8">
        <f>20.4385 * CHOOSE(CONTROL!$C$15, $D$11, 100%, $F$11)</f>
        <v>20.438500000000001</v>
      </c>
      <c r="D655" s="8">
        <f>20.4128 * CHOOSE( CONTROL!$C$15, $D$11, 100%, $F$11)</f>
        <v>20.412800000000001</v>
      </c>
      <c r="E655" s="12">
        <f>20.4217 * CHOOSE( CONTROL!$C$15, $D$11, 100%, $F$11)</f>
        <v>20.421700000000001</v>
      </c>
      <c r="F655" s="4">
        <f>21.0774 * CHOOSE(CONTROL!$C$15, $D$11, 100%, $F$11)</f>
        <v>21.077400000000001</v>
      </c>
      <c r="G655" s="8">
        <f>20.0706 * CHOOSE( CONTROL!$C$15, $D$11, 100%, $F$11)</f>
        <v>20.070599999999999</v>
      </c>
      <c r="H655" s="4">
        <f>20.9567 * CHOOSE(CONTROL!$C$15, $D$11, 100%, $F$11)</f>
        <v>20.956700000000001</v>
      </c>
      <c r="I655" s="8">
        <f>19.8278 * CHOOSE(CONTROL!$C$15, $D$11, 100%, $F$11)</f>
        <v>19.8278</v>
      </c>
      <c r="J655" s="4">
        <f>19.7238 * CHOOSE(CONTROL!$C$15, $D$11, 100%, $F$11)</f>
        <v>19.723800000000001</v>
      </c>
      <c r="K655" s="4"/>
      <c r="L655" s="9">
        <v>29.306000000000001</v>
      </c>
      <c r="M655" s="9">
        <v>12.063700000000001</v>
      </c>
      <c r="N655" s="9">
        <v>4.9444999999999997</v>
      </c>
      <c r="O655" s="9">
        <v>0.37409999999999999</v>
      </c>
      <c r="P655" s="9">
        <v>1.2927</v>
      </c>
      <c r="Q655" s="9">
        <v>19.688099999999999</v>
      </c>
      <c r="R655" s="9"/>
      <c r="S655" s="11"/>
    </row>
    <row r="656" spans="1:19" ht="15.75">
      <c r="A656" s="13">
        <v>61483</v>
      </c>
      <c r="B656" s="8">
        <f>20.7443 * CHOOSE(CONTROL!$C$15, $D$11, 100%, $F$11)</f>
        <v>20.744299999999999</v>
      </c>
      <c r="C656" s="8">
        <f>20.7488 * CHOOSE(CONTROL!$C$15, $D$11, 100%, $F$11)</f>
        <v>20.748799999999999</v>
      </c>
      <c r="D656" s="8">
        <f>20.7598 * CHOOSE( CONTROL!$C$15, $D$11, 100%, $F$11)</f>
        <v>20.759799999999998</v>
      </c>
      <c r="E656" s="12">
        <f>20.7557 * CHOOSE( CONTROL!$C$15, $D$11, 100%, $F$11)</f>
        <v>20.755700000000001</v>
      </c>
      <c r="F656" s="4">
        <f>21.4339 * CHOOSE(CONTROL!$C$15, $D$11, 100%, $F$11)</f>
        <v>21.433900000000001</v>
      </c>
      <c r="G656" s="8">
        <f>20.3684 * CHOOSE( CONTROL!$C$15, $D$11, 100%, $F$11)</f>
        <v>20.368400000000001</v>
      </c>
      <c r="H656" s="4">
        <f>21.3072 * CHOOSE(CONTROL!$C$15, $D$11, 100%, $F$11)</f>
        <v>21.307200000000002</v>
      </c>
      <c r="I656" s="8">
        <f>20.1228 * CHOOSE(CONTROL!$C$15, $D$11, 100%, $F$11)</f>
        <v>20.122800000000002</v>
      </c>
      <c r="J656" s="4">
        <f>20.0236 * CHOOSE(CONTROL!$C$15, $D$11, 100%, $F$11)</f>
        <v>20.023599999999998</v>
      </c>
      <c r="K656" s="4"/>
      <c r="L656" s="9">
        <v>30.092199999999998</v>
      </c>
      <c r="M656" s="9">
        <v>11.6745</v>
      </c>
      <c r="N656" s="9">
        <v>4.7850000000000001</v>
      </c>
      <c r="O656" s="9">
        <v>0.36199999999999999</v>
      </c>
      <c r="P656" s="9">
        <v>1.1791</v>
      </c>
      <c r="Q656" s="9">
        <v>19.053000000000001</v>
      </c>
      <c r="R656" s="9"/>
      <c r="S656" s="11"/>
    </row>
    <row r="657" spans="1:19" ht="15.75">
      <c r="A657" s="13">
        <v>61514</v>
      </c>
      <c r="B657" s="8">
        <f>CHOOSE( CONTROL!$C$32, 21.3011, 21.2975) * CHOOSE(CONTROL!$C$15, $D$11, 100%, $F$11)</f>
        <v>21.301100000000002</v>
      </c>
      <c r="C657" s="8">
        <f>CHOOSE( CONTROL!$C$32, 21.3091, 21.3055) * CHOOSE(CONTROL!$C$15, $D$11, 100%, $F$11)</f>
        <v>21.309100000000001</v>
      </c>
      <c r="D657" s="8">
        <f>CHOOSE( CONTROL!$C$32, 21.3151, 21.3116) * CHOOSE( CONTROL!$C$15, $D$11, 100%, $F$11)</f>
        <v>21.315100000000001</v>
      </c>
      <c r="E657" s="12">
        <f>CHOOSE( CONTROL!$C$32, 21.3117, 21.3082) * CHOOSE( CONTROL!$C$15, $D$11, 100%, $F$11)</f>
        <v>21.311699999999998</v>
      </c>
      <c r="F657" s="4">
        <f>CHOOSE( CONTROL!$C$32, 21.9894, 21.9858) * CHOOSE(CONTROL!$C$15, $D$11, 100%, $F$11)</f>
        <v>21.9894</v>
      </c>
      <c r="G657" s="8">
        <f>CHOOSE( CONTROL!$C$32, 20.9157, 20.9121) * CHOOSE( CONTROL!$C$15, $D$11, 100%, $F$11)</f>
        <v>20.915700000000001</v>
      </c>
      <c r="H657" s="4">
        <f>CHOOSE( CONTROL!$C$32, 21.8535, 21.85) * CHOOSE(CONTROL!$C$15, $D$11, 100%, $F$11)</f>
        <v>21.8535</v>
      </c>
      <c r="I657" s="8">
        <f>CHOOSE( CONTROL!$C$32, 20.6609, 20.6574) * CHOOSE(CONTROL!$C$15, $D$11, 100%, $F$11)</f>
        <v>20.660900000000002</v>
      </c>
      <c r="J657" s="4">
        <f>CHOOSE( CONTROL!$C$32, 20.5605, 20.5571) * CHOOSE(CONTROL!$C$15, $D$11, 100%, $F$11)</f>
        <v>20.560500000000001</v>
      </c>
      <c r="K657" s="4"/>
      <c r="L657" s="9">
        <v>30.7165</v>
      </c>
      <c r="M657" s="9">
        <v>12.063700000000001</v>
      </c>
      <c r="N657" s="9">
        <v>4.9444999999999997</v>
      </c>
      <c r="O657" s="9">
        <v>0.37409999999999999</v>
      </c>
      <c r="P657" s="9">
        <v>1.2183999999999999</v>
      </c>
      <c r="Q657" s="9">
        <v>19.688099999999999</v>
      </c>
      <c r="R657" s="9"/>
      <c r="S657" s="11"/>
    </row>
    <row r="658" spans="1:19" ht="15.75">
      <c r="A658" s="13">
        <v>61544</v>
      </c>
      <c r="B658" s="8">
        <f>CHOOSE( CONTROL!$C$32, 20.9592, 20.9556) * CHOOSE(CONTROL!$C$15, $D$11, 100%, $F$11)</f>
        <v>20.959199999999999</v>
      </c>
      <c r="C658" s="8">
        <f>CHOOSE( CONTROL!$C$32, 20.9672, 20.9637) * CHOOSE(CONTROL!$C$15, $D$11, 100%, $F$11)</f>
        <v>20.967199999999998</v>
      </c>
      <c r="D658" s="8">
        <f>CHOOSE( CONTROL!$C$32, 20.9735, 20.9699) * CHOOSE( CONTROL!$C$15, $D$11, 100%, $F$11)</f>
        <v>20.973500000000001</v>
      </c>
      <c r="E658" s="12">
        <f>CHOOSE( CONTROL!$C$32, 20.97, 20.9664) * CHOOSE( CONTROL!$C$15, $D$11, 100%, $F$11)</f>
        <v>20.97</v>
      </c>
      <c r="F658" s="4">
        <f>CHOOSE( CONTROL!$C$32, 21.6475, 21.6439) * CHOOSE(CONTROL!$C$15, $D$11, 100%, $F$11)</f>
        <v>21.647500000000001</v>
      </c>
      <c r="G658" s="8">
        <f>CHOOSE( CONTROL!$C$32, 20.5798, 20.5763) * CHOOSE( CONTROL!$C$15, $D$11, 100%, $F$11)</f>
        <v>20.579799999999999</v>
      </c>
      <c r="H658" s="4">
        <f>CHOOSE( CONTROL!$C$32, 21.5173, 21.5138) * CHOOSE(CONTROL!$C$15, $D$11, 100%, $F$11)</f>
        <v>21.517299999999999</v>
      </c>
      <c r="I658" s="8">
        <f>CHOOSE( CONTROL!$C$32, 20.3315, 20.3281) * CHOOSE(CONTROL!$C$15, $D$11, 100%, $F$11)</f>
        <v>20.331499999999998</v>
      </c>
      <c r="J658" s="4">
        <f>CHOOSE( CONTROL!$C$32, 20.23, 20.2266) * CHOOSE(CONTROL!$C$15, $D$11, 100%, $F$11)</f>
        <v>20.23</v>
      </c>
      <c r="K658" s="4"/>
      <c r="L658" s="9">
        <v>29.7257</v>
      </c>
      <c r="M658" s="9">
        <v>11.6745</v>
      </c>
      <c r="N658" s="9">
        <v>4.7850000000000001</v>
      </c>
      <c r="O658" s="9">
        <v>0.36199999999999999</v>
      </c>
      <c r="P658" s="9">
        <v>1.1791</v>
      </c>
      <c r="Q658" s="9">
        <v>19.053000000000001</v>
      </c>
      <c r="R658" s="9"/>
      <c r="S658" s="11"/>
    </row>
    <row r="659" spans="1:19" ht="15.75">
      <c r="A659" s="13">
        <v>61575</v>
      </c>
      <c r="B659" s="8">
        <f>CHOOSE( CONTROL!$C$32, 21.8595, 21.856) * CHOOSE(CONTROL!$C$15, $D$11, 100%, $F$11)</f>
        <v>21.859500000000001</v>
      </c>
      <c r="C659" s="8">
        <f>CHOOSE( CONTROL!$C$32, 21.8676, 21.864) * CHOOSE(CONTROL!$C$15, $D$11, 100%, $F$11)</f>
        <v>21.867599999999999</v>
      </c>
      <c r="D659" s="8">
        <f>CHOOSE( CONTROL!$C$32, 21.8742, 21.8706) * CHOOSE( CONTROL!$C$15, $D$11, 100%, $F$11)</f>
        <v>21.874199999999998</v>
      </c>
      <c r="E659" s="12">
        <f>CHOOSE( CONTROL!$C$32, 21.8706, 21.867) * CHOOSE( CONTROL!$C$15, $D$11, 100%, $F$11)</f>
        <v>21.8706</v>
      </c>
      <c r="F659" s="4">
        <f>CHOOSE( CONTROL!$C$32, 22.5478, 22.5442) * CHOOSE(CONTROL!$C$15, $D$11, 100%, $F$11)</f>
        <v>22.547799999999999</v>
      </c>
      <c r="G659" s="8">
        <f>CHOOSE( CONTROL!$C$32, 21.4657, 21.4622) * CHOOSE( CONTROL!$C$15, $D$11, 100%, $F$11)</f>
        <v>21.465699999999998</v>
      </c>
      <c r="H659" s="4">
        <f>CHOOSE( CONTROL!$C$32, 22.4027, 22.3992) * CHOOSE(CONTROL!$C$15, $D$11, 100%, $F$11)</f>
        <v>22.402699999999999</v>
      </c>
      <c r="I659" s="8">
        <f>CHOOSE( CONTROL!$C$32, 21.2038, 21.2003) * CHOOSE(CONTROL!$C$15, $D$11, 100%, $F$11)</f>
        <v>21.203800000000001</v>
      </c>
      <c r="J659" s="4">
        <f>CHOOSE( CONTROL!$C$32, 21.1004, 21.0969) * CHOOSE(CONTROL!$C$15, $D$11, 100%, $F$11)</f>
        <v>21.1004</v>
      </c>
      <c r="K659" s="4"/>
      <c r="L659" s="9">
        <v>30.7165</v>
      </c>
      <c r="M659" s="9">
        <v>12.063700000000001</v>
      </c>
      <c r="N659" s="9">
        <v>4.9444999999999997</v>
      </c>
      <c r="O659" s="9">
        <v>0.37409999999999999</v>
      </c>
      <c r="P659" s="9">
        <v>1.2183999999999999</v>
      </c>
      <c r="Q659" s="9">
        <v>19.688099999999999</v>
      </c>
      <c r="R659" s="9"/>
      <c r="S659" s="11"/>
    </row>
    <row r="660" spans="1:19" ht="15.75">
      <c r="A660" s="13">
        <v>61606</v>
      </c>
      <c r="B660" s="8">
        <f>CHOOSE( CONTROL!$C$32, 20.1749, 20.1714) * CHOOSE(CONTROL!$C$15, $D$11, 100%, $F$11)</f>
        <v>20.174900000000001</v>
      </c>
      <c r="C660" s="8">
        <f>CHOOSE( CONTROL!$C$32, 20.1829, 20.1794) * CHOOSE(CONTROL!$C$15, $D$11, 100%, $F$11)</f>
        <v>20.1829</v>
      </c>
      <c r="D660" s="8">
        <f>CHOOSE( CONTROL!$C$32, 20.1896, 20.1861) * CHOOSE( CONTROL!$C$15, $D$11, 100%, $F$11)</f>
        <v>20.189599999999999</v>
      </c>
      <c r="E660" s="12">
        <f>CHOOSE( CONTROL!$C$32, 20.186, 20.1825) * CHOOSE( CONTROL!$C$15, $D$11, 100%, $F$11)</f>
        <v>20.186</v>
      </c>
      <c r="F660" s="4">
        <f>CHOOSE( CONTROL!$C$32, 20.8632, 20.8596) * CHOOSE(CONTROL!$C$15, $D$11, 100%, $F$11)</f>
        <v>20.863199999999999</v>
      </c>
      <c r="G660" s="8">
        <f>CHOOSE( CONTROL!$C$32, 19.8092, 19.8057) * CHOOSE( CONTROL!$C$15, $D$11, 100%, $F$11)</f>
        <v>19.809200000000001</v>
      </c>
      <c r="H660" s="4">
        <f>CHOOSE( CONTROL!$C$32, 20.746, 20.7425) * CHOOSE(CONTROL!$C$15, $D$11, 100%, $F$11)</f>
        <v>20.745999999999999</v>
      </c>
      <c r="I660" s="8">
        <f>CHOOSE( CONTROL!$C$32, 19.5749, 19.5715) * CHOOSE(CONTROL!$C$15, $D$11, 100%, $F$11)</f>
        <v>19.5749</v>
      </c>
      <c r="J660" s="4">
        <f>CHOOSE( CONTROL!$C$32, 19.4719, 19.4684) * CHOOSE(CONTROL!$C$15, $D$11, 100%, $F$11)</f>
        <v>19.471900000000002</v>
      </c>
      <c r="K660" s="4"/>
      <c r="L660" s="9">
        <v>30.7165</v>
      </c>
      <c r="M660" s="9">
        <v>12.063700000000001</v>
      </c>
      <c r="N660" s="9">
        <v>4.9444999999999997</v>
      </c>
      <c r="O660" s="9">
        <v>0.37409999999999999</v>
      </c>
      <c r="P660" s="9">
        <v>1.2183999999999999</v>
      </c>
      <c r="Q660" s="9">
        <v>19.688099999999999</v>
      </c>
      <c r="R660" s="9"/>
      <c r="S660" s="11"/>
    </row>
    <row r="661" spans="1:19" ht="15.75">
      <c r="A661" s="13">
        <v>61636</v>
      </c>
      <c r="B661" s="8">
        <f>CHOOSE( CONTROL!$C$32, 19.7531, 19.7495) * CHOOSE(CONTROL!$C$15, $D$11, 100%, $F$11)</f>
        <v>19.7531</v>
      </c>
      <c r="C661" s="8">
        <f>CHOOSE( CONTROL!$C$32, 19.7611, 19.7575) * CHOOSE(CONTROL!$C$15, $D$11, 100%, $F$11)</f>
        <v>19.761099999999999</v>
      </c>
      <c r="D661" s="8">
        <f>CHOOSE( CONTROL!$C$32, 19.7678, 19.7642) * CHOOSE( CONTROL!$C$15, $D$11, 100%, $F$11)</f>
        <v>19.767800000000001</v>
      </c>
      <c r="E661" s="12">
        <f>CHOOSE( CONTROL!$C$32, 19.7642, 19.7606) * CHOOSE( CONTROL!$C$15, $D$11, 100%, $F$11)</f>
        <v>19.764199999999999</v>
      </c>
      <c r="F661" s="4">
        <f>CHOOSE( CONTROL!$C$32, 20.4413, 20.4378) * CHOOSE(CONTROL!$C$15, $D$11, 100%, $F$11)</f>
        <v>20.441299999999998</v>
      </c>
      <c r="G661" s="8">
        <f>CHOOSE( CONTROL!$C$32, 19.3943, 19.3908) * CHOOSE( CONTROL!$C$15, $D$11, 100%, $F$11)</f>
        <v>19.394300000000001</v>
      </c>
      <c r="H661" s="4">
        <f>CHOOSE( CONTROL!$C$32, 20.3311, 20.3276) * CHOOSE(CONTROL!$C$15, $D$11, 100%, $F$11)</f>
        <v>20.331099999999999</v>
      </c>
      <c r="I661" s="8">
        <f>CHOOSE( CONTROL!$C$32, 19.1669, 19.1634) * CHOOSE(CONTROL!$C$15, $D$11, 100%, $F$11)</f>
        <v>19.166899999999998</v>
      </c>
      <c r="J661" s="4">
        <f>CHOOSE( CONTROL!$C$32, 19.0641, 19.0606) * CHOOSE(CONTROL!$C$15, $D$11, 100%, $F$11)</f>
        <v>19.0641</v>
      </c>
      <c r="K661" s="4"/>
      <c r="L661" s="9">
        <v>29.7257</v>
      </c>
      <c r="M661" s="9">
        <v>11.6745</v>
      </c>
      <c r="N661" s="9">
        <v>4.7850000000000001</v>
      </c>
      <c r="O661" s="9">
        <v>0.36199999999999999</v>
      </c>
      <c r="P661" s="9">
        <v>1.1791</v>
      </c>
      <c r="Q661" s="9">
        <v>19.053000000000001</v>
      </c>
      <c r="R661" s="9"/>
      <c r="S661" s="11"/>
    </row>
    <row r="662" spans="1:19" ht="15.75">
      <c r="A662" s="13">
        <v>61667</v>
      </c>
      <c r="B662" s="8">
        <f>20.6237 * CHOOSE(CONTROL!$C$15, $D$11, 100%, $F$11)</f>
        <v>20.623699999999999</v>
      </c>
      <c r="C662" s="8">
        <f>20.6291 * CHOOSE(CONTROL!$C$15, $D$11, 100%, $F$11)</f>
        <v>20.629100000000001</v>
      </c>
      <c r="D662" s="8">
        <f>20.6406 * CHOOSE( CONTROL!$C$15, $D$11, 100%, $F$11)</f>
        <v>20.640599999999999</v>
      </c>
      <c r="E662" s="12">
        <f>20.6362 * CHOOSE( CONTROL!$C$15, $D$11, 100%, $F$11)</f>
        <v>20.636199999999999</v>
      </c>
      <c r="F662" s="4">
        <f>21.3137 * CHOOSE(CONTROL!$C$15, $D$11, 100%, $F$11)</f>
        <v>21.313700000000001</v>
      </c>
      <c r="G662" s="8">
        <f>20.2517 * CHOOSE( CONTROL!$C$15, $D$11, 100%, $F$11)</f>
        <v>20.2517</v>
      </c>
      <c r="H662" s="4">
        <f>21.189 * CHOOSE(CONTROL!$C$15, $D$11, 100%, $F$11)</f>
        <v>21.189</v>
      </c>
      <c r="I662" s="8">
        <f>20.0113 * CHOOSE(CONTROL!$C$15, $D$11, 100%, $F$11)</f>
        <v>20.011299999999999</v>
      </c>
      <c r="J662" s="4">
        <f>19.9073 * CHOOSE(CONTROL!$C$15, $D$11, 100%, $F$11)</f>
        <v>19.907299999999999</v>
      </c>
      <c r="K662" s="4"/>
      <c r="L662" s="9">
        <v>31.095300000000002</v>
      </c>
      <c r="M662" s="9">
        <v>12.063700000000001</v>
      </c>
      <c r="N662" s="9">
        <v>4.9444999999999997</v>
      </c>
      <c r="O662" s="9">
        <v>0.37409999999999999</v>
      </c>
      <c r="P662" s="9">
        <v>1.2183999999999999</v>
      </c>
      <c r="Q662" s="9">
        <v>19.688099999999999</v>
      </c>
      <c r="R662" s="9"/>
      <c r="S662" s="11"/>
    </row>
    <row r="663" spans="1:19" ht="15.75">
      <c r="A663" s="13">
        <v>61697</v>
      </c>
      <c r="B663" s="8">
        <f>22.24 * CHOOSE(CONTROL!$C$15, $D$11, 100%, $F$11)</f>
        <v>22.24</v>
      </c>
      <c r="C663" s="8">
        <f>22.2451 * CHOOSE(CONTROL!$C$15, $D$11, 100%, $F$11)</f>
        <v>22.245100000000001</v>
      </c>
      <c r="D663" s="8">
        <f>22.2221 * CHOOSE( CONTROL!$C$15, $D$11, 100%, $F$11)</f>
        <v>22.222100000000001</v>
      </c>
      <c r="E663" s="12">
        <f>22.23 * CHOOSE( CONTROL!$C$15, $D$11, 100%, $F$11)</f>
        <v>22.23</v>
      </c>
      <c r="F663" s="4">
        <f>22.8849 * CHOOSE(CONTROL!$C$15, $D$11, 100%, $F$11)</f>
        <v>22.884899999999998</v>
      </c>
      <c r="G663" s="8">
        <f>21.8524 * CHOOSE( CONTROL!$C$15, $D$11, 100%, $F$11)</f>
        <v>21.852399999999999</v>
      </c>
      <c r="H663" s="4">
        <f>22.7342 * CHOOSE(CONTROL!$C$15, $D$11, 100%, $F$11)</f>
        <v>22.734200000000001</v>
      </c>
      <c r="I663" s="8">
        <f>21.5997 * CHOOSE(CONTROL!$C$15, $D$11, 100%, $F$11)</f>
        <v>21.599699999999999</v>
      </c>
      <c r="J663" s="4">
        <f>21.4703 * CHOOSE(CONTROL!$C$15, $D$11, 100%, $F$11)</f>
        <v>21.470300000000002</v>
      </c>
      <c r="K663" s="4"/>
      <c r="L663" s="9">
        <v>28.360600000000002</v>
      </c>
      <c r="M663" s="9">
        <v>11.6745</v>
      </c>
      <c r="N663" s="9">
        <v>4.7850000000000001</v>
      </c>
      <c r="O663" s="9">
        <v>0.36199999999999999</v>
      </c>
      <c r="P663" s="9">
        <v>1.2509999999999999</v>
      </c>
      <c r="Q663" s="9">
        <v>19.053000000000001</v>
      </c>
      <c r="R663" s="9"/>
      <c r="S663" s="11"/>
    </row>
    <row r="664" spans="1:19" ht="15.75">
      <c r="A664" s="13">
        <v>61728</v>
      </c>
      <c r="B664" s="8">
        <f>22.1996 * CHOOSE(CONTROL!$C$15, $D$11, 100%, $F$11)</f>
        <v>22.1996</v>
      </c>
      <c r="C664" s="8">
        <f>22.2047 * CHOOSE(CONTROL!$C$15, $D$11, 100%, $F$11)</f>
        <v>22.204699999999999</v>
      </c>
      <c r="D664" s="8">
        <f>22.1831 * CHOOSE( CONTROL!$C$15, $D$11, 100%, $F$11)</f>
        <v>22.1831</v>
      </c>
      <c r="E664" s="12">
        <f>22.1905 * CHOOSE( CONTROL!$C$15, $D$11, 100%, $F$11)</f>
        <v>22.1905</v>
      </c>
      <c r="F664" s="4">
        <f>22.8445 * CHOOSE(CONTROL!$C$15, $D$11, 100%, $F$11)</f>
        <v>22.8445</v>
      </c>
      <c r="G664" s="8">
        <f>21.8137 * CHOOSE( CONTROL!$C$15, $D$11, 100%, $F$11)</f>
        <v>21.813700000000001</v>
      </c>
      <c r="H664" s="4">
        <f>22.6945 * CHOOSE(CONTROL!$C$15, $D$11, 100%, $F$11)</f>
        <v>22.694500000000001</v>
      </c>
      <c r="I664" s="8">
        <f>21.565 * CHOOSE(CONTROL!$C$15, $D$11, 100%, $F$11)</f>
        <v>21.565000000000001</v>
      </c>
      <c r="J664" s="4">
        <f>21.4312 * CHOOSE(CONTROL!$C$15, $D$11, 100%, $F$11)</f>
        <v>21.4312</v>
      </c>
      <c r="K664" s="4"/>
      <c r="L664" s="9">
        <v>29.306000000000001</v>
      </c>
      <c r="M664" s="9">
        <v>12.063700000000001</v>
      </c>
      <c r="N664" s="9">
        <v>4.9444999999999997</v>
      </c>
      <c r="O664" s="9">
        <v>0.37409999999999999</v>
      </c>
      <c r="P664" s="9">
        <v>1.2927</v>
      </c>
      <c r="Q664" s="9">
        <v>19.688099999999999</v>
      </c>
      <c r="R664" s="9"/>
      <c r="S664" s="11"/>
    </row>
    <row r="665" spans="1:19" ht="15.75">
      <c r="A665" s="13">
        <v>61759</v>
      </c>
      <c r="B665" s="8">
        <f>23.0469 * CHOOSE(CONTROL!$C$15, $D$11, 100%, $F$11)</f>
        <v>23.046900000000001</v>
      </c>
      <c r="C665" s="8">
        <f>23.052 * CHOOSE(CONTROL!$C$15, $D$11, 100%, $F$11)</f>
        <v>23.052</v>
      </c>
      <c r="D665" s="8">
        <f>23.0262 * CHOOSE( CONTROL!$C$15, $D$11, 100%, $F$11)</f>
        <v>23.026199999999999</v>
      </c>
      <c r="E665" s="12">
        <f>23.0351 * CHOOSE( CONTROL!$C$15, $D$11, 100%, $F$11)</f>
        <v>23.0351</v>
      </c>
      <c r="F665" s="4">
        <f>23.691 * CHOOSE(CONTROL!$C$15, $D$11, 100%, $F$11)</f>
        <v>23.690999999999999</v>
      </c>
      <c r="G665" s="8">
        <f>22.6406 * CHOOSE( CONTROL!$C$15, $D$11, 100%, $F$11)</f>
        <v>22.640599999999999</v>
      </c>
      <c r="H665" s="4">
        <f>23.5269 * CHOOSE(CONTROL!$C$15, $D$11, 100%, $F$11)</f>
        <v>23.526900000000001</v>
      </c>
      <c r="I665" s="8">
        <f>22.355 * CHOOSE(CONTROL!$C$15, $D$11, 100%, $F$11)</f>
        <v>22.355</v>
      </c>
      <c r="J665" s="4">
        <f>22.2503 * CHOOSE(CONTROL!$C$15, $D$11, 100%, $F$11)</f>
        <v>22.250299999999999</v>
      </c>
      <c r="K665" s="4"/>
      <c r="L665" s="9">
        <v>29.306000000000001</v>
      </c>
      <c r="M665" s="9">
        <v>12.063700000000001</v>
      </c>
      <c r="N665" s="9">
        <v>4.9444999999999997</v>
      </c>
      <c r="O665" s="9">
        <v>0.37409999999999999</v>
      </c>
      <c r="P665" s="9">
        <v>1.2927</v>
      </c>
      <c r="Q665" s="9">
        <v>19.688099999999999</v>
      </c>
      <c r="R665" s="9"/>
      <c r="S665" s="11"/>
    </row>
    <row r="666" spans="1:19" ht="15.75">
      <c r="A666" s="13">
        <v>61787</v>
      </c>
      <c r="B666" s="8">
        <f>21.5589 * CHOOSE(CONTROL!$C$15, $D$11, 100%, $F$11)</f>
        <v>21.558900000000001</v>
      </c>
      <c r="C666" s="8">
        <f>21.5641 * CHOOSE(CONTROL!$C$15, $D$11, 100%, $F$11)</f>
        <v>21.5641</v>
      </c>
      <c r="D666" s="8">
        <f>21.5384 * CHOOSE( CONTROL!$C$15, $D$11, 100%, $F$11)</f>
        <v>21.538399999999999</v>
      </c>
      <c r="E666" s="12">
        <f>21.5472 * CHOOSE( CONTROL!$C$15, $D$11, 100%, $F$11)</f>
        <v>21.5472</v>
      </c>
      <c r="F666" s="4">
        <f>22.203 * CHOOSE(CONTROL!$C$15, $D$11, 100%, $F$11)</f>
        <v>22.202999999999999</v>
      </c>
      <c r="G666" s="8">
        <f>21.1775 * CHOOSE( CONTROL!$C$15, $D$11, 100%, $F$11)</f>
        <v>21.177499999999998</v>
      </c>
      <c r="H666" s="4">
        <f>22.0636 * CHOOSE(CONTROL!$C$15, $D$11, 100%, $F$11)</f>
        <v>22.063600000000001</v>
      </c>
      <c r="I666" s="8">
        <f>20.9166 * CHOOSE(CONTROL!$C$15, $D$11, 100%, $F$11)</f>
        <v>20.916599999999999</v>
      </c>
      <c r="J666" s="4">
        <f>20.8119 * CHOOSE(CONTROL!$C$15, $D$11, 100%, $F$11)</f>
        <v>20.811900000000001</v>
      </c>
      <c r="K666" s="4"/>
      <c r="L666" s="9">
        <v>26.469899999999999</v>
      </c>
      <c r="M666" s="9">
        <v>10.8962</v>
      </c>
      <c r="N666" s="9">
        <v>4.4660000000000002</v>
      </c>
      <c r="O666" s="9">
        <v>0.33789999999999998</v>
      </c>
      <c r="P666" s="9">
        <v>1.1676</v>
      </c>
      <c r="Q666" s="9">
        <v>17.782800000000002</v>
      </c>
      <c r="R666" s="9"/>
      <c r="S666" s="11"/>
    </row>
    <row r="667" spans="1:19" ht="15.75">
      <c r="A667" s="13">
        <v>61818</v>
      </c>
      <c r="B667" s="8">
        <f>21.1006 * CHOOSE(CONTROL!$C$15, $D$11, 100%, $F$11)</f>
        <v>21.1006</v>
      </c>
      <c r="C667" s="8">
        <f>21.1058 * CHOOSE(CONTROL!$C$15, $D$11, 100%, $F$11)</f>
        <v>21.105799999999999</v>
      </c>
      <c r="D667" s="8">
        <f>21.0801 * CHOOSE( CONTROL!$C$15, $D$11, 100%, $F$11)</f>
        <v>21.080100000000002</v>
      </c>
      <c r="E667" s="12">
        <f>21.0889 * CHOOSE( CONTROL!$C$15, $D$11, 100%, $F$11)</f>
        <v>21.088899999999999</v>
      </c>
      <c r="F667" s="4">
        <f>21.7447 * CHOOSE(CONTROL!$C$15, $D$11, 100%, $F$11)</f>
        <v>21.744700000000002</v>
      </c>
      <c r="G667" s="8">
        <f>20.7268 * CHOOSE( CONTROL!$C$15, $D$11, 100%, $F$11)</f>
        <v>20.726800000000001</v>
      </c>
      <c r="H667" s="4">
        <f>21.6129 * CHOOSE(CONTROL!$C$15, $D$11, 100%, $F$11)</f>
        <v>21.6129</v>
      </c>
      <c r="I667" s="8">
        <f>20.4731 * CHOOSE(CONTROL!$C$15, $D$11, 100%, $F$11)</f>
        <v>20.473099999999999</v>
      </c>
      <c r="J667" s="4">
        <f>20.3688 * CHOOSE(CONTROL!$C$15, $D$11, 100%, $F$11)</f>
        <v>20.3688</v>
      </c>
      <c r="K667" s="4"/>
      <c r="L667" s="9">
        <v>29.306000000000001</v>
      </c>
      <c r="M667" s="9">
        <v>12.063700000000001</v>
      </c>
      <c r="N667" s="9">
        <v>4.9444999999999997</v>
      </c>
      <c r="O667" s="9">
        <v>0.37409999999999999</v>
      </c>
      <c r="P667" s="9">
        <v>1.2927</v>
      </c>
      <c r="Q667" s="9">
        <v>19.688099999999999</v>
      </c>
      <c r="R667" s="9"/>
      <c r="S667" s="11"/>
    </row>
    <row r="668" spans="1:19" ht="15.75">
      <c r="A668" s="13">
        <v>61848</v>
      </c>
      <c r="B668" s="8">
        <f>21.4217 * CHOOSE(CONTROL!$C$15, $D$11, 100%, $F$11)</f>
        <v>21.421700000000001</v>
      </c>
      <c r="C668" s="8">
        <f>21.4262 * CHOOSE(CONTROL!$C$15, $D$11, 100%, $F$11)</f>
        <v>21.426200000000001</v>
      </c>
      <c r="D668" s="8">
        <f>21.4372 * CHOOSE( CONTROL!$C$15, $D$11, 100%, $F$11)</f>
        <v>21.437200000000001</v>
      </c>
      <c r="E668" s="12">
        <f>21.4331 * CHOOSE( CONTROL!$C$15, $D$11, 100%, $F$11)</f>
        <v>21.4331</v>
      </c>
      <c r="F668" s="4">
        <f>22.1113 * CHOOSE(CONTROL!$C$15, $D$11, 100%, $F$11)</f>
        <v>22.1113</v>
      </c>
      <c r="G668" s="8">
        <f>21.0345 * CHOOSE( CONTROL!$C$15, $D$11, 100%, $F$11)</f>
        <v>21.034500000000001</v>
      </c>
      <c r="H668" s="4">
        <f>21.9734 * CHOOSE(CONTROL!$C$15, $D$11, 100%, $F$11)</f>
        <v>21.973400000000002</v>
      </c>
      <c r="I668" s="8">
        <f>20.7779 * CHOOSE(CONTROL!$C$15, $D$11, 100%, $F$11)</f>
        <v>20.777899999999999</v>
      </c>
      <c r="J668" s="4">
        <f>20.6784 * CHOOSE(CONTROL!$C$15, $D$11, 100%, $F$11)</f>
        <v>20.6784</v>
      </c>
      <c r="K668" s="4"/>
      <c r="L668" s="9">
        <v>30.092199999999998</v>
      </c>
      <c r="M668" s="9">
        <v>11.6745</v>
      </c>
      <c r="N668" s="9">
        <v>4.7850000000000001</v>
      </c>
      <c r="O668" s="9">
        <v>0.36199999999999999</v>
      </c>
      <c r="P668" s="9">
        <v>1.1791</v>
      </c>
      <c r="Q668" s="9">
        <v>19.053000000000001</v>
      </c>
      <c r="R668" s="9"/>
      <c r="S668" s="11"/>
    </row>
    <row r="669" spans="1:19" ht="15.75">
      <c r="A669" s="13">
        <v>61879</v>
      </c>
      <c r="B669" s="8">
        <f>CHOOSE( CONTROL!$C$32, 21.9966, 21.993) * CHOOSE(CONTROL!$C$15, $D$11, 100%, $F$11)</f>
        <v>21.996600000000001</v>
      </c>
      <c r="C669" s="8">
        <f>CHOOSE( CONTROL!$C$32, 22.0046, 22.001) * CHOOSE(CONTROL!$C$15, $D$11, 100%, $F$11)</f>
        <v>22.0046</v>
      </c>
      <c r="D669" s="8">
        <f>CHOOSE( CONTROL!$C$32, 22.0106, 22.007) * CHOOSE( CONTROL!$C$15, $D$11, 100%, $F$11)</f>
        <v>22.0106</v>
      </c>
      <c r="E669" s="12">
        <f>CHOOSE( CONTROL!$C$32, 22.0072, 22.0036) * CHOOSE( CONTROL!$C$15, $D$11, 100%, $F$11)</f>
        <v>22.007200000000001</v>
      </c>
      <c r="F669" s="4">
        <f>CHOOSE( CONTROL!$C$32, 22.6848, 22.6813) * CHOOSE(CONTROL!$C$15, $D$11, 100%, $F$11)</f>
        <v>22.684799999999999</v>
      </c>
      <c r="G669" s="8">
        <f>CHOOSE( CONTROL!$C$32, 21.5996, 21.5961) * CHOOSE( CONTROL!$C$15, $D$11, 100%, $F$11)</f>
        <v>21.599599999999999</v>
      </c>
      <c r="H669" s="4">
        <f>CHOOSE( CONTROL!$C$32, 22.5374, 22.5339) * CHOOSE(CONTROL!$C$15, $D$11, 100%, $F$11)</f>
        <v>22.537400000000002</v>
      </c>
      <c r="I669" s="8">
        <f>CHOOSE( CONTROL!$C$32, 21.3335, 21.3301) * CHOOSE(CONTROL!$C$15, $D$11, 100%, $F$11)</f>
        <v>21.333500000000001</v>
      </c>
      <c r="J669" s="4">
        <f>CHOOSE( CONTROL!$C$32, 21.2328, 21.2294) * CHOOSE(CONTROL!$C$15, $D$11, 100%, $F$11)</f>
        <v>21.232800000000001</v>
      </c>
      <c r="K669" s="4"/>
      <c r="L669" s="9">
        <v>30.7165</v>
      </c>
      <c r="M669" s="9">
        <v>12.063700000000001</v>
      </c>
      <c r="N669" s="9">
        <v>4.9444999999999997</v>
      </c>
      <c r="O669" s="9">
        <v>0.37409999999999999</v>
      </c>
      <c r="P669" s="9">
        <v>1.2183999999999999</v>
      </c>
      <c r="Q669" s="9">
        <v>19.688099999999999</v>
      </c>
      <c r="R669" s="9"/>
      <c r="S669" s="11"/>
    </row>
    <row r="670" spans="1:19" ht="15.75">
      <c r="A670" s="13">
        <v>61909</v>
      </c>
      <c r="B670" s="8">
        <f>CHOOSE( CONTROL!$C$32, 21.6435, 21.6399) * CHOOSE(CONTROL!$C$15, $D$11, 100%, $F$11)</f>
        <v>21.6435</v>
      </c>
      <c r="C670" s="8">
        <f>CHOOSE( CONTROL!$C$32, 21.6515, 21.6479) * CHOOSE(CONTROL!$C$15, $D$11, 100%, $F$11)</f>
        <v>21.651499999999999</v>
      </c>
      <c r="D670" s="8">
        <f>CHOOSE( CONTROL!$C$32, 21.6578, 21.6542) * CHOOSE( CONTROL!$C$15, $D$11, 100%, $F$11)</f>
        <v>21.657800000000002</v>
      </c>
      <c r="E670" s="12">
        <f>CHOOSE( CONTROL!$C$32, 21.6543, 21.6507) * CHOOSE( CONTROL!$C$15, $D$11, 100%, $F$11)</f>
        <v>21.654299999999999</v>
      </c>
      <c r="F670" s="4">
        <f>CHOOSE( CONTROL!$C$32, 22.3317, 22.3282) * CHOOSE(CONTROL!$C$15, $D$11, 100%, $F$11)</f>
        <v>22.331700000000001</v>
      </c>
      <c r="G670" s="8">
        <f>CHOOSE( CONTROL!$C$32, 21.2528, 21.2493) * CHOOSE( CONTROL!$C$15, $D$11, 100%, $F$11)</f>
        <v>21.252800000000001</v>
      </c>
      <c r="H670" s="4">
        <f>CHOOSE( CONTROL!$C$32, 22.1902, 22.1867) * CHOOSE(CONTROL!$C$15, $D$11, 100%, $F$11)</f>
        <v>22.190200000000001</v>
      </c>
      <c r="I670" s="8">
        <f>CHOOSE( CONTROL!$C$32, 20.9933, 20.9899) * CHOOSE(CONTROL!$C$15, $D$11, 100%, $F$11)</f>
        <v>20.993300000000001</v>
      </c>
      <c r="J670" s="4">
        <f>CHOOSE( CONTROL!$C$32, 20.8915, 20.8881) * CHOOSE(CONTROL!$C$15, $D$11, 100%, $F$11)</f>
        <v>20.891500000000001</v>
      </c>
      <c r="K670" s="4"/>
      <c r="L670" s="9">
        <v>29.7257</v>
      </c>
      <c r="M670" s="9">
        <v>11.6745</v>
      </c>
      <c r="N670" s="9">
        <v>4.7850000000000001</v>
      </c>
      <c r="O670" s="9">
        <v>0.36199999999999999</v>
      </c>
      <c r="P670" s="9">
        <v>1.1791</v>
      </c>
      <c r="Q670" s="9">
        <v>19.053000000000001</v>
      </c>
      <c r="R670" s="9"/>
      <c r="S670" s="11"/>
    </row>
    <row r="671" spans="1:19" ht="15.75">
      <c r="A671" s="13">
        <v>61940</v>
      </c>
      <c r="B671" s="8">
        <f>CHOOSE( CONTROL!$C$32, 22.5733, 22.5697) * CHOOSE(CONTROL!$C$15, $D$11, 100%, $F$11)</f>
        <v>22.5733</v>
      </c>
      <c r="C671" s="8">
        <f>CHOOSE( CONTROL!$C$32, 22.5813, 22.5777) * CHOOSE(CONTROL!$C$15, $D$11, 100%, $F$11)</f>
        <v>22.581299999999999</v>
      </c>
      <c r="D671" s="8">
        <f>CHOOSE( CONTROL!$C$32, 22.5879, 22.5843) * CHOOSE( CONTROL!$C$15, $D$11, 100%, $F$11)</f>
        <v>22.587900000000001</v>
      </c>
      <c r="E671" s="12">
        <f>CHOOSE( CONTROL!$C$32, 22.5843, 22.5807) * CHOOSE( CONTROL!$C$15, $D$11, 100%, $F$11)</f>
        <v>22.584299999999999</v>
      </c>
      <c r="F671" s="4">
        <f>CHOOSE( CONTROL!$C$32, 23.2615, 23.258) * CHOOSE(CONTROL!$C$15, $D$11, 100%, $F$11)</f>
        <v>23.261500000000002</v>
      </c>
      <c r="G671" s="8">
        <f>CHOOSE( CONTROL!$C$32, 22.1676, 22.1641) * CHOOSE( CONTROL!$C$15, $D$11, 100%, $F$11)</f>
        <v>22.1676</v>
      </c>
      <c r="H671" s="4">
        <f>CHOOSE( CONTROL!$C$32, 23.1046, 23.1011) * CHOOSE(CONTROL!$C$15, $D$11, 100%, $F$11)</f>
        <v>23.104600000000001</v>
      </c>
      <c r="I671" s="8">
        <f>CHOOSE( CONTROL!$C$32, 21.8941, 21.8906) * CHOOSE(CONTROL!$C$15, $D$11, 100%, $F$11)</f>
        <v>21.894100000000002</v>
      </c>
      <c r="J671" s="4">
        <f>CHOOSE( CONTROL!$C$32, 21.7903, 21.7869) * CHOOSE(CONTROL!$C$15, $D$11, 100%, $F$11)</f>
        <v>21.790299999999998</v>
      </c>
      <c r="K671" s="4"/>
      <c r="L671" s="9">
        <v>30.7165</v>
      </c>
      <c r="M671" s="9">
        <v>12.063700000000001</v>
      </c>
      <c r="N671" s="9">
        <v>4.9444999999999997</v>
      </c>
      <c r="O671" s="9">
        <v>0.37409999999999999</v>
      </c>
      <c r="P671" s="9">
        <v>1.2183999999999999</v>
      </c>
      <c r="Q671" s="9">
        <v>19.688099999999999</v>
      </c>
      <c r="R671" s="9"/>
      <c r="S671" s="11"/>
    </row>
    <row r="672" spans="1:19" ht="15.75">
      <c r="A672" s="13">
        <v>61971</v>
      </c>
      <c r="B672" s="8">
        <f>CHOOSE( CONTROL!$C$32, 20.8335, 20.83) * CHOOSE(CONTROL!$C$15, $D$11, 100%, $F$11)</f>
        <v>20.833500000000001</v>
      </c>
      <c r="C672" s="8">
        <f>CHOOSE( CONTROL!$C$32, 20.8416, 20.838) * CHOOSE(CONTROL!$C$15, $D$11, 100%, $F$11)</f>
        <v>20.8416</v>
      </c>
      <c r="D672" s="8">
        <f>CHOOSE( CONTROL!$C$32, 20.8482, 20.8447) * CHOOSE( CONTROL!$C$15, $D$11, 100%, $F$11)</f>
        <v>20.848199999999999</v>
      </c>
      <c r="E672" s="12">
        <f>CHOOSE( CONTROL!$C$32, 20.8446, 20.8411) * CHOOSE( CONTROL!$C$15, $D$11, 100%, $F$11)</f>
        <v>20.8446</v>
      </c>
      <c r="F672" s="4">
        <f>CHOOSE( CONTROL!$C$32, 21.5218, 21.5182) * CHOOSE(CONTROL!$C$15, $D$11, 100%, $F$11)</f>
        <v>21.521799999999999</v>
      </c>
      <c r="G672" s="8">
        <f>CHOOSE( CONTROL!$C$32, 20.4569, 20.4534) * CHOOSE( CONTROL!$C$15, $D$11, 100%, $F$11)</f>
        <v>20.456900000000001</v>
      </c>
      <c r="H672" s="4">
        <f>CHOOSE( CONTROL!$C$32, 21.3937, 21.3902) * CHOOSE(CONTROL!$C$15, $D$11, 100%, $F$11)</f>
        <v>21.393699999999999</v>
      </c>
      <c r="I672" s="8">
        <f>CHOOSE( CONTROL!$C$32, 20.2119, 20.2085) * CHOOSE(CONTROL!$C$15, $D$11, 100%, $F$11)</f>
        <v>20.2119</v>
      </c>
      <c r="J672" s="4">
        <f>CHOOSE( CONTROL!$C$32, 20.1085, 20.1051) * CHOOSE(CONTROL!$C$15, $D$11, 100%, $F$11)</f>
        <v>20.108499999999999</v>
      </c>
      <c r="K672" s="4"/>
      <c r="L672" s="9">
        <v>30.7165</v>
      </c>
      <c r="M672" s="9">
        <v>12.063700000000001</v>
      </c>
      <c r="N672" s="9">
        <v>4.9444999999999997</v>
      </c>
      <c r="O672" s="9">
        <v>0.37409999999999999</v>
      </c>
      <c r="P672" s="9">
        <v>1.2183999999999999</v>
      </c>
      <c r="Q672" s="9">
        <v>19.688099999999999</v>
      </c>
      <c r="R672" s="9"/>
      <c r="S672" s="11"/>
    </row>
    <row r="673" spans="1:19" ht="15.75">
      <c r="A673" s="13">
        <v>62001</v>
      </c>
      <c r="B673" s="8">
        <f>CHOOSE( CONTROL!$C$32, 20.3979, 20.3943) * CHOOSE(CONTROL!$C$15, $D$11, 100%, $F$11)</f>
        <v>20.3979</v>
      </c>
      <c r="C673" s="8">
        <f>CHOOSE( CONTROL!$C$32, 20.4059, 20.4023) * CHOOSE(CONTROL!$C$15, $D$11, 100%, $F$11)</f>
        <v>20.405899999999999</v>
      </c>
      <c r="D673" s="8">
        <f>CHOOSE( CONTROL!$C$32, 20.4126, 20.409) * CHOOSE( CONTROL!$C$15, $D$11, 100%, $F$11)</f>
        <v>20.412600000000001</v>
      </c>
      <c r="E673" s="12">
        <f>CHOOSE( CONTROL!$C$32, 20.409, 20.4054) * CHOOSE( CONTROL!$C$15, $D$11, 100%, $F$11)</f>
        <v>20.408999999999999</v>
      </c>
      <c r="F673" s="4">
        <f>CHOOSE( CONTROL!$C$32, 21.0862, 21.0826) * CHOOSE(CONTROL!$C$15, $D$11, 100%, $F$11)</f>
        <v>21.086200000000002</v>
      </c>
      <c r="G673" s="8">
        <f>CHOOSE( CONTROL!$C$32, 20.0284, 20.0249) * CHOOSE( CONTROL!$C$15, $D$11, 100%, $F$11)</f>
        <v>20.028400000000001</v>
      </c>
      <c r="H673" s="4">
        <f>CHOOSE( CONTROL!$C$32, 20.9653, 20.9618) * CHOOSE(CONTROL!$C$15, $D$11, 100%, $F$11)</f>
        <v>20.965299999999999</v>
      </c>
      <c r="I673" s="8">
        <f>CHOOSE( CONTROL!$C$32, 19.7906, 19.7871) * CHOOSE(CONTROL!$C$15, $D$11, 100%, $F$11)</f>
        <v>19.790600000000001</v>
      </c>
      <c r="J673" s="4">
        <f>CHOOSE( CONTROL!$C$32, 19.6874, 19.684) * CHOOSE(CONTROL!$C$15, $D$11, 100%, $F$11)</f>
        <v>19.6874</v>
      </c>
      <c r="K673" s="4"/>
      <c r="L673" s="9">
        <v>29.7257</v>
      </c>
      <c r="M673" s="9">
        <v>11.6745</v>
      </c>
      <c r="N673" s="9">
        <v>4.7850000000000001</v>
      </c>
      <c r="O673" s="9">
        <v>0.36199999999999999</v>
      </c>
      <c r="P673" s="9">
        <v>1.1791</v>
      </c>
      <c r="Q673" s="9">
        <v>19.053000000000001</v>
      </c>
      <c r="R673" s="9"/>
      <c r="S673" s="11"/>
    </row>
    <row r="674" spans="1:19" ht="15.75">
      <c r="A674" s="13">
        <v>62032</v>
      </c>
      <c r="B674" s="8">
        <f>21.2972 * CHOOSE(CONTROL!$C$15, $D$11, 100%, $F$11)</f>
        <v>21.2972</v>
      </c>
      <c r="C674" s="8">
        <f>21.3025 * CHOOSE(CONTROL!$C$15, $D$11, 100%, $F$11)</f>
        <v>21.302499999999998</v>
      </c>
      <c r="D674" s="8">
        <f>21.3141 * CHOOSE( CONTROL!$C$15, $D$11, 100%, $F$11)</f>
        <v>21.3141</v>
      </c>
      <c r="E674" s="12">
        <f>21.3097 * CHOOSE( CONTROL!$C$15, $D$11, 100%, $F$11)</f>
        <v>21.309699999999999</v>
      </c>
      <c r="F674" s="4">
        <f>21.9871 * CHOOSE(CONTROL!$C$15, $D$11, 100%, $F$11)</f>
        <v>21.987100000000002</v>
      </c>
      <c r="G674" s="8">
        <f>20.914 * CHOOSE( CONTROL!$C$15, $D$11, 100%, $F$11)</f>
        <v>20.914000000000001</v>
      </c>
      <c r="H674" s="4">
        <f>21.8513 * CHOOSE(CONTROL!$C$15, $D$11, 100%, $F$11)</f>
        <v>21.851299999999998</v>
      </c>
      <c r="I674" s="8">
        <f>20.6627 * CHOOSE(CONTROL!$C$15, $D$11, 100%, $F$11)</f>
        <v>20.662700000000001</v>
      </c>
      <c r="J674" s="4">
        <f>20.5584 * CHOOSE(CONTROL!$C$15, $D$11, 100%, $F$11)</f>
        <v>20.558399999999999</v>
      </c>
      <c r="K674" s="4"/>
      <c r="L674" s="9">
        <v>31.095300000000002</v>
      </c>
      <c r="M674" s="9">
        <v>12.063700000000001</v>
      </c>
      <c r="N674" s="9">
        <v>4.9444999999999997</v>
      </c>
      <c r="O674" s="9">
        <v>0.37409999999999999</v>
      </c>
      <c r="P674" s="9">
        <v>1.2183999999999999</v>
      </c>
      <c r="Q674" s="9">
        <v>19.688099999999999</v>
      </c>
      <c r="R674" s="9"/>
      <c r="S674" s="11"/>
    </row>
    <row r="675" spans="1:19" ht="15.75">
      <c r="A675" s="13">
        <v>62062</v>
      </c>
      <c r="B675" s="8">
        <f>22.9664 * CHOOSE(CONTROL!$C$15, $D$11, 100%, $F$11)</f>
        <v>22.9664</v>
      </c>
      <c r="C675" s="8">
        <f>22.9715 * CHOOSE(CONTROL!$C$15, $D$11, 100%, $F$11)</f>
        <v>22.971499999999999</v>
      </c>
      <c r="D675" s="8">
        <f>22.9484 * CHOOSE( CONTROL!$C$15, $D$11, 100%, $F$11)</f>
        <v>22.948399999999999</v>
      </c>
      <c r="E675" s="12">
        <f>22.9563 * CHOOSE( CONTROL!$C$15, $D$11, 100%, $F$11)</f>
        <v>22.956299999999999</v>
      </c>
      <c r="F675" s="4">
        <f>23.6113 * CHOOSE(CONTROL!$C$15, $D$11, 100%, $F$11)</f>
        <v>23.6113</v>
      </c>
      <c r="G675" s="8">
        <f>22.5667 * CHOOSE( CONTROL!$C$15, $D$11, 100%, $F$11)</f>
        <v>22.566700000000001</v>
      </c>
      <c r="H675" s="4">
        <f>23.4485 * CHOOSE(CONTROL!$C$15, $D$11, 100%, $F$11)</f>
        <v>23.448499999999999</v>
      </c>
      <c r="I675" s="8">
        <f>22.3022 * CHOOSE(CONTROL!$C$15, $D$11, 100%, $F$11)</f>
        <v>22.302199999999999</v>
      </c>
      <c r="J675" s="4">
        <f>22.1724 * CHOOSE(CONTROL!$C$15, $D$11, 100%, $F$11)</f>
        <v>22.1724</v>
      </c>
      <c r="K675" s="4"/>
      <c r="L675" s="9">
        <v>28.360600000000002</v>
      </c>
      <c r="M675" s="9">
        <v>11.6745</v>
      </c>
      <c r="N675" s="9">
        <v>4.7850000000000001</v>
      </c>
      <c r="O675" s="9">
        <v>0.36199999999999999</v>
      </c>
      <c r="P675" s="9">
        <v>1.2509999999999999</v>
      </c>
      <c r="Q675" s="9">
        <v>19.053000000000001</v>
      </c>
      <c r="R675" s="9"/>
      <c r="S675" s="11"/>
    </row>
    <row r="676" spans="1:19" ht="15.75">
      <c r="A676" s="13">
        <v>62093</v>
      </c>
      <c r="B676" s="8">
        <f>22.9247 * CHOOSE(CONTROL!$C$15, $D$11, 100%, $F$11)</f>
        <v>22.924700000000001</v>
      </c>
      <c r="C676" s="8">
        <f>22.9298 * CHOOSE(CONTROL!$C$15, $D$11, 100%, $F$11)</f>
        <v>22.9298</v>
      </c>
      <c r="D676" s="8">
        <f>22.9081 * CHOOSE( CONTROL!$C$15, $D$11, 100%, $F$11)</f>
        <v>22.908100000000001</v>
      </c>
      <c r="E676" s="12">
        <f>22.9155 * CHOOSE( CONTROL!$C$15, $D$11, 100%, $F$11)</f>
        <v>22.915500000000002</v>
      </c>
      <c r="F676" s="4">
        <f>23.5695 * CHOOSE(CONTROL!$C$15, $D$11, 100%, $F$11)</f>
        <v>23.569500000000001</v>
      </c>
      <c r="G676" s="8">
        <f>22.5267 * CHOOSE( CONTROL!$C$15, $D$11, 100%, $F$11)</f>
        <v>22.526700000000002</v>
      </c>
      <c r="H676" s="4">
        <f>23.4075 * CHOOSE(CONTROL!$C$15, $D$11, 100%, $F$11)</f>
        <v>23.407499999999999</v>
      </c>
      <c r="I676" s="8">
        <f>22.2662 * CHOOSE(CONTROL!$C$15, $D$11, 100%, $F$11)</f>
        <v>22.266200000000001</v>
      </c>
      <c r="J676" s="4">
        <f>22.1321 * CHOOSE(CONTROL!$C$15, $D$11, 100%, $F$11)</f>
        <v>22.132100000000001</v>
      </c>
      <c r="K676" s="4"/>
      <c r="L676" s="9">
        <v>29.306000000000001</v>
      </c>
      <c r="M676" s="9">
        <v>12.063700000000001</v>
      </c>
      <c r="N676" s="9">
        <v>4.9444999999999997</v>
      </c>
      <c r="O676" s="9">
        <v>0.37409999999999999</v>
      </c>
      <c r="P676" s="9">
        <v>1.2927</v>
      </c>
      <c r="Q676" s="9">
        <v>19.688099999999999</v>
      </c>
      <c r="R676" s="9"/>
      <c r="S676" s="11"/>
    </row>
    <row r="677" spans="1:19" ht="15.75">
      <c r="A677" s="13">
        <v>62124</v>
      </c>
      <c r="B677" s="8">
        <f>23.7997 * CHOOSE(CONTROL!$C$15, $D$11, 100%, $F$11)</f>
        <v>23.799700000000001</v>
      </c>
      <c r="C677" s="8">
        <f>23.8048 * CHOOSE(CONTROL!$C$15, $D$11, 100%, $F$11)</f>
        <v>23.8048</v>
      </c>
      <c r="D677" s="8">
        <f>23.7789 * CHOOSE( CONTROL!$C$15, $D$11, 100%, $F$11)</f>
        <v>23.7789</v>
      </c>
      <c r="E677" s="12">
        <f>23.7878 * CHOOSE( CONTROL!$C$15, $D$11, 100%, $F$11)</f>
        <v>23.787800000000001</v>
      </c>
      <c r="F677" s="4">
        <f>24.4437 * CHOOSE(CONTROL!$C$15, $D$11, 100%, $F$11)</f>
        <v>24.4437</v>
      </c>
      <c r="G677" s="8">
        <f>23.3809 * CHOOSE( CONTROL!$C$15, $D$11, 100%, $F$11)</f>
        <v>23.3809</v>
      </c>
      <c r="H677" s="4">
        <f>24.2671 * CHOOSE(CONTROL!$C$15, $D$11, 100%, $F$11)</f>
        <v>24.267099999999999</v>
      </c>
      <c r="I677" s="8">
        <f>23.0831 * CHOOSE(CONTROL!$C$15, $D$11, 100%, $F$11)</f>
        <v>23.083100000000002</v>
      </c>
      <c r="J677" s="4">
        <f>22.978 * CHOOSE(CONTROL!$C$15, $D$11, 100%, $F$11)</f>
        <v>22.978000000000002</v>
      </c>
      <c r="K677" s="4"/>
      <c r="L677" s="9">
        <v>29.306000000000001</v>
      </c>
      <c r="M677" s="9">
        <v>12.063700000000001</v>
      </c>
      <c r="N677" s="9">
        <v>4.9444999999999997</v>
      </c>
      <c r="O677" s="9">
        <v>0.37409999999999999</v>
      </c>
      <c r="P677" s="9">
        <v>1.2927</v>
      </c>
      <c r="Q677" s="9">
        <v>19.688099999999999</v>
      </c>
      <c r="R677" s="9"/>
      <c r="S677" s="11"/>
    </row>
    <row r="678" spans="1:19" ht="15.75">
      <c r="A678" s="13">
        <v>62152</v>
      </c>
      <c r="B678" s="8">
        <f>22.263 * CHOOSE(CONTROL!$C$15, $D$11, 100%, $F$11)</f>
        <v>22.263000000000002</v>
      </c>
      <c r="C678" s="8">
        <f>22.2681 * CHOOSE(CONTROL!$C$15, $D$11, 100%, $F$11)</f>
        <v>22.2681</v>
      </c>
      <c r="D678" s="8">
        <f>22.2425 * CHOOSE( CONTROL!$C$15, $D$11, 100%, $F$11)</f>
        <v>22.2425</v>
      </c>
      <c r="E678" s="12">
        <f>22.2513 * CHOOSE( CONTROL!$C$15, $D$11, 100%, $F$11)</f>
        <v>22.251300000000001</v>
      </c>
      <c r="F678" s="4">
        <f>22.907 * CHOOSE(CONTROL!$C$15, $D$11, 100%, $F$11)</f>
        <v>22.907</v>
      </c>
      <c r="G678" s="8">
        <f>21.8699 * CHOOSE( CONTROL!$C$15, $D$11, 100%, $F$11)</f>
        <v>21.869900000000001</v>
      </c>
      <c r="H678" s="4">
        <f>22.756 * CHOOSE(CONTROL!$C$15, $D$11, 100%, $F$11)</f>
        <v>22.756</v>
      </c>
      <c r="I678" s="8">
        <f>21.5976 * CHOOSE(CONTROL!$C$15, $D$11, 100%, $F$11)</f>
        <v>21.5976</v>
      </c>
      <c r="J678" s="4">
        <f>21.4925 * CHOOSE(CONTROL!$C$15, $D$11, 100%, $F$11)</f>
        <v>21.4925</v>
      </c>
      <c r="K678" s="4"/>
      <c r="L678" s="9">
        <v>26.469899999999999</v>
      </c>
      <c r="M678" s="9">
        <v>10.8962</v>
      </c>
      <c r="N678" s="9">
        <v>4.4660000000000002</v>
      </c>
      <c r="O678" s="9">
        <v>0.33789999999999998</v>
      </c>
      <c r="P678" s="9">
        <v>1.1676</v>
      </c>
      <c r="Q678" s="9">
        <v>17.782800000000002</v>
      </c>
      <c r="R678" s="9"/>
      <c r="S678" s="11"/>
    </row>
    <row r="679" spans="1:19" ht="15.75">
      <c r="A679" s="13">
        <v>62183</v>
      </c>
      <c r="B679" s="8">
        <f>21.7897 * CHOOSE(CONTROL!$C$15, $D$11, 100%, $F$11)</f>
        <v>21.7897</v>
      </c>
      <c r="C679" s="8">
        <f>21.7948 * CHOOSE(CONTROL!$C$15, $D$11, 100%, $F$11)</f>
        <v>21.794799999999999</v>
      </c>
      <c r="D679" s="8">
        <f>21.7692 * CHOOSE( CONTROL!$C$15, $D$11, 100%, $F$11)</f>
        <v>21.769200000000001</v>
      </c>
      <c r="E679" s="12">
        <f>21.778 * CHOOSE( CONTROL!$C$15, $D$11, 100%, $F$11)</f>
        <v>21.777999999999999</v>
      </c>
      <c r="F679" s="4">
        <f>22.4337 * CHOOSE(CONTROL!$C$15, $D$11, 100%, $F$11)</f>
        <v>22.433700000000002</v>
      </c>
      <c r="G679" s="8">
        <f>21.4044 * CHOOSE( CONTROL!$C$15, $D$11, 100%, $F$11)</f>
        <v>21.404399999999999</v>
      </c>
      <c r="H679" s="4">
        <f>22.2905 * CHOOSE(CONTROL!$C$15, $D$11, 100%, $F$11)</f>
        <v>22.290500000000002</v>
      </c>
      <c r="I679" s="8">
        <f>21.1396 * CHOOSE(CONTROL!$C$15, $D$11, 100%, $F$11)</f>
        <v>21.139600000000002</v>
      </c>
      <c r="J679" s="4">
        <f>21.035 * CHOOSE(CONTROL!$C$15, $D$11, 100%, $F$11)</f>
        <v>21.035</v>
      </c>
      <c r="K679" s="4"/>
      <c r="L679" s="9">
        <v>29.306000000000001</v>
      </c>
      <c r="M679" s="9">
        <v>12.063700000000001</v>
      </c>
      <c r="N679" s="9">
        <v>4.9444999999999997</v>
      </c>
      <c r="O679" s="9">
        <v>0.37409999999999999</v>
      </c>
      <c r="P679" s="9">
        <v>1.2927</v>
      </c>
      <c r="Q679" s="9">
        <v>19.688099999999999</v>
      </c>
      <c r="R679" s="9"/>
      <c r="S679" s="11"/>
    </row>
    <row r="680" spans="1:19" ht="15.75">
      <c r="A680" s="13">
        <v>62213</v>
      </c>
      <c r="B680" s="8">
        <f>22.1212 * CHOOSE(CONTROL!$C$15, $D$11, 100%, $F$11)</f>
        <v>22.121200000000002</v>
      </c>
      <c r="C680" s="8">
        <f>22.1258 * CHOOSE(CONTROL!$C$15, $D$11, 100%, $F$11)</f>
        <v>22.125800000000002</v>
      </c>
      <c r="D680" s="8">
        <f>22.1368 * CHOOSE( CONTROL!$C$15, $D$11, 100%, $F$11)</f>
        <v>22.136800000000001</v>
      </c>
      <c r="E680" s="12">
        <f>22.1326 * CHOOSE( CONTROL!$C$15, $D$11, 100%, $F$11)</f>
        <v>22.1326</v>
      </c>
      <c r="F680" s="4">
        <f>22.8108 * CHOOSE(CONTROL!$C$15, $D$11, 100%, $F$11)</f>
        <v>22.8108</v>
      </c>
      <c r="G680" s="8">
        <f>21.7225 * CHOOSE( CONTROL!$C$15, $D$11, 100%, $F$11)</f>
        <v>21.7225</v>
      </c>
      <c r="H680" s="4">
        <f>22.6614 * CHOOSE(CONTROL!$C$15, $D$11, 100%, $F$11)</f>
        <v>22.6614</v>
      </c>
      <c r="I680" s="8">
        <f>21.4545 * CHOOSE(CONTROL!$C$15, $D$11, 100%, $F$11)</f>
        <v>21.454499999999999</v>
      </c>
      <c r="J680" s="4">
        <f>21.3547 * CHOOSE(CONTROL!$C$15, $D$11, 100%, $F$11)</f>
        <v>21.354700000000001</v>
      </c>
      <c r="K680" s="4"/>
      <c r="L680" s="9">
        <v>30.092199999999998</v>
      </c>
      <c r="M680" s="9">
        <v>11.6745</v>
      </c>
      <c r="N680" s="9">
        <v>4.7850000000000001</v>
      </c>
      <c r="O680" s="9">
        <v>0.36199999999999999</v>
      </c>
      <c r="P680" s="9">
        <v>1.1791</v>
      </c>
      <c r="Q680" s="9">
        <v>19.053000000000001</v>
      </c>
      <c r="R680" s="9"/>
      <c r="S680" s="11"/>
    </row>
    <row r="681" spans="1:19" ht="15.75">
      <c r="A681" s="13">
        <v>62244</v>
      </c>
      <c r="B681" s="8">
        <f>CHOOSE( CONTROL!$C$32, 22.7147, 22.7112) * CHOOSE(CONTROL!$C$15, $D$11, 100%, $F$11)</f>
        <v>22.714700000000001</v>
      </c>
      <c r="C681" s="8">
        <f>CHOOSE( CONTROL!$C$32, 22.7228, 22.7192) * CHOOSE(CONTROL!$C$15, $D$11, 100%, $F$11)</f>
        <v>22.722799999999999</v>
      </c>
      <c r="D681" s="8">
        <f>CHOOSE( CONTROL!$C$32, 22.7288, 22.7252) * CHOOSE( CONTROL!$C$15, $D$11, 100%, $F$11)</f>
        <v>22.7288</v>
      </c>
      <c r="E681" s="12">
        <f>CHOOSE( CONTROL!$C$32, 22.7254, 22.7218) * CHOOSE( CONTROL!$C$15, $D$11, 100%, $F$11)</f>
        <v>22.7254</v>
      </c>
      <c r="F681" s="4">
        <f>CHOOSE( CONTROL!$C$32, 23.403, 23.3995) * CHOOSE(CONTROL!$C$15, $D$11, 100%, $F$11)</f>
        <v>23.402999999999999</v>
      </c>
      <c r="G681" s="8">
        <f>CHOOSE( CONTROL!$C$32, 22.3059, 22.3024) * CHOOSE( CONTROL!$C$15, $D$11, 100%, $F$11)</f>
        <v>22.305900000000001</v>
      </c>
      <c r="H681" s="4">
        <f>CHOOSE( CONTROL!$C$32, 23.2437, 23.2402) * CHOOSE(CONTROL!$C$15, $D$11, 100%, $F$11)</f>
        <v>23.2437</v>
      </c>
      <c r="I681" s="8">
        <f>CHOOSE( CONTROL!$C$32, 22.0281, 22.0247) * CHOOSE(CONTROL!$C$15, $D$11, 100%, $F$11)</f>
        <v>22.028099999999998</v>
      </c>
      <c r="J681" s="4">
        <f>CHOOSE( CONTROL!$C$32, 21.9271, 21.9237) * CHOOSE(CONTROL!$C$15, $D$11, 100%, $F$11)</f>
        <v>21.927099999999999</v>
      </c>
      <c r="K681" s="4"/>
      <c r="L681" s="9">
        <v>30.7165</v>
      </c>
      <c r="M681" s="9">
        <v>12.063700000000001</v>
      </c>
      <c r="N681" s="9">
        <v>4.9444999999999997</v>
      </c>
      <c r="O681" s="9">
        <v>0.37409999999999999</v>
      </c>
      <c r="P681" s="9">
        <v>1.2183999999999999</v>
      </c>
      <c r="Q681" s="9">
        <v>19.688099999999999</v>
      </c>
      <c r="R681" s="9"/>
      <c r="S681" s="11"/>
    </row>
    <row r="682" spans="1:19" ht="15.75">
      <c r="A682" s="13">
        <v>62274</v>
      </c>
      <c r="B682" s="8">
        <f>CHOOSE( CONTROL!$C$32, 22.3501, 22.3466) * CHOOSE(CONTROL!$C$15, $D$11, 100%, $F$11)</f>
        <v>22.350100000000001</v>
      </c>
      <c r="C682" s="8">
        <f>CHOOSE( CONTROL!$C$32, 22.3581, 22.3546) * CHOOSE(CONTROL!$C$15, $D$11, 100%, $F$11)</f>
        <v>22.3581</v>
      </c>
      <c r="D682" s="8">
        <f>CHOOSE( CONTROL!$C$32, 22.3644, 22.3609) * CHOOSE( CONTROL!$C$15, $D$11, 100%, $F$11)</f>
        <v>22.3644</v>
      </c>
      <c r="E682" s="12">
        <f>CHOOSE( CONTROL!$C$32, 22.3609, 22.3574) * CHOOSE( CONTROL!$C$15, $D$11, 100%, $F$11)</f>
        <v>22.360900000000001</v>
      </c>
      <c r="F682" s="4">
        <f>CHOOSE( CONTROL!$C$32, 23.0384, 23.0348) * CHOOSE(CONTROL!$C$15, $D$11, 100%, $F$11)</f>
        <v>23.038399999999999</v>
      </c>
      <c r="G682" s="8">
        <f>CHOOSE( CONTROL!$C$32, 21.9477, 21.9442) * CHOOSE( CONTROL!$C$15, $D$11, 100%, $F$11)</f>
        <v>21.947700000000001</v>
      </c>
      <c r="H682" s="4">
        <f>CHOOSE( CONTROL!$C$32, 22.8851, 22.8816) * CHOOSE(CONTROL!$C$15, $D$11, 100%, $F$11)</f>
        <v>22.885100000000001</v>
      </c>
      <c r="I682" s="8">
        <f>CHOOSE( CONTROL!$C$32, 21.6768, 21.6734) * CHOOSE(CONTROL!$C$15, $D$11, 100%, $F$11)</f>
        <v>21.6768</v>
      </c>
      <c r="J682" s="4">
        <f>CHOOSE( CONTROL!$C$32, 21.5746, 21.5712) * CHOOSE(CONTROL!$C$15, $D$11, 100%, $F$11)</f>
        <v>21.5746</v>
      </c>
      <c r="K682" s="4"/>
      <c r="L682" s="9">
        <v>29.7257</v>
      </c>
      <c r="M682" s="9">
        <v>11.6745</v>
      </c>
      <c r="N682" s="9">
        <v>4.7850000000000001</v>
      </c>
      <c r="O682" s="9">
        <v>0.36199999999999999</v>
      </c>
      <c r="P682" s="9">
        <v>1.1791</v>
      </c>
      <c r="Q682" s="9">
        <v>19.053000000000001</v>
      </c>
      <c r="R682" s="9"/>
      <c r="S682" s="11"/>
    </row>
    <row r="683" spans="1:19" ht="15.75">
      <c r="A683" s="13">
        <v>62305</v>
      </c>
      <c r="B683" s="8">
        <f>CHOOSE( CONTROL!$C$32, 23.3103, 23.3067) * CHOOSE(CONTROL!$C$15, $D$11, 100%, $F$11)</f>
        <v>23.310300000000002</v>
      </c>
      <c r="C683" s="8">
        <f>CHOOSE( CONTROL!$C$32, 23.3183, 23.3148) * CHOOSE(CONTROL!$C$15, $D$11, 100%, $F$11)</f>
        <v>23.318300000000001</v>
      </c>
      <c r="D683" s="8">
        <f>CHOOSE( CONTROL!$C$32, 23.3249, 23.3214) * CHOOSE( CONTROL!$C$15, $D$11, 100%, $F$11)</f>
        <v>23.3249</v>
      </c>
      <c r="E683" s="12">
        <f>CHOOSE( CONTROL!$C$32, 23.3213, 23.3178) * CHOOSE( CONTROL!$C$15, $D$11, 100%, $F$11)</f>
        <v>23.321300000000001</v>
      </c>
      <c r="F683" s="4">
        <f>CHOOSE( CONTROL!$C$32, 23.9986, 23.995) * CHOOSE(CONTROL!$C$15, $D$11, 100%, $F$11)</f>
        <v>23.9986</v>
      </c>
      <c r="G683" s="8">
        <f>CHOOSE( CONTROL!$C$32, 22.8924, 22.8889) * CHOOSE( CONTROL!$C$15, $D$11, 100%, $F$11)</f>
        <v>22.892399999999999</v>
      </c>
      <c r="H683" s="4">
        <f>CHOOSE( CONTROL!$C$32, 23.8294, 23.8259) * CHOOSE(CONTROL!$C$15, $D$11, 100%, $F$11)</f>
        <v>23.8294</v>
      </c>
      <c r="I683" s="8">
        <f>CHOOSE( CONTROL!$C$32, 22.6069, 22.6035) * CHOOSE(CONTROL!$C$15, $D$11, 100%, $F$11)</f>
        <v>22.6069</v>
      </c>
      <c r="J683" s="4">
        <f>CHOOSE( CONTROL!$C$32, 22.5028, 22.4994) * CHOOSE(CONTROL!$C$15, $D$11, 100%, $F$11)</f>
        <v>22.502800000000001</v>
      </c>
      <c r="K683" s="4"/>
      <c r="L683" s="9">
        <v>30.7165</v>
      </c>
      <c r="M683" s="9">
        <v>12.063700000000001</v>
      </c>
      <c r="N683" s="9">
        <v>4.9444999999999997</v>
      </c>
      <c r="O683" s="9">
        <v>0.37409999999999999</v>
      </c>
      <c r="P683" s="9">
        <v>1.2183999999999999</v>
      </c>
      <c r="Q683" s="9">
        <v>19.688099999999999</v>
      </c>
      <c r="R683" s="9"/>
      <c r="S683" s="11"/>
    </row>
    <row r="684" spans="1:19" ht="15.75">
      <c r="A684" s="13">
        <v>62336</v>
      </c>
      <c r="B684" s="8">
        <f>CHOOSE( CONTROL!$C$32, 21.5137, 21.5101) * CHOOSE(CONTROL!$C$15, $D$11, 100%, $F$11)</f>
        <v>21.5137</v>
      </c>
      <c r="C684" s="8">
        <f>CHOOSE( CONTROL!$C$32, 21.5217, 21.5181) * CHOOSE(CONTROL!$C$15, $D$11, 100%, $F$11)</f>
        <v>21.521699999999999</v>
      </c>
      <c r="D684" s="8">
        <f>CHOOSE( CONTROL!$C$32, 21.5284, 21.5248) * CHOOSE( CONTROL!$C$15, $D$11, 100%, $F$11)</f>
        <v>21.528400000000001</v>
      </c>
      <c r="E684" s="12">
        <f>CHOOSE( CONTROL!$C$32, 21.5248, 21.5212) * CHOOSE( CONTROL!$C$15, $D$11, 100%, $F$11)</f>
        <v>21.524799999999999</v>
      </c>
      <c r="F684" s="4">
        <f>CHOOSE( CONTROL!$C$32, 22.202, 22.1984) * CHOOSE(CONTROL!$C$15, $D$11, 100%, $F$11)</f>
        <v>22.202000000000002</v>
      </c>
      <c r="G684" s="8">
        <f>CHOOSE( CONTROL!$C$32, 21.1257, 21.1222) * CHOOSE( CONTROL!$C$15, $D$11, 100%, $F$11)</f>
        <v>21.125699999999998</v>
      </c>
      <c r="H684" s="4">
        <f>CHOOSE( CONTROL!$C$32, 22.0626, 22.0591) * CHOOSE(CONTROL!$C$15, $D$11, 100%, $F$11)</f>
        <v>22.0626</v>
      </c>
      <c r="I684" s="8">
        <f>CHOOSE( CONTROL!$C$32, 20.8698, 20.8663) * CHOOSE(CONTROL!$C$15, $D$11, 100%, $F$11)</f>
        <v>20.869800000000001</v>
      </c>
      <c r="J684" s="4">
        <f>CHOOSE( CONTROL!$C$32, 20.7661, 20.7626) * CHOOSE(CONTROL!$C$15, $D$11, 100%, $F$11)</f>
        <v>20.766100000000002</v>
      </c>
      <c r="K684" s="4"/>
      <c r="L684" s="9">
        <v>30.7165</v>
      </c>
      <c r="M684" s="9">
        <v>12.063700000000001</v>
      </c>
      <c r="N684" s="9">
        <v>4.9444999999999997</v>
      </c>
      <c r="O684" s="9">
        <v>0.37409999999999999</v>
      </c>
      <c r="P684" s="9">
        <v>1.2183999999999999</v>
      </c>
      <c r="Q684" s="9">
        <v>19.688099999999999</v>
      </c>
      <c r="R684" s="9"/>
      <c r="S684" s="11"/>
    </row>
    <row r="685" spans="1:19" ht="15.75">
      <c r="A685" s="13">
        <v>62366</v>
      </c>
      <c r="B685" s="8">
        <f>CHOOSE( CONTROL!$C$32, 21.0638, 21.0602) * CHOOSE(CONTROL!$C$15, $D$11, 100%, $F$11)</f>
        <v>21.063800000000001</v>
      </c>
      <c r="C685" s="8">
        <f>CHOOSE( CONTROL!$C$32, 21.0718, 21.0683) * CHOOSE(CONTROL!$C$15, $D$11, 100%, $F$11)</f>
        <v>21.0718</v>
      </c>
      <c r="D685" s="8">
        <f>CHOOSE( CONTROL!$C$32, 21.0785, 21.0749) * CHOOSE( CONTROL!$C$15, $D$11, 100%, $F$11)</f>
        <v>21.078499999999998</v>
      </c>
      <c r="E685" s="12">
        <f>CHOOSE( CONTROL!$C$32, 21.0749, 21.0713) * CHOOSE( CONTROL!$C$15, $D$11, 100%, $F$11)</f>
        <v>21.0749</v>
      </c>
      <c r="F685" s="4">
        <f>CHOOSE( CONTROL!$C$32, 21.7521, 21.7485) * CHOOSE(CONTROL!$C$15, $D$11, 100%, $F$11)</f>
        <v>21.752099999999999</v>
      </c>
      <c r="G685" s="8">
        <f>CHOOSE( CONTROL!$C$32, 20.6833, 20.6798) * CHOOSE( CONTROL!$C$15, $D$11, 100%, $F$11)</f>
        <v>20.683299999999999</v>
      </c>
      <c r="H685" s="4">
        <f>CHOOSE( CONTROL!$C$32, 21.6201, 21.6166) * CHOOSE(CONTROL!$C$15, $D$11, 100%, $F$11)</f>
        <v>21.620100000000001</v>
      </c>
      <c r="I685" s="8">
        <f>CHOOSE( CONTROL!$C$32, 20.4346, 20.4312) * CHOOSE(CONTROL!$C$15, $D$11, 100%, $F$11)</f>
        <v>20.4346</v>
      </c>
      <c r="J685" s="4">
        <f>CHOOSE( CONTROL!$C$32, 20.3311, 20.3277) * CHOOSE(CONTROL!$C$15, $D$11, 100%, $F$11)</f>
        <v>20.331099999999999</v>
      </c>
      <c r="K685" s="4"/>
      <c r="L685" s="9">
        <v>29.7257</v>
      </c>
      <c r="M685" s="9">
        <v>11.6745</v>
      </c>
      <c r="N685" s="9">
        <v>4.7850000000000001</v>
      </c>
      <c r="O685" s="9">
        <v>0.36199999999999999</v>
      </c>
      <c r="P685" s="9">
        <v>1.1791</v>
      </c>
      <c r="Q685" s="9">
        <v>19.053000000000001</v>
      </c>
      <c r="R685" s="9"/>
      <c r="S685" s="11"/>
    </row>
    <row r="686" spans="1:19" ht="15.75">
      <c r="A686" s="13">
        <v>62397</v>
      </c>
      <c r="B686" s="8">
        <f>21.9926 * CHOOSE(CONTROL!$C$15, $D$11, 100%, $F$11)</f>
        <v>21.992599999999999</v>
      </c>
      <c r="C686" s="8">
        <f>21.998 * CHOOSE(CONTROL!$C$15, $D$11, 100%, $F$11)</f>
        <v>21.998000000000001</v>
      </c>
      <c r="D686" s="8">
        <f>22.0095 * CHOOSE( CONTROL!$C$15, $D$11, 100%, $F$11)</f>
        <v>22.009499999999999</v>
      </c>
      <c r="E686" s="12">
        <f>22.0051 * CHOOSE( CONTROL!$C$15, $D$11, 100%, $F$11)</f>
        <v>22.005099999999999</v>
      </c>
      <c r="F686" s="4">
        <f>22.6826 * CHOOSE(CONTROL!$C$15, $D$11, 100%, $F$11)</f>
        <v>22.682600000000001</v>
      </c>
      <c r="G686" s="8">
        <f>21.5979 * CHOOSE( CONTROL!$C$15, $D$11, 100%, $F$11)</f>
        <v>21.597899999999999</v>
      </c>
      <c r="H686" s="4">
        <f>22.5353 * CHOOSE(CONTROL!$C$15, $D$11, 100%, $F$11)</f>
        <v>22.535299999999999</v>
      </c>
      <c r="I686" s="8">
        <f>21.3354 * CHOOSE(CONTROL!$C$15, $D$11, 100%, $F$11)</f>
        <v>21.3354</v>
      </c>
      <c r="J686" s="4">
        <f>21.2307 * CHOOSE(CONTROL!$C$15, $D$11, 100%, $F$11)</f>
        <v>21.230699999999999</v>
      </c>
      <c r="K686" s="4"/>
      <c r="L686" s="9">
        <v>31.095300000000002</v>
      </c>
      <c r="M686" s="9">
        <v>12.063700000000001</v>
      </c>
      <c r="N686" s="9">
        <v>4.9444999999999997</v>
      </c>
      <c r="O686" s="9">
        <v>0.37409999999999999</v>
      </c>
      <c r="P686" s="9">
        <v>1.2183999999999999</v>
      </c>
      <c r="Q686" s="9">
        <v>19.688099999999999</v>
      </c>
      <c r="R686" s="9"/>
      <c r="S686" s="11"/>
    </row>
    <row r="687" spans="1:19" ht="15.75">
      <c r="A687" s="13">
        <v>62427</v>
      </c>
      <c r="B687" s="8">
        <f>23.7165 * CHOOSE(CONTROL!$C$15, $D$11, 100%, $F$11)</f>
        <v>23.7165</v>
      </c>
      <c r="C687" s="8">
        <f>23.7216 * CHOOSE(CONTROL!$C$15, $D$11, 100%, $F$11)</f>
        <v>23.721599999999999</v>
      </c>
      <c r="D687" s="8">
        <f>23.6985 * CHOOSE( CONTROL!$C$15, $D$11, 100%, $F$11)</f>
        <v>23.698499999999999</v>
      </c>
      <c r="E687" s="12">
        <f>23.7064 * CHOOSE( CONTROL!$C$15, $D$11, 100%, $F$11)</f>
        <v>23.706399999999999</v>
      </c>
      <c r="F687" s="4">
        <f>24.3614 * CHOOSE(CONTROL!$C$15, $D$11, 100%, $F$11)</f>
        <v>24.3614</v>
      </c>
      <c r="G687" s="8">
        <f>23.3044 * CHOOSE( CONTROL!$C$15, $D$11, 100%, $F$11)</f>
        <v>23.304400000000001</v>
      </c>
      <c r="H687" s="4">
        <f>24.1862 * CHOOSE(CONTROL!$C$15, $D$11, 100%, $F$11)</f>
        <v>24.186199999999999</v>
      </c>
      <c r="I687" s="8">
        <f>23.0277 * CHOOSE(CONTROL!$C$15, $D$11, 100%, $F$11)</f>
        <v>23.027699999999999</v>
      </c>
      <c r="J687" s="4">
        <f>22.8975 * CHOOSE(CONTROL!$C$15, $D$11, 100%, $F$11)</f>
        <v>22.897500000000001</v>
      </c>
      <c r="K687" s="4"/>
      <c r="L687" s="9">
        <v>28.360600000000002</v>
      </c>
      <c r="M687" s="9">
        <v>11.6745</v>
      </c>
      <c r="N687" s="9">
        <v>4.7850000000000001</v>
      </c>
      <c r="O687" s="9">
        <v>0.36199999999999999</v>
      </c>
      <c r="P687" s="9">
        <v>1.2509999999999999</v>
      </c>
      <c r="Q687" s="9">
        <v>19.053000000000001</v>
      </c>
      <c r="R687" s="9"/>
      <c r="S687" s="11"/>
    </row>
    <row r="688" spans="1:19" ht="15.75">
      <c r="A688" s="13">
        <v>62458</v>
      </c>
      <c r="B688" s="8">
        <f>23.6734 * CHOOSE(CONTROL!$C$15, $D$11, 100%, $F$11)</f>
        <v>23.673400000000001</v>
      </c>
      <c r="C688" s="8">
        <f>23.6785 * CHOOSE(CONTROL!$C$15, $D$11, 100%, $F$11)</f>
        <v>23.6785</v>
      </c>
      <c r="D688" s="8">
        <f>23.6568 * CHOOSE( CONTROL!$C$15, $D$11, 100%, $F$11)</f>
        <v>23.6568</v>
      </c>
      <c r="E688" s="12">
        <f>23.6642 * CHOOSE( CONTROL!$C$15, $D$11, 100%, $F$11)</f>
        <v>23.664200000000001</v>
      </c>
      <c r="F688" s="4">
        <f>24.3183 * CHOOSE(CONTROL!$C$15, $D$11, 100%, $F$11)</f>
        <v>24.318300000000001</v>
      </c>
      <c r="G688" s="8">
        <f>23.263 * CHOOSE( CONTROL!$C$15, $D$11, 100%, $F$11)</f>
        <v>23.263000000000002</v>
      </c>
      <c r="H688" s="4">
        <f>24.1438 * CHOOSE(CONTROL!$C$15, $D$11, 100%, $F$11)</f>
        <v>24.143799999999999</v>
      </c>
      <c r="I688" s="8">
        <f>22.9904 * CHOOSE(CONTROL!$C$15, $D$11, 100%, $F$11)</f>
        <v>22.990400000000001</v>
      </c>
      <c r="J688" s="4">
        <f>22.8559 * CHOOSE(CONTROL!$C$15, $D$11, 100%, $F$11)</f>
        <v>22.855899999999998</v>
      </c>
      <c r="K688" s="4"/>
      <c r="L688" s="9">
        <v>29.306000000000001</v>
      </c>
      <c r="M688" s="9">
        <v>12.063700000000001</v>
      </c>
      <c r="N688" s="9">
        <v>4.9444999999999997</v>
      </c>
      <c r="O688" s="9">
        <v>0.37409999999999999</v>
      </c>
      <c r="P688" s="9">
        <v>1.2927</v>
      </c>
      <c r="Q688" s="9">
        <v>19.688099999999999</v>
      </c>
      <c r="R688" s="9"/>
      <c r="S688" s="11"/>
    </row>
    <row r="689" spans="1:19" ht="15.75">
      <c r="A689" s="13">
        <v>62489</v>
      </c>
      <c r="B689" s="8">
        <f>24.577 * CHOOSE(CONTROL!$C$15, $D$11, 100%, $F$11)</f>
        <v>24.577000000000002</v>
      </c>
      <c r="C689" s="8">
        <f>24.5821 * CHOOSE(CONTROL!$C$15, $D$11, 100%, $F$11)</f>
        <v>24.582100000000001</v>
      </c>
      <c r="D689" s="8">
        <f>24.5563 * CHOOSE( CONTROL!$C$15, $D$11, 100%, $F$11)</f>
        <v>24.5563</v>
      </c>
      <c r="E689" s="12">
        <f>24.5652 * CHOOSE( CONTROL!$C$15, $D$11, 100%, $F$11)</f>
        <v>24.565200000000001</v>
      </c>
      <c r="F689" s="4">
        <f>25.221 * CHOOSE(CONTROL!$C$15, $D$11, 100%, $F$11)</f>
        <v>25.221</v>
      </c>
      <c r="G689" s="8">
        <f>24.1454 * CHOOSE( CONTROL!$C$15, $D$11, 100%, $F$11)</f>
        <v>24.145399999999999</v>
      </c>
      <c r="H689" s="4">
        <f>25.0316 * CHOOSE(CONTROL!$C$15, $D$11, 100%, $F$11)</f>
        <v>25.031600000000001</v>
      </c>
      <c r="I689" s="8">
        <f>23.8349 * CHOOSE(CONTROL!$C$15, $D$11, 100%, $F$11)</f>
        <v>23.834900000000001</v>
      </c>
      <c r="J689" s="4">
        <f>23.7294 * CHOOSE(CONTROL!$C$15, $D$11, 100%, $F$11)</f>
        <v>23.729399999999998</v>
      </c>
      <c r="K689" s="4"/>
      <c r="L689" s="9">
        <v>29.306000000000001</v>
      </c>
      <c r="M689" s="9">
        <v>12.063700000000001</v>
      </c>
      <c r="N689" s="9">
        <v>4.9444999999999997</v>
      </c>
      <c r="O689" s="9">
        <v>0.37409999999999999</v>
      </c>
      <c r="P689" s="9">
        <v>1.2927</v>
      </c>
      <c r="Q689" s="9">
        <v>19.688099999999999</v>
      </c>
      <c r="R689" s="9"/>
      <c r="S689" s="11"/>
    </row>
    <row r="690" spans="1:19" ht="15.75">
      <c r="A690" s="13">
        <v>62517</v>
      </c>
      <c r="B690" s="8">
        <f>22.9901 * CHOOSE(CONTROL!$C$15, $D$11, 100%, $F$11)</f>
        <v>22.990100000000002</v>
      </c>
      <c r="C690" s="8">
        <f>22.9952 * CHOOSE(CONTROL!$C$15, $D$11, 100%, $F$11)</f>
        <v>22.995200000000001</v>
      </c>
      <c r="D690" s="8">
        <f>22.9696 * CHOOSE( CONTROL!$C$15, $D$11, 100%, $F$11)</f>
        <v>22.9696</v>
      </c>
      <c r="E690" s="12">
        <f>22.9784 * CHOOSE( CONTROL!$C$15, $D$11, 100%, $F$11)</f>
        <v>22.978400000000001</v>
      </c>
      <c r="F690" s="4">
        <f>23.6341 * CHOOSE(CONTROL!$C$15, $D$11, 100%, $F$11)</f>
        <v>23.6341</v>
      </c>
      <c r="G690" s="8">
        <f>22.5849 * CHOOSE( CONTROL!$C$15, $D$11, 100%, $F$11)</f>
        <v>22.584900000000001</v>
      </c>
      <c r="H690" s="4">
        <f>23.471 * CHOOSE(CONTROL!$C$15, $D$11, 100%, $F$11)</f>
        <v>23.471</v>
      </c>
      <c r="I690" s="8">
        <f>22.3008 * CHOOSE(CONTROL!$C$15, $D$11, 100%, $F$11)</f>
        <v>22.300799999999999</v>
      </c>
      <c r="J690" s="4">
        <f>22.1954 * CHOOSE(CONTROL!$C$15, $D$11, 100%, $F$11)</f>
        <v>22.195399999999999</v>
      </c>
      <c r="K690" s="4"/>
      <c r="L690" s="9">
        <v>26.469899999999999</v>
      </c>
      <c r="M690" s="9">
        <v>10.8962</v>
      </c>
      <c r="N690" s="9">
        <v>4.4660000000000002</v>
      </c>
      <c r="O690" s="9">
        <v>0.33789999999999998</v>
      </c>
      <c r="P690" s="9">
        <v>1.1676</v>
      </c>
      <c r="Q690" s="9">
        <v>17.782800000000002</v>
      </c>
      <c r="R690" s="9"/>
      <c r="S690" s="11"/>
    </row>
    <row r="691" spans="1:19" ht="15.75">
      <c r="A691" s="13">
        <v>62548</v>
      </c>
      <c r="B691" s="8">
        <f>22.5013 * CHOOSE(CONTROL!$C$15, $D$11, 100%, $F$11)</f>
        <v>22.501300000000001</v>
      </c>
      <c r="C691" s="8">
        <f>22.5065 * CHOOSE(CONTROL!$C$15, $D$11, 100%, $F$11)</f>
        <v>22.506499999999999</v>
      </c>
      <c r="D691" s="8">
        <f>22.4808 * CHOOSE( CONTROL!$C$15, $D$11, 100%, $F$11)</f>
        <v>22.480799999999999</v>
      </c>
      <c r="E691" s="12">
        <f>22.4896 * CHOOSE( CONTROL!$C$15, $D$11, 100%, $F$11)</f>
        <v>22.489599999999999</v>
      </c>
      <c r="F691" s="4">
        <f>23.1454 * CHOOSE(CONTROL!$C$15, $D$11, 100%, $F$11)</f>
        <v>23.145399999999999</v>
      </c>
      <c r="G691" s="8">
        <f>22.1042 * CHOOSE( CONTROL!$C$15, $D$11, 100%, $F$11)</f>
        <v>22.104199999999999</v>
      </c>
      <c r="H691" s="4">
        <f>22.9903 * CHOOSE(CONTROL!$C$15, $D$11, 100%, $F$11)</f>
        <v>22.990300000000001</v>
      </c>
      <c r="I691" s="8">
        <f>21.8279 * CHOOSE(CONTROL!$C$15, $D$11, 100%, $F$11)</f>
        <v>21.8279</v>
      </c>
      <c r="J691" s="4">
        <f>21.7229 * CHOOSE(CONTROL!$C$15, $D$11, 100%, $F$11)</f>
        <v>21.722899999999999</v>
      </c>
      <c r="K691" s="4"/>
      <c r="L691" s="9">
        <v>29.306000000000001</v>
      </c>
      <c r="M691" s="9">
        <v>12.063700000000001</v>
      </c>
      <c r="N691" s="9">
        <v>4.9444999999999997</v>
      </c>
      <c r="O691" s="9">
        <v>0.37409999999999999</v>
      </c>
      <c r="P691" s="9">
        <v>1.2927</v>
      </c>
      <c r="Q691" s="9">
        <v>19.688099999999999</v>
      </c>
      <c r="R691" s="9"/>
      <c r="S691" s="11"/>
    </row>
    <row r="692" spans="1:19" ht="15.75">
      <c r="A692" s="13">
        <v>62578</v>
      </c>
      <c r="B692" s="8">
        <f>22.8436 * CHOOSE(CONTROL!$C$15, $D$11, 100%, $F$11)</f>
        <v>22.843599999999999</v>
      </c>
      <c r="C692" s="8">
        <f>22.8482 * CHOOSE(CONTROL!$C$15, $D$11, 100%, $F$11)</f>
        <v>22.848199999999999</v>
      </c>
      <c r="D692" s="8">
        <f>22.8592 * CHOOSE( CONTROL!$C$15, $D$11, 100%, $F$11)</f>
        <v>22.859200000000001</v>
      </c>
      <c r="E692" s="12">
        <f>22.855 * CHOOSE( CONTROL!$C$15, $D$11, 100%, $F$11)</f>
        <v>22.855</v>
      </c>
      <c r="F692" s="4">
        <f>23.5333 * CHOOSE(CONTROL!$C$15, $D$11, 100%, $F$11)</f>
        <v>23.533300000000001</v>
      </c>
      <c r="G692" s="8">
        <f>22.433 * CHOOSE( CONTROL!$C$15, $D$11, 100%, $F$11)</f>
        <v>22.433</v>
      </c>
      <c r="H692" s="4">
        <f>23.3718 * CHOOSE(CONTROL!$C$15, $D$11, 100%, $F$11)</f>
        <v>23.3718</v>
      </c>
      <c r="I692" s="8">
        <f>22.1533 * CHOOSE(CONTROL!$C$15, $D$11, 100%, $F$11)</f>
        <v>22.153300000000002</v>
      </c>
      <c r="J692" s="4">
        <f>22.053 * CHOOSE(CONTROL!$C$15, $D$11, 100%, $F$11)</f>
        <v>22.053000000000001</v>
      </c>
      <c r="K692" s="4"/>
      <c r="L692" s="9">
        <v>30.092199999999998</v>
      </c>
      <c r="M692" s="9">
        <v>11.6745</v>
      </c>
      <c r="N692" s="9">
        <v>4.7850000000000001</v>
      </c>
      <c r="O692" s="9">
        <v>0.36199999999999999</v>
      </c>
      <c r="P692" s="9">
        <v>1.1791</v>
      </c>
      <c r="Q692" s="9">
        <v>19.053000000000001</v>
      </c>
      <c r="R692" s="9"/>
      <c r="S692" s="11"/>
    </row>
    <row r="693" spans="1:19" ht="15.75">
      <c r="A693" s="13">
        <v>62609</v>
      </c>
      <c r="B693" s="8">
        <f>CHOOSE( CONTROL!$C$32, 23.4564, 23.4529) * CHOOSE(CONTROL!$C$15, $D$11, 100%, $F$11)</f>
        <v>23.456399999999999</v>
      </c>
      <c r="C693" s="8">
        <f>CHOOSE( CONTROL!$C$32, 23.4644, 23.4609) * CHOOSE(CONTROL!$C$15, $D$11, 100%, $F$11)</f>
        <v>23.464400000000001</v>
      </c>
      <c r="D693" s="8">
        <f>CHOOSE( CONTROL!$C$32, 23.4705, 23.4669) * CHOOSE( CONTROL!$C$15, $D$11, 100%, $F$11)</f>
        <v>23.470500000000001</v>
      </c>
      <c r="E693" s="12">
        <f>CHOOSE( CONTROL!$C$32, 23.4671, 23.4635) * CHOOSE( CONTROL!$C$15, $D$11, 100%, $F$11)</f>
        <v>23.467099999999999</v>
      </c>
      <c r="F693" s="4">
        <f>CHOOSE( CONTROL!$C$32, 24.1447, 24.1411) * CHOOSE(CONTROL!$C$15, $D$11, 100%, $F$11)</f>
        <v>24.1447</v>
      </c>
      <c r="G693" s="8">
        <f>CHOOSE( CONTROL!$C$32, 23.0352, 23.0317) * CHOOSE( CONTROL!$C$15, $D$11, 100%, $F$11)</f>
        <v>23.0352</v>
      </c>
      <c r="H693" s="4">
        <f>CHOOSE( CONTROL!$C$32, 23.9731, 23.9696) * CHOOSE(CONTROL!$C$15, $D$11, 100%, $F$11)</f>
        <v>23.973099999999999</v>
      </c>
      <c r="I693" s="8">
        <f>CHOOSE( CONTROL!$C$32, 22.7455, 22.742) * CHOOSE(CONTROL!$C$15, $D$11, 100%, $F$11)</f>
        <v>22.7455</v>
      </c>
      <c r="J693" s="4">
        <f>CHOOSE( CONTROL!$C$32, 22.6441, 22.6407) * CHOOSE(CONTROL!$C$15, $D$11, 100%, $F$11)</f>
        <v>22.644100000000002</v>
      </c>
      <c r="K693" s="4"/>
      <c r="L693" s="9">
        <v>30.7165</v>
      </c>
      <c r="M693" s="9">
        <v>12.063700000000001</v>
      </c>
      <c r="N693" s="9">
        <v>4.9444999999999997</v>
      </c>
      <c r="O693" s="9">
        <v>0.37409999999999999</v>
      </c>
      <c r="P693" s="9">
        <v>1.2183999999999999</v>
      </c>
      <c r="Q693" s="9">
        <v>19.688099999999999</v>
      </c>
      <c r="R693" s="9"/>
      <c r="S693" s="11"/>
    </row>
    <row r="694" spans="1:19" ht="15.75">
      <c r="A694" s="13">
        <v>62639</v>
      </c>
      <c r="B694" s="8">
        <f>CHOOSE( CONTROL!$C$32, 23.0799, 23.0763) * CHOOSE(CONTROL!$C$15, $D$11, 100%, $F$11)</f>
        <v>23.079899999999999</v>
      </c>
      <c r="C694" s="8">
        <f>CHOOSE( CONTROL!$C$32, 23.0879, 23.0843) * CHOOSE(CONTROL!$C$15, $D$11, 100%, $F$11)</f>
        <v>23.087900000000001</v>
      </c>
      <c r="D694" s="8">
        <f>CHOOSE( CONTROL!$C$32, 23.0942, 23.0906) * CHOOSE( CONTROL!$C$15, $D$11, 100%, $F$11)</f>
        <v>23.094200000000001</v>
      </c>
      <c r="E694" s="12">
        <f>CHOOSE( CONTROL!$C$32, 23.0907, 23.0871) * CHOOSE( CONTROL!$C$15, $D$11, 100%, $F$11)</f>
        <v>23.090699999999998</v>
      </c>
      <c r="F694" s="4">
        <f>CHOOSE( CONTROL!$C$32, 23.7682, 23.7646) * CHOOSE(CONTROL!$C$15, $D$11, 100%, $F$11)</f>
        <v>23.7682</v>
      </c>
      <c r="G694" s="8">
        <f>CHOOSE( CONTROL!$C$32, 22.6654, 22.6618) * CHOOSE( CONTROL!$C$15, $D$11, 100%, $F$11)</f>
        <v>22.665400000000002</v>
      </c>
      <c r="H694" s="4">
        <f>CHOOSE( CONTROL!$C$32, 23.6028, 23.5993) * CHOOSE(CONTROL!$C$15, $D$11, 100%, $F$11)</f>
        <v>23.602799999999998</v>
      </c>
      <c r="I694" s="8">
        <f>CHOOSE( CONTROL!$C$32, 22.3826, 22.3792) * CHOOSE(CONTROL!$C$15, $D$11, 100%, $F$11)</f>
        <v>22.3826</v>
      </c>
      <c r="J694" s="4">
        <f>CHOOSE( CONTROL!$C$32, 22.2801, 22.2766) * CHOOSE(CONTROL!$C$15, $D$11, 100%, $F$11)</f>
        <v>22.280100000000001</v>
      </c>
      <c r="K694" s="4"/>
      <c r="L694" s="9">
        <v>29.7257</v>
      </c>
      <c r="M694" s="9">
        <v>11.6745</v>
      </c>
      <c r="N694" s="9">
        <v>4.7850000000000001</v>
      </c>
      <c r="O694" s="9">
        <v>0.36199999999999999</v>
      </c>
      <c r="P694" s="9">
        <v>1.1791</v>
      </c>
      <c r="Q694" s="9">
        <v>19.053000000000001</v>
      </c>
      <c r="R694" s="9"/>
      <c r="S694" s="11"/>
    </row>
    <row r="695" spans="1:19" ht="15.75">
      <c r="A695" s="13">
        <v>62670</v>
      </c>
      <c r="B695" s="8">
        <f>CHOOSE( CONTROL!$C$32, 24.0715, 24.0679) * CHOOSE(CONTROL!$C$15, $D$11, 100%, $F$11)</f>
        <v>24.0715</v>
      </c>
      <c r="C695" s="8">
        <f>CHOOSE( CONTROL!$C$32, 24.0795, 24.0759) * CHOOSE(CONTROL!$C$15, $D$11, 100%, $F$11)</f>
        <v>24.079499999999999</v>
      </c>
      <c r="D695" s="8">
        <f>CHOOSE( CONTROL!$C$32, 24.0861, 24.0825) * CHOOSE( CONTROL!$C$15, $D$11, 100%, $F$11)</f>
        <v>24.086099999999998</v>
      </c>
      <c r="E695" s="12">
        <f>CHOOSE( CONTROL!$C$32, 24.0825, 24.0789) * CHOOSE( CONTROL!$C$15, $D$11, 100%, $F$11)</f>
        <v>24.0825</v>
      </c>
      <c r="F695" s="4">
        <f>CHOOSE( CONTROL!$C$32, 24.7597, 24.7562) * CHOOSE(CONTROL!$C$15, $D$11, 100%, $F$11)</f>
        <v>24.759699999999999</v>
      </c>
      <c r="G695" s="8">
        <f>CHOOSE( CONTROL!$C$32, 23.641, 23.6375) * CHOOSE( CONTROL!$C$15, $D$11, 100%, $F$11)</f>
        <v>23.640999999999998</v>
      </c>
      <c r="H695" s="4">
        <f>CHOOSE( CONTROL!$C$32, 24.5779, 24.5744) * CHOOSE(CONTROL!$C$15, $D$11, 100%, $F$11)</f>
        <v>24.5779</v>
      </c>
      <c r="I695" s="8">
        <f>CHOOSE( CONTROL!$C$32, 23.3431, 23.3397) * CHOOSE(CONTROL!$C$15, $D$11, 100%, $F$11)</f>
        <v>23.3431</v>
      </c>
      <c r="J695" s="4">
        <f>CHOOSE( CONTROL!$C$32, 23.2387, 23.2352) * CHOOSE(CONTROL!$C$15, $D$11, 100%, $F$11)</f>
        <v>23.238700000000001</v>
      </c>
      <c r="K695" s="4"/>
      <c r="L695" s="9">
        <v>30.7165</v>
      </c>
      <c r="M695" s="9">
        <v>12.063700000000001</v>
      </c>
      <c r="N695" s="9">
        <v>4.9444999999999997</v>
      </c>
      <c r="O695" s="9">
        <v>0.37409999999999999</v>
      </c>
      <c r="P695" s="9">
        <v>1.2183999999999999</v>
      </c>
      <c r="Q695" s="9">
        <v>19.688099999999999</v>
      </c>
      <c r="R695" s="9"/>
      <c r="S695" s="11"/>
    </row>
    <row r="696" spans="1:19" ht="15.75">
      <c r="A696" s="13">
        <v>62701</v>
      </c>
      <c r="B696" s="8">
        <f>CHOOSE( CONTROL!$C$32, 22.2161, 22.2125) * CHOOSE(CONTROL!$C$15, $D$11, 100%, $F$11)</f>
        <v>22.216100000000001</v>
      </c>
      <c r="C696" s="8">
        <f>CHOOSE( CONTROL!$C$32, 22.2241, 22.2206) * CHOOSE(CONTROL!$C$15, $D$11, 100%, $F$11)</f>
        <v>22.2241</v>
      </c>
      <c r="D696" s="8">
        <f>CHOOSE( CONTROL!$C$32, 22.2308, 22.2272) * CHOOSE( CONTROL!$C$15, $D$11, 100%, $F$11)</f>
        <v>22.230799999999999</v>
      </c>
      <c r="E696" s="12">
        <f>CHOOSE( CONTROL!$C$32, 22.2272, 22.2236) * CHOOSE( CONTROL!$C$15, $D$11, 100%, $F$11)</f>
        <v>22.2272</v>
      </c>
      <c r="F696" s="4">
        <f>CHOOSE( CONTROL!$C$32, 22.9044, 22.9008) * CHOOSE(CONTROL!$C$15, $D$11, 100%, $F$11)</f>
        <v>22.904399999999999</v>
      </c>
      <c r="G696" s="8">
        <f>CHOOSE( CONTROL!$C$32, 21.8165, 21.813) * CHOOSE( CONTROL!$C$15, $D$11, 100%, $F$11)</f>
        <v>21.816500000000001</v>
      </c>
      <c r="H696" s="4">
        <f>CHOOSE( CONTROL!$C$32, 22.7533, 22.7498) * CHOOSE(CONTROL!$C$15, $D$11, 100%, $F$11)</f>
        <v>22.753299999999999</v>
      </c>
      <c r="I696" s="8">
        <f>CHOOSE( CONTROL!$C$32, 21.5491, 21.5457) * CHOOSE(CONTROL!$C$15, $D$11, 100%, $F$11)</f>
        <v>21.549099999999999</v>
      </c>
      <c r="J696" s="4">
        <f>CHOOSE( CONTROL!$C$32, 21.4451, 21.4416) * CHOOSE(CONTROL!$C$15, $D$11, 100%, $F$11)</f>
        <v>21.4451</v>
      </c>
      <c r="K696" s="4"/>
      <c r="L696" s="9">
        <v>30.7165</v>
      </c>
      <c r="M696" s="9">
        <v>12.063700000000001</v>
      </c>
      <c r="N696" s="9">
        <v>4.9444999999999997</v>
      </c>
      <c r="O696" s="9">
        <v>0.37409999999999999</v>
      </c>
      <c r="P696" s="9">
        <v>1.2183999999999999</v>
      </c>
      <c r="Q696" s="9">
        <v>19.688099999999999</v>
      </c>
      <c r="R696" s="9"/>
      <c r="S696" s="11"/>
    </row>
    <row r="697" spans="1:19" ht="15.75">
      <c r="A697" s="13">
        <v>62731</v>
      </c>
      <c r="B697" s="8">
        <f>CHOOSE( CONTROL!$C$32, 21.7515, 21.7479) * CHOOSE(CONTROL!$C$15, $D$11, 100%, $F$11)</f>
        <v>21.7515</v>
      </c>
      <c r="C697" s="8">
        <f>CHOOSE( CONTROL!$C$32, 21.7595, 21.7559) * CHOOSE(CONTROL!$C$15, $D$11, 100%, $F$11)</f>
        <v>21.759499999999999</v>
      </c>
      <c r="D697" s="8">
        <f>CHOOSE( CONTROL!$C$32, 21.7662, 21.7626) * CHOOSE( CONTROL!$C$15, $D$11, 100%, $F$11)</f>
        <v>21.766200000000001</v>
      </c>
      <c r="E697" s="12">
        <f>CHOOSE( CONTROL!$C$32, 21.7626, 21.759) * CHOOSE( CONTROL!$C$15, $D$11, 100%, $F$11)</f>
        <v>21.762599999999999</v>
      </c>
      <c r="F697" s="4">
        <f>CHOOSE( CONTROL!$C$32, 22.4398, 22.4362) * CHOOSE(CONTROL!$C$15, $D$11, 100%, $F$11)</f>
        <v>22.439800000000002</v>
      </c>
      <c r="G697" s="8">
        <f>CHOOSE( CONTROL!$C$32, 21.3596, 21.3561) * CHOOSE( CONTROL!$C$15, $D$11, 100%, $F$11)</f>
        <v>21.3596</v>
      </c>
      <c r="H697" s="4">
        <f>CHOOSE( CONTROL!$C$32, 22.2964, 22.2929) * CHOOSE(CONTROL!$C$15, $D$11, 100%, $F$11)</f>
        <v>22.296399999999998</v>
      </c>
      <c r="I697" s="8">
        <f>CHOOSE( CONTROL!$C$32, 21.0997, 21.0963) * CHOOSE(CONTROL!$C$15, $D$11, 100%, $F$11)</f>
        <v>21.099699999999999</v>
      </c>
      <c r="J697" s="4">
        <f>CHOOSE( CONTROL!$C$32, 20.9959, 20.9925) * CHOOSE(CONTROL!$C$15, $D$11, 100%, $F$11)</f>
        <v>20.995899999999999</v>
      </c>
      <c r="K697" s="4"/>
      <c r="L697" s="9">
        <v>29.7257</v>
      </c>
      <c r="M697" s="9">
        <v>11.6745</v>
      </c>
      <c r="N697" s="9">
        <v>4.7850000000000001</v>
      </c>
      <c r="O697" s="9">
        <v>0.36199999999999999</v>
      </c>
      <c r="P697" s="9">
        <v>1.1791</v>
      </c>
      <c r="Q697" s="9">
        <v>19.053000000000001</v>
      </c>
      <c r="R697" s="9"/>
      <c r="S697" s="11"/>
    </row>
    <row r="698" spans="1:19" ht="15.75">
      <c r="A698" s="13">
        <v>62762</v>
      </c>
      <c r="B698" s="8">
        <f>22.7109 * CHOOSE(CONTROL!$C$15, $D$11, 100%, $F$11)</f>
        <v>22.710899999999999</v>
      </c>
      <c r="C698" s="8">
        <f>22.7163 * CHOOSE(CONTROL!$C$15, $D$11, 100%, $F$11)</f>
        <v>22.7163</v>
      </c>
      <c r="D698" s="8">
        <f>22.7278 * CHOOSE( CONTROL!$C$15, $D$11, 100%, $F$11)</f>
        <v>22.727799999999998</v>
      </c>
      <c r="E698" s="12">
        <f>22.7234 * CHOOSE( CONTROL!$C$15, $D$11, 100%, $F$11)</f>
        <v>22.723400000000002</v>
      </c>
      <c r="F698" s="4">
        <f>23.4009 * CHOOSE(CONTROL!$C$15, $D$11, 100%, $F$11)</f>
        <v>23.4009</v>
      </c>
      <c r="G698" s="8">
        <f>22.3043 * CHOOSE( CONTROL!$C$15, $D$11, 100%, $F$11)</f>
        <v>22.304300000000001</v>
      </c>
      <c r="H698" s="4">
        <f>23.2416 * CHOOSE(CONTROL!$C$15, $D$11, 100%, $F$11)</f>
        <v>23.241599999999998</v>
      </c>
      <c r="I698" s="8">
        <f>22.03 * CHOOSE(CONTROL!$C$15, $D$11, 100%, $F$11)</f>
        <v>22.03</v>
      </c>
      <c r="J698" s="4">
        <f>21.925 * CHOOSE(CONTROL!$C$15, $D$11, 100%, $F$11)</f>
        <v>21.925000000000001</v>
      </c>
      <c r="K698" s="4"/>
      <c r="L698" s="9">
        <v>31.095300000000002</v>
      </c>
      <c r="M698" s="9">
        <v>12.063700000000001</v>
      </c>
      <c r="N698" s="9">
        <v>4.9444999999999997</v>
      </c>
      <c r="O698" s="9">
        <v>0.37409999999999999</v>
      </c>
      <c r="P698" s="9">
        <v>1.2183999999999999</v>
      </c>
      <c r="Q698" s="9">
        <v>19.688099999999999</v>
      </c>
      <c r="R698" s="9"/>
      <c r="S698" s="11"/>
    </row>
    <row r="699" spans="1:19" ht="15.75">
      <c r="A699" s="13">
        <v>62792</v>
      </c>
      <c r="B699" s="8">
        <f>24.4911 * CHOOSE(CONTROL!$C$15, $D$11, 100%, $F$11)</f>
        <v>24.491099999999999</v>
      </c>
      <c r="C699" s="8">
        <f>24.4962 * CHOOSE(CONTROL!$C$15, $D$11, 100%, $F$11)</f>
        <v>24.496200000000002</v>
      </c>
      <c r="D699" s="8">
        <f>24.4732 * CHOOSE( CONTROL!$C$15, $D$11, 100%, $F$11)</f>
        <v>24.473199999999999</v>
      </c>
      <c r="E699" s="12">
        <f>24.4811 * CHOOSE( CONTROL!$C$15, $D$11, 100%, $F$11)</f>
        <v>24.481100000000001</v>
      </c>
      <c r="F699" s="4">
        <f>25.136 * CHOOSE(CONTROL!$C$15, $D$11, 100%, $F$11)</f>
        <v>25.135999999999999</v>
      </c>
      <c r="G699" s="8">
        <f>24.0661 * CHOOSE( CONTROL!$C$15, $D$11, 100%, $F$11)</f>
        <v>24.066099999999999</v>
      </c>
      <c r="H699" s="4">
        <f>24.9479 * CHOOSE(CONTROL!$C$15, $D$11, 100%, $F$11)</f>
        <v>24.947900000000001</v>
      </c>
      <c r="I699" s="8">
        <f>23.7769 * CHOOSE(CONTROL!$C$15, $D$11, 100%, $F$11)</f>
        <v>23.776900000000001</v>
      </c>
      <c r="J699" s="4">
        <f>23.6464 * CHOOSE(CONTROL!$C$15, $D$11, 100%, $F$11)</f>
        <v>23.6464</v>
      </c>
      <c r="K699" s="4"/>
      <c r="L699" s="9">
        <v>28.360600000000002</v>
      </c>
      <c r="M699" s="9">
        <v>11.6745</v>
      </c>
      <c r="N699" s="9">
        <v>4.7850000000000001</v>
      </c>
      <c r="O699" s="9">
        <v>0.36199999999999999</v>
      </c>
      <c r="P699" s="9">
        <v>1.2509999999999999</v>
      </c>
      <c r="Q699" s="9">
        <v>19.053000000000001</v>
      </c>
      <c r="R699" s="9"/>
      <c r="S699" s="11"/>
    </row>
    <row r="700" spans="1:19" ht="15.75">
      <c r="A700" s="13">
        <v>62823</v>
      </c>
      <c r="B700" s="8">
        <f>24.4466 * CHOOSE(CONTROL!$C$15, $D$11, 100%, $F$11)</f>
        <v>24.4466</v>
      </c>
      <c r="C700" s="8">
        <f>24.4517 * CHOOSE(CONTROL!$C$15, $D$11, 100%, $F$11)</f>
        <v>24.451699999999999</v>
      </c>
      <c r="D700" s="8">
        <f>24.43 * CHOOSE( CONTROL!$C$15, $D$11, 100%, $F$11)</f>
        <v>24.43</v>
      </c>
      <c r="E700" s="12">
        <f>24.4374 * CHOOSE( CONTROL!$C$15, $D$11, 100%, $F$11)</f>
        <v>24.4374</v>
      </c>
      <c r="F700" s="4">
        <f>25.0915 * CHOOSE(CONTROL!$C$15, $D$11, 100%, $F$11)</f>
        <v>25.0915</v>
      </c>
      <c r="G700" s="8">
        <f>24.0234 * CHOOSE( CONTROL!$C$15, $D$11, 100%, $F$11)</f>
        <v>24.023399999999999</v>
      </c>
      <c r="H700" s="4">
        <f>24.9042 * CHOOSE(CONTROL!$C$15, $D$11, 100%, $F$11)</f>
        <v>24.904199999999999</v>
      </c>
      <c r="I700" s="8">
        <f>23.7382 * CHOOSE(CONTROL!$C$15, $D$11, 100%, $F$11)</f>
        <v>23.738199999999999</v>
      </c>
      <c r="J700" s="4">
        <f>23.6034 * CHOOSE(CONTROL!$C$15, $D$11, 100%, $F$11)</f>
        <v>23.603400000000001</v>
      </c>
      <c r="K700" s="4"/>
      <c r="L700" s="9">
        <v>29.306000000000001</v>
      </c>
      <c r="M700" s="9">
        <v>12.063700000000001</v>
      </c>
      <c r="N700" s="9">
        <v>4.9444999999999997</v>
      </c>
      <c r="O700" s="9">
        <v>0.37409999999999999</v>
      </c>
      <c r="P700" s="9">
        <v>1.2927</v>
      </c>
      <c r="Q700" s="9">
        <v>19.688099999999999</v>
      </c>
      <c r="R700" s="9"/>
      <c r="S700" s="11"/>
    </row>
    <row r="701" spans="1:19" ht="15.75">
      <c r="A701" s="13">
        <v>62854</v>
      </c>
      <c r="B701" s="8">
        <f>25.3798 * CHOOSE(CONTROL!$C$15, $D$11, 100%, $F$11)</f>
        <v>25.379799999999999</v>
      </c>
      <c r="C701" s="8">
        <f>25.3849 * CHOOSE(CONTROL!$C$15, $D$11, 100%, $F$11)</f>
        <v>25.384899999999998</v>
      </c>
      <c r="D701" s="8">
        <f>25.3591 * CHOOSE( CONTROL!$C$15, $D$11, 100%, $F$11)</f>
        <v>25.359100000000002</v>
      </c>
      <c r="E701" s="12">
        <f>25.368 * CHOOSE( CONTROL!$C$15, $D$11, 100%, $F$11)</f>
        <v>25.367999999999999</v>
      </c>
      <c r="F701" s="4">
        <f>26.0238 * CHOOSE(CONTROL!$C$15, $D$11, 100%, $F$11)</f>
        <v>26.023800000000001</v>
      </c>
      <c r="G701" s="8">
        <f>24.9348 * CHOOSE( CONTROL!$C$15, $D$11, 100%, $F$11)</f>
        <v>24.934799999999999</v>
      </c>
      <c r="H701" s="4">
        <f>25.8211 * CHOOSE(CONTROL!$C$15, $D$11, 100%, $F$11)</f>
        <v>25.821100000000001</v>
      </c>
      <c r="I701" s="8">
        <f>24.6113 * CHOOSE(CONTROL!$C$15, $D$11, 100%, $F$11)</f>
        <v>24.6113</v>
      </c>
      <c r="J701" s="4">
        <f>24.5055 * CHOOSE(CONTROL!$C$15, $D$11, 100%, $F$11)</f>
        <v>24.505500000000001</v>
      </c>
      <c r="K701" s="4"/>
      <c r="L701" s="9">
        <v>29.306000000000001</v>
      </c>
      <c r="M701" s="9">
        <v>12.063700000000001</v>
      </c>
      <c r="N701" s="9">
        <v>4.9444999999999997</v>
      </c>
      <c r="O701" s="9">
        <v>0.37409999999999999</v>
      </c>
      <c r="P701" s="9">
        <v>1.2927</v>
      </c>
      <c r="Q701" s="9">
        <v>19.688099999999999</v>
      </c>
      <c r="R701" s="9"/>
      <c r="S701" s="11"/>
    </row>
    <row r="702" spans="1:19" ht="15.75">
      <c r="A702" s="13">
        <v>62883</v>
      </c>
      <c r="B702" s="8">
        <f>23.741 * CHOOSE(CONTROL!$C$15, $D$11, 100%, $F$11)</f>
        <v>23.741</v>
      </c>
      <c r="C702" s="8">
        <f>23.7461 * CHOOSE(CONTROL!$C$15, $D$11, 100%, $F$11)</f>
        <v>23.746099999999998</v>
      </c>
      <c r="D702" s="8">
        <f>23.7205 * CHOOSE( CONTROL!$C$15, $D$11, 100%, $F$11)</f>
        <v>23.720500000000001</v>
      </c>
      <c r="E702" s="12">
        <f>23.7293 * CHOOSE( CONTROL!$C$15, $D$11, 100%, $F$11)</f>
        <v>23.729299999999999</v>
      </c>
      <c r="F702" s="4">
        <f>24.385 * CHOOSE(CONTROL!$C$15, $D$11, 100%, $F$11)</f>
        <v>24.385000000000002</v>
      </c>
      <c r="G702" s="8">
        <f>23.3234 * CHOOSE( CONTROL!$C$15, $D$11, 100%, $F$11)</f>
        <v>23.323399999999999</v>
      </c>
      <c r="H702" s="4">
        <f>24.2094 * CHOOSE(CONTROL!$C$15, $D$11, 100%, $F$11)</f>
        <v>24.209399999999999</v>
      </c>
      <c r="I702" s="8">
        <f>23.0271 * CHOOSE(CONTROL!$C$15, $D$11, 100%, $F$11)</f>
        <v>23.027100000000001</v>
      </c>
      <c r="J702" s="4">
        <f>22.9212 * CHOOSE(CONTROL!$C$15, $D$11, 100%, $F$11)</f>
        <v>22.921199999999999</v>
      </c>
      <c r="K702" s="4"/>
      <c r="L702" s="9">
        <v>27.415299999999998</v>
      </c>
      <c r="M702" s="9">
        <v>11.285299999999999</v>
      </c>
      <c r="N702" s="9">
        <v>4.6254999999999997</v>
      </c>
      <c r="O702" s="9">
        <v>0.34989999999999999</v>
      </c>
      <c r="P702" s="9">
        <v>1.2093</v>
      </c>
      <c r="Q702" s="9">
        <v>18.417899999999999</v>
      </c>
      <c r="R702" s="9"/>
      <c r="S702" s="11"/>
    </row>
    <row r="703" spans="1:19" ht="15.75">
      <c r="A703" s="13">
        <v>62914</v>
      </c>
      <c r="B703" s="8">
        <f>23.2362 * CHOOSE(CONTROL!$C$15, $D$11, 100%, $F$11)</f>
        <v>23.2362</v>
      </c>
      <c r="C703" s="8">
        <f>23.2413 * CHOOSE(CONTROL!$C$15, $D$11, 100%, $F$11)</f>
        <v>23.241299999999999</v>
      </c>
      <c r="D703" s="8">
        <f>23.2157 * CHOOSE( CONTROL!$C$15, $D$11, 100%, $F$11)</f>
        <v>23.215699999999998</v>
      </c>
      <c r="E703" s="12">
        <f>23.2245 * CHOOSE( CONTROL!$C$15, $D$11, 100%, $F$11)</f>
        <v>23.224499999999999</v>
      </c>
      <c r="F703" s="4">
        <f>23.8803 * CHOOSE(CONTROL!$C$15, $D$11, 100%, $F$11)</f>
        <v>23.880299999999998</v>
      </c>
      <c r="G703" s="8">
        <f>22.8269 * CHOOSE( CONTROL!$C$15, $D$11, 100%, $F$11)</f>
        <v>22.826899999999998</v>
      </c>
      <c r="H703" s="4">
        <f>23.713 * CHOOSE(CONTROL!$C$15, $D$11, 100%, $F$11)</f>
        <v>23.713000000000001</v>
      </c>
      <c r="I703" s="8">
        <f>22.5387 * CHOOSE(CONTROL!$C$15, $D$11, 100%, $F$11)</f>
        <v>22.538699999999999</v>
      </c>
      <c r="J703" s="4">
        <f>22.4333 * CHOOSE(CONTROL!$C$15, $D$11, 100%, $F$11)</f>
        <v>22.433299999999999</v>
      </c>
      <c r="K703" s="4"/>
      <c r="L703" s="9">
        <v>29.306000000000001</v>
      </c>
      <c r="M703" s="9">
        <v>12.063700000000001</v>
      </c>
      <c r="N703" s="9">
        <v>4.9444999999999997</v>
      </c>
      <c r="O703" s="9">
        <v>0.37409999999999999</v>
      </c>
      <c r="P703" s="9">
        <v>1.2927</v>
      </c>
      <c r="Q703" s="9">
        <v>19.688099999999999</v>
      </c>
      <c r="R703" s="9"/>
      <c r="S703" s="11"/>
    </row>
    <row r="704" spans="1:19" ht="15.75">
      <c r="A704" s="13">
        <v>62944</v>
      </c>
      <c r="B704" s="8">
        <f>23.5897 * CHOOSE(CONTROL!$C$15, $D$11, 100%, $F$11)</f>
        <v>23.589700000000001</v>
      </c>
      <c r="C704" s="8">
        <f>23.5942 * CHOOSE(CONTROL!$C$15, $D$11, 100%, $F$11)</f>
        <v>23.594200000000001</v>
      </c>
      <c r="D704" s="8">
        <f>23.6053 * CHOOSE( CONTROL!$C$15, $D$11, 100%, $F$11)</f>
        <v>23.6053</v>
      </c>
      <c r="E704" s="12">
        <f>23.6011 * CHOOSE( CONTROL!$C$15, $D$11, 100%, $F$11)</f>
        <v>23.601099999999999</v>
      </c>
      <c r="F704" s="4">
        <f>24.2793 * CHOOSE(CONTROL!$C$15, $D$11, 100%, $F$11)</f>
        <v>24.279299999999999</v>
      </c>
      <c r="G704" s="8">
        <f>23.1666 * CHOOSE( CONTROL!$C$15, $D$11, 100%, $F$11)</f>
        <v>23.166599999999999</v>
      </c>
      <c r="H704" s="4">
        <f>24.1055 * CHOOSE(CONTROL!$C$15, $D$11, 100%, $F$11)</f>
        <v>24.105499999999999</v>
      </c>
      <c r="I704" s="8">
        <f>22.8748 * CHOOSE(CONTROL!$C$15, $D$11, 100%, $F$11)</f>
        <v>22.8748</v>
      </c>
      <c r="J704" s="4">
        <f>22.7743 * CHOOSE(CONTROL!$C$15, $D$11, 100%, $F$11)</f>
        <v>22.7743</v>
      </c>
      <c r="K704" s="4"/>
      <c r="L704" s="9">
        <v>30.092199999999998</v>
      </c>
      <c r="M704" s="9">
        <v>11.6745</v>
      </c>
      <c r="N704" s="9">
        <v>4.7850000000000001</v>
      </c>
      <c r="O704" s="9">
        <v>0.36199999999999999</v>
      </c>
      <c r="P704" s="9">
        <v>1.1791</v>
      </c>
      <c r="Q704" s="9">
        <v>19.053000000000001</v>
      </c>
      <c r="R704" s="9"/>
      <c r="S704" s="11"/>
    </row>
    <row r="705" spans="1:19" ht="15.75">
      <c r="A705" s="13">
        <v>62975</v>
      </c>
      <c r="B705" s="8">
        <f>CHOOSE( CONTROL!$C$32, 24.2224, 24.2188) * CHOOSE(CONTROL!$C$15, $D$11, 100%, $F$11)</f>
        <v>24.2224</v>
      </c>
      <c r="C705" s="8">
        <f>CHOOSE( CONTROL!$C$32, 24.2304, 24.2268) * CHOOSE(CONTROL!$C$15, $D$11, 100%, $F$11)</f>
        <v>24.230399999999999</v>
      </c>
      <c r="D705" s="8">
        <f>CHOOSE( CONTROL!$C$32, 24.2364, 24.2328) * CHOOSE( CONTROL!$C$15, $D$11, 100%, $F$11)</f>
        <v>24.2364</v>
      </c>
      <c r="E705" s="12">
        <f>CHOOSE( CONTROL!$C$32, 24.233, 24.2294) * CHOOSE( CONTROL!$C$15, $D$11, 100%, $F$11)</f>
        <v>24.233000000000001</v>
      </c>
      <c r="F705" s="4">
        <f>CHOOSE( CONTROL!$C$32, 24.9106, 24.9071) * CHOOSE(CONTROL!$C$15, $D$11, 100%, $F$11)</f>
        <v>24.910599999999999</v>
      </c>
      <c r="G705" s="8">
        <f>CHOOSE( CONTROL!$C$32, 23.7885, 23.785) * CHOOSE( CONTROL!$C$15, $D$11, 100%, $F$11)</f>
        <v>23.788499999999999</v>
      </c>
      <c r="H705" s="4">
        <f>CHOOSE( CONTROL!$C$32, 24.7263, 24.7228) * CHOOSE(CONTROL!$C$15, $D$11, 100%, $F$11)</f>
        <v>24.726299999999998</v>
      </c>
      <c r="I705" s="8">
        <f>CHOOSE( CONTROL!$C$32, 23.4863, 23.4828) * CHOOSE(CONTROL!$C$15, $D$11, 100%, $F$11)</f>
        <v>23.4863</v>
      </c>
      <c r="J705" s="4">
        <f>CHOOSE( CONTROL!$C$32, 23.3845, 23.3811) * CHOOSE(CONTROL!$C$15, $D$11, 100%, $F$11)</f>
        <v>23.384499999999999</v>
      </c>
      <c r="K705" s="4"/>
      <c r="L705" s="9">
        <v>30.7165</v>
      </c>
      <c r="M705" s="9">
        <v>12.063700000000001</v>
      </c>
      <c r="N705" s="9">
        <v>4.9444999999999997</v>
      </c>
      <c r="O705" s="9">
        <v>0.37409999999999999</v>
      </c>
      <c r="P705" s="9">
        <v>1.2183999999999999</v>
      </c>
      <c r="Q705" s="9">
        <v>19.688099999999999</v>
      </c>
      <c r="R705" s="9"/>
      <c r="S705" s="11"/>
    </row>
    <row r="706" spans="1:19" ht="15.75">
      <c r="A706" s="13">
        <v>63005</v>
      </c>
      <c r="B706" s="8">
        <f>CHOOSE( CONTROL!$C$32, 23.8335, 23.8299) * CHOOSE(CONTROL!$C$15, $D$11, 100%, $F$11)</f>
        <v>23.833500000000001</v>
      </c>
      <c r="C706" s="8">
        <f>CHOOSE( CONTROL!$C$32, 23.8415, 23.838) * CHOOSE(CONTROL!$C$15, $D$11, 100%, $F$11)</f>
        <v>23.8415</v>
      </c>
      <c r="D706" s="8">
        <f>CHOOSE( CONTROL!$C$32, 23.8478, 23.8442) * CHOOSE( CONTROL!$C$15, $D$11, 100%, $F$11)</f>
        <v>23.847799999999999</v>
      </c>
      <c r="E706" s="12">
        <f>CHOOSE( CONTROL!$C$32, 23.8443, 23.8407) * CHOOSE( CONTROL!$C$15, $D$11, 100%, $F$11)</f>
        <v>23.8443</v>
      </c>
      <c r="F706" s="4">
        <f>CHOOSE( CONTROL!$C$32, 24.5218, 24.5182) * CHOOSE(CONTROL!$C$15, $D$11, 100%, $F$11)</f>
        <v>24.521799999999999</v>
      </c>
      <c r="G706" s="8">
        <f>CHOOSE( CONTROL!$C$32, 23.4065, 23.403) * CHOOSE( CONTROL!$C$15, $D$11, 100%, $F$11)</f>
        <v>23.406500000000001</v>
      </c>
      <c r="H706" s="4">
        <f>CHOOSE( CONTROL!$C$32, 24.3439, 24.3404) * CHOOSE(CONTROL!$C$15, $D$11, 100%, $F$11)</f>
        <v>24.343900000000001</v>
      </c>
      <c r="I706" s="8">
        <f>CHOOSE( CONTROL!$C$32, 23.1115, 23.1081) * CHOOSE(CONTROL!$C$15, $D$11, 100%, $F$11)</f>
        <v>23.111499999999999</v>
      </c>
      <c r="J706" s="4">
        <f>CHOOSE( CONTROL!$C$32, 23.0086, 23.0052) * CHOOSE(CONTROL!$C$15, $D$11, 100%, $F$11)</f>
        <v>23.008600000000001</v>
      </c>
      <c r="K706" s="4"/>
      <c r="L706" s="9">
        <v>29.7257</v>
      </c>
      <c r="M706" s="9">
        <v>11.6745</v>
      </c>
      <c r="N706" s="9">
        <v>4.7850000000000001</v>
      </c>
      <c r="O706" s="9">
        <v>0.36199999999999999</v>
      </c>
      <c r="P706" s="9">
        <v>1.1791</v>
      </c>
      <c r="Q706" s="9">
        <v>19.053000000000001</v>
      </c>
      <c r="R706" s="9"/>
      <c r="S706" s="11"/>
    </row>
    <row r="707" spans="1:19" ht="15.75">
      <c r="A707" s="13">
        <v>63036</v>
      </c>
      <c r="B707" s="8">
        <f>CHOOSE( CONTROL!$C$32, 24.8575, 24.854) * CHOOSE(CONTROL!$C$15, $D$11, 100%, $F$11)</f>
        <v>24.857500000000002</v>
      </c>
      <c r="C707" s="8">
        <f>CHOOSE( CONTROL!$C$32, 24.8655, 24.862) * CHOOSE(CONTROL!$C$15, $D$11, 100%, $F$11)</f>
        <v>24.865500000000001</v>
      </c>
      <c r="D707" s="8">
        <f>CHOOSE( CONTROL!$C$32, 24.8721, 24.8686) * CHOOSE( CONTROL!$C$15, $D$11, 100%, $F$11)</f>
        <v>24.8721</v>
      </c>
      <c r="E707" s="12">
        <f>CHOOSE( CONTROL!$C$32, 24.8685, 24.865) * CHOOSE( CONTROL!$C$15, $D$11, 100%, $F$11)</f>
        <v>24.868500000000001</v>
      </c>
      <c r="F707" s="4">
        <f>CHOOSE( CONTROL!$C$32, 25.5458, 25.5422) * CHOOSE(CONTROL!$C$15, $D$11, 100%, $F$11)</f>
        <v>25.5458</v>
      </c>
      <c r="G707" s="8">
        <f>CHOOSE( CONTROL!$C$32, 24.414, 24.4105) * CHOOSE( CONTROL!$C$15, $D$11, 100%, $F$11)</f>
        <v>24.414000000000001</v>
      </c>
      <c r="H707" s="4">
        <f>CHOOSE( CONTROL!$C$32, 25.351, 25.3475) * CHOOSE(CONTROL!$C$15, $D$11, 100%, $F$11)</f>
        <v>25.350999999999999</v>
      </c>
      <c r="I707" s="8">
        <f>CHOOSE( CONTROL!$C$32, 24.1034, 24.0999) * CHOOSE(CONTROL!$C$15, $D$11, 100%, $F$11)</f>
        <v>24.103400000000001</v>
      </c>
      <c r="J707" s="4">
        <f>CHOOSE( CONTROL!$C$32, 23.9985, 23.9951) * CHOOSE(CONTROL!$C$15, $D$11, 100%, $F$11)</f>
        <v>23.9985</v>
      </c>
      <c r="K707" s="4"/>
      <c r="L707" s="9">
        <v>30.7165</v>
      </c>
      <c r="M707" s="9">
        <v>12.063700000000001</v>
      </c>
      <c r="N707" s="9">
        <v>4.9444999999999997</v>
      </c>
      <c r="O707" s="9">
        <v>0.37409999999999999</v>
      </c>
      <c r="P707" s="9">
        <v>1.2183999999999999</v>
      </c>
      <c r="Q707" s="9">
        <v>19.688099999999999</v>
      </c>
      <c r="R707" s="9"/>
      <c r="S707" s="11"/>
    </row>
    <row r="708" spans="1:19" ht="15.75">
      <c r="A708" s="13">
        <v>63067</v>
      </c>
      <c r="B708" s="8">
        <f>CHOOSE( CONTROL!$C$32, 22.9415, 22.9379) * CHOOSE(CONTROL!$C$15, $D$11, 100%, $F$11)</f>
        <v>22.941500000000001</v>
      </c>
      <c r="C708" s="8">
        <f>CHOOSE( CONTROL!$C$32, 22.9495, 22.9459) * CHOOSE(CONTROL!$C$15, $D$11, 100%, $F$11)</f>
        <v>22.9495</v>
      </c>
      <c r="D708" s="8">
        <f>CHOOSE( CONTROL!$C$32, 22.9562, 22.9526) * CHOOSE( CONTROL!$C$15, $D$11, 100%, $F$11)</f>
        <v>22.956199999999999</v>
      </c>
      <c r="E708" s="12">
        <f>CHOOSE( CONTROL!$C$32, 22.9526, 22.949) * CHOOSE( CONTROL!$C$15, $D$11, 100%, $F$11)</f>
        <v>22.9526</v>
      </c>
      <c r="F708" s="4">
        <f>CHOOSE( CONTROL!$C$32, 23.6297, 23.6262) * CHOOSE(CONTROL!$C$15, $D$11, 100%, $F$11)</f>
        <v>23.6297</v>
      </c>
      <c r="G708" s="8">
        <f>CHOOSE( CONTROL!$C$32, 22.5298, 22.5263) * CHOOSE( CONTROL!$C$15, $D$11, 100%, $F$11)</f>
        <v>22.529800000000002</v>
      </c>
      <c r="H708" s="4">
        <f>CHOOSE( CONTROL!$C$32, 23.4667, 23.4632) * CHOOSE(CONTROL!$C$15, $D$11, 100%, $F$11)</f>
        <v>23.466699999999999</v>
      </c>
      <c r="I708" s="8">
        <f>CHOOSE( CONTROL!$C$32, 22.2507, 22.2472) * CHOOSE(CONTROL!$C$15, $D$11, 100%, $F$11)</f>
        <v>22.250699999999998</v>
      </c>
      <c r="J708" s="4">
        <f>CHOOSE( CONTROL!$C$32, 22.1463, 22.1428) * CHOOSE(CONTROL!$C$15, $D$11, 100%, $F$11)</f>
        <v>22.1463</v>
      </c>
      <c r="K708" s="4"/>
      <c r="L708" s="9">
        <v>30.7165</v>
      </c>
      <c r="M708" s="9">
        <v>12.063700000000001</v>
      </c>
      <c r="N708" s="9">
        <v>4.9444999999999997</v>
      </c>
      <c r="O708" s="9">
        <v>0.37409999999999999</v>
      </c>
      <c r="P708" s="9">
        <v>1.2183999999999999</v>
      </c>
      <c r="Q708" s="9">
        <v>19.688099999999999</v>
      </c>
      <c r="R708" s="9"/>
      <c r="S708" s="11"/>
    </row>
    <row r="709" spans="1:19" ht="15.75">
      <c r="A709" s="13">
        <v>63097</v>
      </c>
      <c r="B709" s="8">
        <f>CHOOSE( CONTROL!$C$32, 22.4617, 22.4581) * CHOOSE(CONTROL!$C$15, $D$11, 100%, $F$11)</f>
        <v>22.4617</v>
      </c>
      <c r="C709" s="8">
        <f>CHOOSE( CONTROL!$C$32, 22.4697, 22.4661) * CHOOSE(CONTROL!$C$15, $D$11, 100%, $F$11)</f>
        <v>22.4697</v>
      </c>
      <c r="D709" s="8">
        <f>CHOOSE( CONTROL!$C$32, 22.4764, 22.4728) * CHOOSE( CONTROL!$C$15, $D$11, 100%, $F$11)</f>
        <v>22.476400000000002</v>
      </c>
      <c r="E709" s="12">
        <f>CHOOSE( CONTROL!$C$32, 22.4728, 22.4692) * CHOOSE( CONTROL!$C$15, $D$11, 100%, $F$11)</f>
        <v>22.472799999999999</v>
      </c>
      <c r="F709" s="4">
        <f>CHOOSE( CONTROL!$C$32, 23.1499, 23.1464) * CHOOSE(CONTROL!$C$15, $D$11, 100%, $F$11)</f>
        <v>23.149899999999999</v>
      </c>
      <c r="G709" s="8">
        <f>CHOOSE( CONTROL!$C$32, 22.058, 22.0545) * CHOOSE( CONTROL!$C$15, $D$11, 100%, $F$11)</f>
        <v>22.058</v>
      </c>
      <c r="H709" s="4">
        <f>CHOOSE( CONTROL!$C$32, 22.9948, 22.9913) * CHOOSE(CONTROL!$C$15, $D$11, 100%, $F$11)</f>
        <v>22.994800000000001</v>
      </c>
      <c r="I709" s="8">
        <f>CHOOSE( CONTROL!$C$32, 21.7866, 21.7832) * CHOOSE(CONTROL!$C$15, $D$11, 100%, $F$11)</f>
        <v>21.7866</v>
      </c>
      <c r="J709" s="4">
        <f>CHOOSE( CONTROL!$C$32, 21.6825, 21.679) * CHOOSE(CONTROL!$C$15, $D$11, 100%, $F$11)</f>
        <v>21.682500000000001</v>
      </c>
      <c r="K709" s="4"/>
      <c r="L709" s="9">
        <v>29.7257</v>
      </c>
      <c r="M709" s="9">
        <v>11.6745</v>
      </c>
      <c r="N709" s="9">
        <v>4.7850000000000001</v>
      </c>
      <c r="O709" s="9">
        <v>0.36199999999999999</v>
      </c>
      <c r="P709" s="9">
        <v>1.1791</v>
      </c>
      <c r="Q709" s="9">
        <v>19.053000000000001</v>
      </c>
      <c r="R709" s="9"/>
      <c r="S709" s="11"/>
    </row>
    <row r="710" spans="1:19" ht="15.75">
      <c r="A710" s="13">
        <v>63128</v>
      </c>
      <c r="B710" s="8">
        <f>23.4526 * CHOOSE(CONTROL!$C$15, $D$11, 100%, $F$11)</f>
        <v>23.4526</v>
      </c>
      <c r="C710" s="8">
        <f>23.458 * CHOOSE(CONTROL!$C$15, $D$11, 100%, $F$11)</f>
        <v>23.457999999999998</v>
      </c>
      <c r="D710" s="8">
        <f>23.4695 * CHOOSE( CONTROL!$C$15, $D$11, 100%, $F$11)</f>
        <v>23.4695</v>
      </c>
      <c r="E710" s="12">
        <f>23.4651 * CHOOSE( CONTROL!$C$15, $D$11, 100%, $F$11)</f>
        <v>23.4651</v>
      </c>
      <c r="F710" s="4">
        <f>24.1426 * CHOOSE(CONTROL!$C$15, $D$11, 100%, $F$11)</f>
        <v>24.142600000000002</v>
      </c>
      <c r="G710" s="8">
        <f>23.0337 * CHOOSE( CONTROL!$C$15, $D$11, 100%, $F$11)</f>
        <v>23.0337</v>
      </c>
      <c r="H710" s="4">
        <f>23.971 * CHOOSE(CONTROL!$C$15, $D$11, 100%, $F$11)</f>
        <v>23.971</v>
      </c>
      <c r="I710" s="8">
        <f>22.7474 * CHOOSE(CONTROL!$C$15, $D$11, 100%, $F$11)</f>
        <v>22.747399999999999</v>
      </c>
      <c r="J710" s="4">
        <f>22.6421 * CHOOSE(CONTROL!$C$15, $D$11, 100%, $F$11)</f>
        <v>22.642099999999999</v>
      </c>
      <c r="K710" s="4"/>
      <c r="L710" s="9">
        <v>31.095300000000002</v>
      </c>
      <c r="M710" s="9">
        <v>12.063700000000001</v>
      </c>
      <c r="N710" s="9">
        <v>4.9444999999999997</v>
      </c>
      <c r="O710" s="9">
        <v>0.37409999999999999</v>
      </c>
      <c r="P710" s="9">
        <v>1.2183999999999999</v>
      </c>
      <c r="Q710" s="9">
        <v>19.688099999999999</v>
      </c>
      <c r="R710" s="9"/>
      <c r="S710" s="11"/>
    </row>
    <row r="711" spans="1:19" ht="15.75">
      <c r="A711" s="13">
        <v>63158</v>
      </c>
      <c r="B711" s="8">
        <f>25.2911 * CHOOSE(CONTROL!$C$15, $D$11, 100%, $F$11)</f>
        <v>25.2911</v>
      </c>
      <c r="C711" s="8">
        <f>25.2962 * CHOOSE(CONTROL!$C$15, $D$11, 100%, $F$11)</f>
        <v>25.296199999999999</v>
      </c>
      <c r="D711" s="8">
        <f>25.2731 * CHOOSE( CONTROL!$C$15, $D$11, 100%, $F$11)</f>
        <v>25.273099999999999</v>
      </c>
      <c r="E711" s="12">
        <f>25.281 * CHOOSE( CONTROL!$C$15, $D$11, 100%, $F$11)</f>
        <v>25.280999999999999</v>
      </c>
      <c r="F711" s="4">
        <f>25.9359 * CHOOSE(CONTROL!$C$15, $D$11, 100%, $F$11)</f>
        <v>25.9359</v>
      </c>
      <c r="G711" s="8">
        <f>24.8528 * CHOOSE( CONTROL!$C$15, $D$11, 100%, $F$11)</f>
        <v>24.852799999999998</v>
      </c>
      <c r="H711" s="4">
        <f>25.7346 * CHOOSE(CONTROL!$C$15, $D$11, 100%, $F$11)</f>
        <v>25.7346</v>
      </c>
      <c r="I711" s="8">
        <f>24.5506 * CHOOSE(CONTROL!$C$15, $D$11, 100%, $F$11)</f>
        <v>24.550599999999999</v>
      </c>
      <c r="J711" s="4">
        <f>24.4197 * CHOOSE(CONTROL!$C$15, $D$11, 100%, $F$11)</f>
        <v>24.419699999999999</v>
      </c>
      <c r="K711" s="4"/>
      <c r="L711" s="9">
        <v>28.360600000000002</v>
      </c>
      <c r="M711" s="9">
        <v>11.6745</v>
      </c>
      <c r="N711" s="9">
        <v>4.7850000000000001</v>
      </c>
      <c r="O711" s="9">
        <v>0.36199999999999999</v>
      </c>
      <c r="P711" s="9">
        <v>1.2509999999999999</v>
      </c>
      <c r="Q711" s="9">
        <v>19.053000000000001</v>
      </c>
      <c r="R711" s="9"/>
      <c r="S711" s="11"/>
    </row>
    <row r="712" spans="1:19" ht="15.75">
      <c r="A712" s="13">
        <v>63189</v>
      </c>
      <c r="B712" s="8">
        <f>25.2451 * CHOOSE(CONTROL!$C$15, $D$11, 100%, $F$11)</f>
        <v>25.245100000000001</v>
      </c>
      <c r="C712" s="8">
        <f>25.2502 * CHOOSE(CONTROL!$C$15, $D$11, 100%, $F$11)</f>
        <v>25.2502</v>
      </c>
      <c r="D712" s="8">
        <f>25.2285 * CHOOSE( CONTROL!$C$15, $D$11, 100%, $F$11)</f>
        <v>25.2285</v>
      </c>
      <c r="E712" s="12">
        <f>25.2359 * CHOOSE( CONTROL!$C$15, $D$11, 100%, $F$11)</f>
        <v>25.235900000000001</v>
      </c>
      <c r="F712" s="4">
        <f>25.89 * CHOOSE(CONTROL!$C$15, $D$11, 100%, $F$11)</f>
        <v>25.89</v>
      </c>
      <c r="G712" s="8">
        <f>24.8087 * CHOOSE( CONTROL!$C$15, $D$11, 100%, $F$11)</f>
        <v>24.808700000000002</v>
      </c>
      <c r="H712" s="4">
        <f>25.6895 * CHOOSE(CONTROL!$C$15, $D$11, 100%, $F$11)</f>
        <v>25.689499999999999</v>
      </c>
      <c r="I712" s="8">
        <f>24.5105 * CHOOSE(CONTROL!$C$15, $D$11, 100%, $F$11)</f>
        <v>24.5105</v>
      </c>
      <c r="J712" s="4">
        <f>24.3753 * CHOOSE(CONTROL!$C$15, $D$11, 100%, $F$11)</f>
        <v>24.375299999999999</v>
      </c>
      <c r="K712" s="4"/>
      <c r="L712" s="9">
        <v>29.306000000000001</v>
      </c>
      <c r="M712" s="9">
        <v>12.063700000000001</v>
      </c>
      <c r="N712" s="9">
        <v>4.9444999999999997</v>
      </c>
      <c r="O712" s="9">
        <v>0.37409999999999999</v>
      </c>
      <c r="P712" s="9">
        <v>1.2927</v>
      </c>
      <c r="Q712" s="9">
        <v>19.688099999999999</v>
      </c>
      <c r="R712" s="9"/>
      <c r="S712" s="11"/>
    </row>
    <row r="713" spans="1:19" ht="15.75">
      <c r="A713" s="13">
        <v>63220</v>
      </c>
      <c r="B713" s="8">
        <f>26.2088 * CHOOSE(CONTROL!$C$15, $D$11, 100%, $F$11)</f>
        <v>26.2088</v>
      </c>
      <c r="C713" s="8">
        <f>26.2139 * CHOOSE(CONTROL!$C$15, $D$11, 100%, $F$11)</f>
        <v>26.213899999999999</v>
      </c>
      <c r="D713" s="8">
        <f>26.1881 * CHOOSE( CONTROL!$C$15, $D$11, 100%, $F$11)</f>
        <v>26.188099999999999</v>
      </c>
      <c r="E713" s="12">
        <f>26.197 * CHOOSE( CONTROL!$C$15, $D$11, 100%, $F$11)</f>
        <v>26.196999999999999</v>
      </c>
      <c r="F713" s="4">
        <f>26.8528 * CHOOSE(CONTROL!$C$15, $D$11, 100%, $F$11)</f>
        <v>26.852799999999998</v>
      </c>
      <c r="G713" s="8">
        <f>25.7501 * CHOOSE( CONTROL!$C$15, $D$11, 100%, $F$11)</f>
        <v>25.7501</v>
      </c>
      <c r="H713" s="4">
        <f>26.6363 * CHOOSE(CONTROL!$C$15, $D$11, 100%, $F$11)</f>
        <v>26.636299999999999</v>
      </c>
      <c r="I713" s="8">
        <f>25.4132 * CHOOSE(CONTROL!$C$15, $D$11, 100%, $F$11)</f>
        <v>25.4132</v>
      </c>
      <c r="J713" s="4">
        <f>25.3069 * CHOOSE(CONTROL!$C$15, $D$11, 100%, $F$11)</f>
        <v>25.306899999999999</v>
      </c>
      <c r="K713" s="4"/>
      <c r="L713" s="9">
        <v>29.306000000000001</v>
      </c>
      <c r="M713" s="9">
        <v>12.063700000000001</v>
      </c>
      <c r="N713" s="9">
        <v>4.9444999999999997</v>
      </c>
      <c r="O713" s="9">
        <v>0.37409999999999999</v>
      </c>
      <c r="P713" s="9">
        <v>1.2927</v>
      </c>
      <c r="Q713" s="9">
        <v>19.688099999999999</v>
      </c>
      <c r="R713" s="9"/>
      <c r="S713" s="11"/>
    </row>
    <row r="714" spans="1:19" ht="15.75">
      <c r="A714" s="13">
        <v>63248</v>
      </c>
      <c r="B714" s="8">
        <f>24.5164 * CHOOSE(CONTROL!$C$15, $D$11, 100%, $F$11)</f>
        <v>24.516400000000001</v>
      </c>
      <c r="C714" s="8">
        <f>24.5215 * CHOOSE(CONTROL!$C$15, $D$11, 100%, $F$11)</f>
        <v>24.5215</v>
      </c>
      <c r="D714" s="8">
        <f>24.4959 * CHOOSE( CONTROL!$C$15, $D$11, 100%, $F$11)</f>
        <v>24.495899999999999</v>
      </c>
      <c r="E714" s="12">
        <f>24.5047 * CHOOSE( CONTROL!$C$15, $D$11, 100%, $F$11)</f>
        <v>24.5047</v>
      </c>
      <c r="F714" s="4">
        <f>25.1604 * CHOOSE(CONTROL!$C$15, $D$11, 100%, $F$11)</f>
        <v>25.160399999999999</v>
      </c>
      <c r="G714" s="8">
        <f>24.0859 * CHOOSE( CONTROL!$C$15, $D$11, 100%, $F$11)</f>
        <v>24.085899999999999</v>
      </c>
      <c r="H714" s="4">
        <f>24.972 * CHOOSE(CONTROL!$C$15, $D$11, 100%, $F$11)</f>
        <v>24.972000000000001</v>
      </c>
      <c r="I714" s="8">
        <f>23.7771 * CHOOSE(CONTROL!$C$15, $D$11, 100%, $F$11)</f>
        <v>23.777100000000001</v>
      </c>
      <c r="J714" s="4">
        <f>23.6708 * CHOOSE(CONTROL!$C$15, $D$11, 100%, $F$11)</f>
        <v>23.6708</v>
      </c>
      <c r="K714" s="4"/>
      <c r="L714" s="9">
        <v>26.469899999999999</v>
      </c>
      <c r="M714" s="9">
        <v>10.8962</v>
      </c>
      <c r="N714" s="9">
        <v>4.4660000000000002</v>
      </c>
      <c r="O714" s="9">
        <v>0.33789999999999998</v>
      </c>
      <c r="P714" s="9">
        <v>1.1676</v>
      </c>
      <c r="Q714" s="9">
        <v>17.782800000000002</v>
      </c>
      <c r="R714" s="9"/>
      <c r="S714" s="11"/>
    </row>
    <row r="715" spans="1:19" ht="15.75">
      <c r="A715" s="13">
        <v>63279</v>
      </c>
      <c r="B715" s="8">
        <f>23.9952 * CHOOSE(CONTROL!$C$15, $D$11, 100%, $F$11)</f>
        <v>23.995200000000001</v>
      </c>
      <c r="C715" s="8">
        <f>24.0003 * CHOOSE(CONTROL!$C$15, $D$11, 100%, $F$11)</f>
        <v>24.000299999999999</v>
      </c>
      <c r="D715" s="8">
        <f>23.9746 * CHOOSE( CONTROL!$C$15, $D$11, 100%, $F$11)</f>
        <v>23.974599999999999</v>
      </c>
      <c r="E715" s="12">
        <f>23.9835 * CHOOSE( CONTROL!$C$15, $D$11, 100%, $F$11)</f>
        <v>23.983499999999999</v>
      </c>
      <c r="F715" s="4">
        <f>24.6392 * CHOOSE(CONTROL!$C$15, $D$11, 100%, $F$11)</f>
        <v>24.639199999999999</v>
      </c>
      <c r="G715" s="8">
        <f>23.5733 * CHOOSE( CONTROL!$C$15, $D$11, 100%, $F$11)</f>
        <v>23.5733</v>
      </c>
      <c r="H715" s="4">
        <f>24.4594 * CHOOSE(CONTROL!$C$15, $D$11, 100%, $F$11)</f>
        <v>24.459399999999999</v>
      </c>
      <c r="I715" s="8">
        <f>23.2727 * CHOOSE(CONTROL!$C$15, $D$11, 100%, $F$11)</f>
        <v>23.2727</v>
      </c>
      <c r="J715" s="4">
        <f>23.1669 * CHOOSE(CONTROL!$C$15, $D$11, 100%, $F$11)</f>
        <v>23.166899999999998</v>
      </c>
      <c r="K715" s="4"/>
      <c r="L715" s="9">
        <v>29.306000000000001</v>
      </c>
      <c r="M715" s="9">
        <v>12.063700000000001</v>
      </c>
      <c r="N715" s="9">
        <v>4.9444999999999997</v>
      </c>
      <c r="O715" s="9">
        <v>0.37409999999999999</v>
      </c>
      <c r="P715" s="9">
        <v>1.2927</v>
      </c>
      <c r="Q715" s="9">
        <v>19.688099999999999</v>
      </c>
      <c r="R715" s="9"/>
      <c r="S715" s="11"/>
    </row>
    <row r="716" spans="1:19" ht="15.75">
      <c r="A716" s="13">
        <v>63309</v>
      </c>
      <c r="B716" s="8">
        <f>24.3602 * CHOOSE(CONTROL!$C$15, $D$11, 100%, $F$11)</f>
        <v>24.360199999999999</v>
      </c>
      <c r="C716" s="8">
        <f>24.3647 * CHOOSE(CONTROL!$C$15, $D$11, 100%, $F$11)</f>
        <v>24.364699999999999</v>
      </c>
      <c r="D716" s="8">
        <f>24.3757 * CHOOSE( CONTROL!$C$15, $D$11, 100%, $F$11)</f>
        <v>24.375699999999998</v>
      </c>
      <c r="E716" s="12">
        <f>24.3716 * CHOOSE( CONTROL!$C$15, $D$11, 100%, $F$11)</f>
        <v>24.371600000000001</v>
      </c>
      <c r="F716" s="4">
        <f>25.0498 * CHOOSE(CONTROL!$C$15, $D$11, 100%, $F$11)</f>
        <v>25.049800000000001</v>
      </c>
      <c r="G716" s="8">
        <f>23.9243 * CHOOSE( CONTROL!$C$15, $D$11, 100%, $F$11)</f>
        <v>23.924299999999999</v>
      </c>
      <c r="H716" s="4">
        <f>24.8632 * CHOOSE(CONTROL!$C$15, $D$11, 100%, $F$11)</f>
        <v>24.863199999999999</v>
      </c>
      <c r="I716" s="8">
        <f>23.62 * CHOOSE(CONTROL!$C$15, $D$11, 100%, $F$11)</f>
        <v>23.62</v>
      </c>
      <c r="J716" s="4">
        <f>23.5191 * CHOOSE(CONTROL!$C$15, $D$11, 100%, $F$11)</f>
        <v>23.519100000000002</v>
      </c>
      <c r="K716" s="4"/>
      <c r="L716" s="9">
        <v>30.092199999999998</v>
      </c>
      <c r="M716" s="9">
        <v>11.6745</v>
      </c>
      <c r="N716" s="9">
        <v>4.7850000000000001</v>
      </c>
      <c r="O716" s="9">
        <v>0.36199999999999999</v>
      </c>
      <c r="P716" s="9">
        <v>1.1791</v>
      </c>
      <c r="Q716" s="9">
        <v>19.053000000000001</v>
      </c>
      <c r="R716" s="9"/>
      <c r="S716" s="11"/>
    </row>
    <row r="717" spans="1:19" ht="15.75">
      <c r="A717" s="13">
        <v>63340</v>
      </c>
      <c r="B717" s="8">
        <f>CHOOSE( CONTROL!$C$32, 25.0134, 25.0098) * CHOOSE(CONTROL!$C$15, $D$11, 100%, $F$11)</f>
        <v>25.013400000000001</v>
      </c>
      <c r="C717" s="8">
        <f>CHOOSE( CONTROL!$C$32, 25.0214, 25.0178) * CHOOSE(CONTROL!$C$15, $D$11, 100%, $F$11)</f>
        <v>25.0214</v>
      </c>
      <c r="D717" s="8">
        <f>CHOOSE( CONTROL!$C$32, 25.0274, 25.0238) * CHOOSE( CONTROL!$C$15, $D$11, 100%, $F$11)</f>
        <v>25.0274</v>
      </c>
      <c r="E717" s="12">
        <f>CHOOSE( CONTROL!$C$32, 25.024, 25.0204) * CHOOSE( CONTROL!$C$15, $D$11, 100%, $F$11)</f>
        <v>25.024000000000001</v>
      </c>
      <c r="F717" s="4">
        <f>CHOOSE( CONTROL!$C$32, 25.7016, 25.6981) * CHOOSE(CONTROL!$C$15, $D$11, 100%, $F$11)</f>
        <v>25.701599999999999</v>
      </c>
      <c r="G717" s="8">
        <f>CHOOSE( CONTROL!$C$32, 24.5664, 24.5628) * CHOOSE( CONTROL!$C$15, $D$11, 100%, $F$11)</f>
        <v>24.566400000000002</v>
      </c>
      <c r="H717" s="4">
        <f>CHOOSE( CONTROL!$C$32, 25.5042, 25.5007) * CHOOSE(CONTROL!$C$15, $D$11, 100%, $F$11)</f>
        <v>25.504200000000001</v>
      </c>
      <c r="I717" s="8">
        <f>CHOOSE( CONTROL!$C$32, 24.2513, 24.2479) * CHOOSE(CONTROL!$C$15, $D$11, 100%, $F$11)</f>
        <v>24.251300000000001</v>
      </c>
      <c r="J717" s="4">
        <f>CHOOSE( CONTROL!$C$32, 24.1492, 24.1457) * CHOOSE(CONTROL!$C$15, $D$11, 100%, $F$11)</f>
        <v>24.1492</v>
      </c>
      <c r="K717" s="4"/>
      <c r="L717" s="9">
        <v>30.7165</v>
      </c>
      <c r="M717" s="9">
        <v>12.063700000000001</v>
      </c>
      <c r="N717" s="9">
        <v>4.9444999999999997</v>
      </c>
      <c r="O717" s="9">
        <v>0.37409999999999999</v>
      </c>
      <c r="P717" s="9">
        <v>1.2183999999999999</v>
      </c>
      <c r="Q717" s="9">
        <v>19.688099999999999</v>
      </c>
      <c r="R717" s="9"/>
      <c r="S717" s="11"/>
    </row>
    <row r="718" spans="1:19" ht="15.75">
      <c r="A718" s="13">
        <v>63370</v>
      </c>
      <c r="B718" s="8">
        <f>CHOOSE( CONTROL!$C$32, 24.6118, 24.6082) * CHOOSE(CONTROL!$C$15, $D$11, 100%, $F$11)</f>
        <v>24.611799999999999</v>
      </c>
      <c r="C718" s="8">
        <f>CHOOSE( CONTROL!$C$32, 24.6198, 24.6162) * CHOOSE(CONTROL!$C$15, $D$11, 100%, $F$11)</f>
        <v>24.619800000000001</v>
      </c>
      <c r="D718" s="8">
        <f>CHOOSE( CONTROL!$C$32, 24.6261, 24.6225) * CHOOSE( CONTROL!$C$15, $D$11, 100%, $F$11)</f>
        <v>24.626100000000001</v>
      </c>
      <c r="E718" s="12">
        <f>CHOOSE( CONTROL!$C$32, 24.6226, 24.619) * CHOOSE( CONTROL!$C$15, $D$11, 100%, $F$11)</f>
        <v>24.622599999999998</v>
      </c>
      <c r="F718" s="4">
        <f>CHOOSE( CONTROL!$C$32, 25.3001, 25.2965) * CHOOSE(CONTROL!$C$15, $D$11, 100%, $F$11)</f>
        <v>25.3001</v>
      </c>
      <c r="G718" s="8">
        <f>CHOOSE( CONTROL!$C$32, 24.1718, 24.1683) * CHOOSE( CONTROL!$C$15, $D$11, 100%, $F$11)</f>
        <v>24.171800000000001</v>
      </c>
      <c r="H718" s="4">
        <f>CHOOSE( CONTROL!$C$32, 25.1093, 25.1058) * CHOOSE(CONTROL!$C$15, $D$11, 100%, $F$11)</f>
        <v>25.109300000000001</v>
      </c>
      <c r="I718" s="8">
        <f>CHOOSE( CONTROL!$C$32, 23.8642, 23.8608) * CHOOSE(CONTROL!$C$15, $D$11, 100%, $F$11)</f>
        <v>23.8642</v>
      </c>
      <c r="J718" s="4">
        <f>CHOOSE( CONTROL!$C$32, 23.761, 23.7575) * CHOOSE(CONTROL!$C$15, $D$11, 100%, $F$11)</f>
        <v>23.760999999999999</v>
      </c>
      <c r="K718" s="4"/>
      <c r="L718" s="9">
        <v>29.7257</v>
      </c>
      <c r="M718" s="9">
        <v>11.6745</v>
      </c>
      <c r="N718" s="9">
        <v>4.7850000000000001</v>
      </c>
      <c r="O718" s="9">
        <v>0.36199999999999999</v>
      </c>
      <c r="P718" s="9">
        <v>1.1791</v>
      </c>
      <c r="Q718" s="9">
        <v>19.053000000000001</v>
      </c>
      <c r="R718" s="9"/>
      <c r="S718" s="11"/>
    </row>
    <row r="719" spans="1:19" ht="15.75">
      <c r="A719" s="13">
        <v>63401</v>
      </c>
      <c r="B719" s="8">
        <f>CHOOSE( CONTROL!$C$32, 25.6693, 25.6657) * CHOOSE(CONTROL!$C$15, $D$11, 100%, $F$11)</f>
        <v>25.6693</v>
      </c>
      <c r="C719" s="8">
        <f>CHOOSE( CONTROL!$C$32, 25.6773, 25.6737) * CHOOSE(CONTROL!$C$15, $D$11, 100%, $F$11)</f>
        <v>25.677299999999999</v>
      </c>
      <c r="D719" s="8">
        <f>CHOOSE( CONTROL!$C$32, 25.6839, 25.6803) * CHOOSE( CONTROL!$C$15, $D$11, 100%, $F$11)</f>
        <v>25.683900000000001</v>
      </c>
      <c r="E719" s="12">
        <f>CHOOSE( CONTROL!$C$32, 25.6803, 25.6767) * CHOOSE( CONTROL!$C$15, $D$11, 100%, $F$11)</f>
        <v>25.680299999999999</v>
      </c>
      <c r="F719" s="4">
        <f>CHOOSE( CONTROL!$C$32, 26.3576, 26.354) * CHOOSE(CONTROL!$C$15, $D$11, 100%, $F$11)</f>
        <v>26.357600000000001</v>
      </c>
      <c r="G719" s="8">
        <f>CHOOSE( CONTROL!$C$32, 25.2123, 25.2088) * CHOOSE( CONTROL!$C$15, $D$11, 100%, $F$11)</f>
        <v>25.212299999999999</v>
      </c>
      <c r="H719" s="4">
        <f>CHOOSE( CONTROL!$C$32, 26.1493, 26.1458) * CHOOSE(CONTROL!$C$15, $D$11, 100%, $F$11)</f>
        <v>26.1493</v>
      </c>
      <c r="I719" s="8">
        <f>CHOOSE( CONTROL!$C$32, 24.8885, 24.8851) * CHOOSE(CONTROL!$C$15, $D$11, 100%, $F$11)</f>
        <v>24.888500000000001</v>
      </c>
      <c r="J719" s="4">
        <f>CHOOSE( CONTROL!$C$32, 24.7833, 24.7798) * CHOOSE(CONTROL!$C$15, $D$11, 100%, $F$11)</f>
        <v>24.783300000000001</v>
      </c>
      <c r="K719" s="4"/>
      <c r="L719" s="9">
        <v>30.7165</v>
      </c>
      <c r="M719" s="9">
        <v>12.063700000000001</v>
      </c>
      <c r="N719" s="9">
        <v>4.9444999999999997</v>
      </c>
      <c r="O719" s="9">
        <v>0.37409999999999999</v>
      </c>
      <c r="P719" s="9">
        <v>1.2183999999999999</v>
      </c>
      <c r="Q719" s="9">
        <v>19.688099999999999</v>
      </c>
      <c r="R719" s="9"/>
      <c r="S719" s="11"/>
    </row>
    <row r="720" spans="1:19" ht="15.75">
      <c r="A720" s="13">
        <v>63432</v>
      </c>
      <c r="B720" s="8">
        <f>CHOOSE( CONTROL!$C$32, 23.6906, 23.687) * CHOOSE(CONTROL!$C$15, $D$11, 100%, $F$11)</f>
        <v>23.6906</v>
      </c>
      <c r="C720" s="8">
        <f>CHOOSE( CONTROL!$C$32, 23.6986, 23.695) * CHOOSE(CONTROL!$C$15, $D$11, 100%, $F$11)</f>
        <v>23.698599999999999</v>
      </c>
      <c r="D720" s="8">
        <f>CHOOSE( CONTROL!$C$32, 23.7053, 23.7017) * CHOOSE( CONTROL!$C$15, $D$11, 100%, $F$11)</f>
        <v>23.705300000000001</v>
      </c>
      <c r="E720" s="12">
        <f>CHOOSE( CONTROL!$C$32, 23.7017, 23.6981) * CHOOSE( CONTROL!$C$15, $D$11, 100%, $F$11)</f>
        <v>23.701699999999999</v>
      </c>
      <c r="F720" s="4">
        <f>CHOOSE( CONTROL!$C$32, 24.3788, 24.3753) * CHOOSE(CONTROL!$C$15, $D$11, 100%, $F$11)</f>
        <v>24.378799999999998</v>
      </c>
      <c r="G720" s="8">
        <f>CHOOSE( CONTROL!$C$32, 23.2665, 23.263) * CHOOSE( CONTROL!$C$15, $D$11, 100%, $F$11)</f>
        <v>23.266500000000001</v>
      </c>
      <c r="H720" s="4">
        <f>CHOOSE( CONTROL!$C$32, 24.2034, 24.1999) * CHOOSE(CONTROL!$C$15, $D$11, 100%, $F$11)</f>
        <v>24.203399999999998</v>
      </c>
      <c r="I720" s="8">
        <f>CHOOSE( CONTROL!$C$32, 22.9752, 22.9717) * CHOOSE(CONTROL!$C$15, $D$11, 100%, $F$11)</f>
        <v>22.975200000000001</v>
      </c>
      <c r="J720" s="4">
        <f>CHOOSE( CONTROL!$C$32, 22.8704, 22.867) * CHOOSE(CONTROL!$C$15, $D$11, 100%, $F$11)</f>
        <v>22.8704</v>
      </c>
      <c r="K720" s="4"/>
      <c r="L720" s="9">
        <v>30.7165</v>
      </c>
      <c r="M720" s="9">
        <v>12.063700000000001</v>
      </c>
      <c r="N720" s="9">
        <v>4.9444999999999997</v>
      </c>
      <c r="O720" s="9">
        <v>0.37409999999999999</v>
      </c>
      <c r="P720" s="9">
        <v>1.2183999999999999</v>
      </c>
      <c r="Q720" s="9">
        <v>19.688099999999999</v>
      </c>
      <c r="R720" s="9"/>
      <c r="S720" s="11"/>
    </row>
    <row r="721" spans="1:19" ht="15.75">
      <c r="A721" s="13">
        <v>63462</v>
      </c>
      <c r="B721" s="8">
        <f>CHOOSE( CONTROL!$C$32, 23.1951, 23.1915) * CHOOSE(CONTROL!$C$15, $D$11, 100%, $F$11)</f>
        <v>23.1951</v>
      </c>
      <c r="C721" s="8">
        <f>CHOOSE( CONTROL!$C$32, 23.2031, 23.1995) * CHOOSE(CONTROL!$C$15, $D$11, 100%, $F$11)</f>
        <v>23.203099999999999</v>
      </c>
      <c r="D721" s="8">
        <f>CHOOSE( CONTROL!$C$32, 23.2098, 23.2062) * CHOOSE( CONTROL!$C$15, $D$11, 100%, $F$11)</f>
        <v>23.209800000000001</v>
      </c>
      <c r="E721" s="12">
        <f>CHOOSE( CONTROL!$C$32, 23.2062, 23.2026) * CHOOSE( CONTROL!$C$15, $D$11, 100%, $F$11)</f>
        <v>23.206199999999999</v>
      </c>
      <c r="F721" s="4">
        <f>CHOOSE( CONTROL!$C$32, 23.8834, 23.8798) * CHOOSE(CONTROL!$C$15, $D$11, 100%, $F$11)</f>
        <v>23.883400000000002</v>
      </c>
      <c r="G721" s="8">
        <f>CHOOSE( CONTROL!$C$32, 22.7792, 22.7757) * CHOOSE( CONTROL!$C$15, $D$11, 100%, $F$11)</f>
        <v>22.779199999999999</v>
      </c>
      <c r="H721" s="4">
        <f>CHOOSE( CONTROL!$C$32, 23.7161, 23.7126) * CHOOSE(CONTROL!$C$15, $D$11, 100%, $F$11)</f>
        <v>23.716100000000001</v>
      </c>
      <c r="I721" s="8">
        <f>CHOOSE( CONTROL!$C$32, 22.496, 22.4925) * CHOOSE(CONTROL!$C$15, $D$11, 100%, $F$11)</f>
        <v>22.495999999999999</v>
      </c>
      <c r="J721" s="4">
        <f>CHOOSE( CONTROL!$C$32, 22.3915, 22.388) * CHOOSE(CONTROL!$C$15, $D$11, 100%, $F$11)</f>
        <v>22.391500000000001</v>
      </c>
      <c r="K721" s="4"/>
      <c r="L721" s="9">
        <v>29.7257</v>
      </c>
      <c r="M721" s="9">
        <v>11.6745</v>
      </c>
      <c r="N721" s="9">
        <v>4.7850000000000001</v>
      </c>
      <c r="O721" s="9">
        <v>0.36199999999999999</v>
      </c>
      <c r="P721" s="9">
        <v>1.1791</v>
      </c>
      <c r="Q721" s="9">
        <v>19.053000000000001</v>
      </c>
      <c r="R721" s="9"/>
      <c r="S721" s="11"/>
    </row>
    <row r="722" spans="1:19" ht="15.75">
      <c r="A722" s="13">
        <v>63493</v>
      </c>
      <c r="B722" s="8">
        <f>24.2186 * CHOOSE(CONTROL!$C$15, $D$11, 100%, $F$11)</f>
        <v>24.218599999999999</v>
      </c>
      <c r="C722" s="8">
        <f>24.224 * CHOOSE(CONTROL!$C$15, $D$11, 100%, $F$11)</f>
        <v>24.224</v>
      </c>
      <c r="D722" s="8">
        <f>24.2355 * CHOOSE( CONTROL!$C$15, $D$11, 100%, $F$11)</f>
        <v>24.235499999999998</v>
      </c>
      <c r="E722" s="12">
        <f>24.2311 * CHOOSE( CONTROL!$C$15, $D$11, 100%, $F$11)</f>
        <v>24.231100000000001</v>
      </c>
      <c r="F722" s="4">
        <f>24.9086 * CHOOSE(CONTROL!$C$15, $D$11, 100%, $F$11)</f>
        <v>24.9086</v>
      </c>
      <c r="G722" s="8">
        <f>23.787 * CHOOSE( CONTROL!$C$15, $D$11, 100%, $F$11)</f>
        <v>23.786999999999999</v>
      </c>
      <c r="H722" s="4">
        <f>24.7243 * CHOOSE(CONTROL!$C$15, $D$11, 100%, $F$11)</f>
        <v>24.724299999999999</v>
      </c>
      <c r="I722" s="8">
        <f>23.4883 * CHOOSE(CONTROL!$C$15, $D$11, 100%, $F$11)</f>
        <v>23.488299999999999</v>
      </c>
      <c r="J722" s="4">
        <f>23.3826 * CHOOSE(CONTROL!$C$15, $D$11, 100%, $F$11)</f>
        <v>23.3826</v>
      </c>
      <c r="K722" s="4"/>
      <c r="L722" s="9">
        <v>31.095300000000002</v>
      </c>
      <c r="M722" s="9">
        <v>12.063700000000001</v>
      </c>
      <c r="N722" s="9">
        <v>4.9444999999999997</v>
      </c>
      <c r="O722" s="9">
        <v>0.37409999999999999</v>
      </c>
      <c r="P722" s="9">
        <v>1.2183999999999999</v>
      </c>
      <c r="Q722" s="9">
        <v>19.688099999999999</v>
      </c>
      <c r="R722" s="9"/>
      <c r="S722" s="11"/>
    </row>
    <row r="723" spans="1:19" ht="15.75">
      <c r="A723" s="13">
        <v>63523</v>
      </c>
      <c r="B723" s="8">
        <f>26.1172 * CHOOSE(CONTROL!$C$15, $D$11, 100%, $F$11)</f>
        <v>26.1172</v>
      </c>
      <c r="C723" s="8">
        <f>26.1223 * CHOOSE(CONTROL!$C$15, $D$11, 100%, $F$11)</f>
        <v>26.122299999999999</v>
      </c>
      <c r="D723" s="8">
        <f>26.0993 * CHOOSE( CONTROL!$C$15, $D$11, 100%, $F$11)</f>
        <v>26.099299999999999</v>
      </c>
      <c r="E723" s="12">
        <f>26.1072 * CHOOSE( CONTROL!$C$15, $D$11, 100%, $F$11)</f>
        <v>26.107199999999999</v>
      </c>
      <c r="F723" s="4">
        <f>26.7621 * CHOOSE(CONTROL!$C$15, $D$11, 100%, $F$11)</f>
        <v>26.7621</v>
      </c>
      <c r="G723" s="8">
        <f>25.6653 * CHOOSE( CONTROL!$C$15, $D$11, 100%, $F$11)</f>
        <v>25.665299999999998</v>
      </c>
      <c r="H723" s="4">
        <f>26.5471 * CHOOSE(CONTROL!$C$15, $D$11, 100%, $F$11)</f>
        <v>26.5471</v>
      </c>
      <c r="I723" s="8">
        <f>25.3496 * CHOOSE(CONTROL!$C$15, $D$11, 100%, $F$11)</f>
        <v>25.349599999999999</v>
      </c>
      <c r="J723" s="4">
        <f>25.2183 * CHOOSE(CONTROL!$C$15, $D$11, 100%, $F$11)</f>
        <v>25.218299999999999</v>
      </c>
      <c r="K723" s="4"/>
      <c r="L723" s="9">
        <v>28.360600000000002</v>
      </c>
      <c r="M723" s="9">
        <v>11.6745</v>
      </c>
      <c r="N723" s="9">
        <v>4.7850000000000001</v>
      </c>
      <c r="O723" s="9">
        <v>0.36199999999999999</v>
      </c>
      <c r="P723" s="9">
        <v>1.2509999999999999</v>
      </c>
      <c r="Q723" s="9">
        <v>19.053000000000001</v>
      </c>
      <c r="R723" s="9"/>
      <c r="S723" s="11"/>
    </row>
    <row r="724" spans="1:19" ht="15.75">
      <c r="A724" s="13">
        <v>63554</v>
      </c>
      <c r="B724" s="8">
        <f>26.0697 * CHOOSE(CONTROL!$C$15, $D$11, 100%, $F$11)</f>
        <v>26.069700000000001</v>
      </c>
      <c r="C724" s="8">
        <f>26.0749 * CHOOSE(CONTROL!$C$15, $D$11, 100%, $F$11)</f>
        <v>26.0749</v>
      </c>
      <c r="D724" s="8">
        <f>26.0532 * CHOOSE( CONTROL!$C$15, $D$11, 100%, $F$11)</f>
        <v>26.0532</v>
      </c>
      <c r="E724" s="12">
        <f>26.0606 * CHOOSE( CONTROL!$C$15, $D$11, 100%, $F$11)</f>
        <v>26.060600000000001</v>
      </c>
      <c r="F724" s="4">
        <f>26.7146 * CHOOSE(CONTROL!$C$15, $D$11, 100%, $F$11)</f>
        <v>26.714600000000001</v>
      </c>
      <c r="G724" s="8">
        <f>25.6196 * CHOOSE( CONTROL!$C$15, $D$11, 100%, $F$11)</f>
        <v>25.619599999999998</v>
      </c>
      <c r="H724" s="4">
        <f>26.5004 * CHOOSE(CONTROL!$C$15, $D$11, 100%, $F$11)</f>
        <v>26.500399999999999</v>
      </c>
      <c r="I724" s="8">
        <f>25.3081 * CHOOSE(CONTROL!$C$15, $D$11, 100%, $F$11)</f>
        <v>25.3081</v>
      </c>
      <c r="J724" s="4">
        <f>25.1724 * CHOOSE(CONTROL!$C$15, $D$11, 100%, $F$11)</f>
        <v>25.1724</v>
      </c>
      <c r="K724" s="4"/>
      <c r="L724" s="9">
        <v>29.306000000000001</v>
      </c>
      <c r="M724" s="9">
        <v>12.063700000000001</v>
      </c>
      <c r="N724" s="9">
        <v>4.9444999999999997</v>
      </c>
      <c r="O724" s="9">
        <v>0.37409999999999999</v>
      </c>
      <c r="P724" s="9">
        <v>1.2927</v>
      </c>
      <c r="Q724" s="9">
        <v>19.688099999999999</v>
      </c>
      <c r="R724" s="9"/>
      <c r="S724" s="11"/>
    </row>
    <row r="725" spans="1:19" ht="15.75">
      <c r="A725" s="13">
        <v>63585</v>
      </c>
      <c r="B725" s="8">
        <f>27.065 * CHOOSE(CONTROL!$C$15, $D$11, 100%, $F$11)</f>
        <v>27.065000000000001</v>
      </c>
      <c r="C725" s="8">
        <f>27.0701 * CHOOSE(CONTROL!$C$15, $D$11, 100%, $F$11)</f>
        <v>27.0701</v>
      </c>
      <c r="D725" s="8">
        <f>27.0442 * CHOOSE( CONTROL!$C$15, $D$11, 100%, $F$11)</f>
        <v>27.0442</v>
      </c>
      <c r="E725" s="12">
        <f>27.0531 * CHOOSE( CONTROL!$C$15, $D$11, 100%, $F$11)</f>
        <v>27.053100000000001</v>
      </c>
      <c r="F725" s="4">
        <f>27.709 * CHOOSE(CONTROL!$C$15, $D$11, 100%, $F$11)</f>
        <v>27.709</v>
      </c>
      <c r="G725" s="8">
        <f>26.592 * CHOOSE( CONTROL!$C$15, $D$11, 100%, $F$11)</f>
        <v>26.591999999999999</v>
      </c>
      <c r="H725" s="4">
        <f>27.4783 * CHOOSE(CONTROL!$C$15, $D$11, 100%, $F$11)</f>
        <v>27.478300000000001</v>
      </c>
      <c r="I725" s="8">
        <f>26.2412 * CHOOSE(CONTROL!$C$15, $D$11, 100%, $F$11)</f>
        <v>26.241199999999999</v>
      </c>
      <c r="J725" s="4">
        <f>26.1345 * CHOOSE(CONTROL!$C$15, $D$11, 100%, $F$11)</f>
        <v>26.134499999999999</v>
      </c>
      <c r="K725" s="4"/>
      <c r="L725" s="9">
        <v>29.306000000000001</v>
      </c>
      <c r="M725" s="9">
        <v>12.063700000000001</v>
      </c>
      <c r="N725" s="9">
        <v>4.9444999999999997</v>
      </c>
      <c r="O725" s="9">
        <v>0.37409999999999999</v>
      </c>
      <c r="P725" s="9">
        <v>1.2927</v>
      </c>
      <c r="Q725" s="9">
        <v>19.688099999999999</v>
      </c>
      <c r="R725" s="9"/>
      <c r="S725" s="11"/>
    </row>
    <row r="726" spans="1:19" ht="15.75">
      <c r="A726" s="13">
        <v>63613</v>
      </c>
      <c r="B726" s="8">
        <f>25.3172 * CHOOSE(CONTROL!$C$15, $D$11, 100%, $F$11)</f>
        <v>25.3172</v>
      </c>
      <c r="C726" s="8">
        <f>25.3223 * CHOOSE(CONTROL!$C$15, $D$11, 100%, $F$11)</f>
        <v>25.322299999999998</v>
      </c>
      <c r="D726" s="8">
        <f>25.2967 * CHOOSE( CONTROL!$C$15, $D$11, 100%, $F$11)</f>
        <v>25.296700000000001</v>
      </c>
      <c r="E726" s="12">
        <f>25.3055 * CHOOSE( CONTROL!$C$15, $D$11, 100%, $F$11)</f>
        <v>25.305499999999999</v>
      </c>
      <c r="F726" s="4">
        <f>25.9612 * CHOOSE(CONTROL!$C$15, $D$11, 100%, $F$11)</f>
        <v>25.961200000000002</v>
      </c>
      <c r="G726" s="8">
        <f>24.8734 * CHOOSE( CONTROL!$C$15, $D$11, 100%, $F$11)</f>
        <v>24.8734</v>
      </c>
      <c r="H726" s="4">
        <f>25.7595 * CHOOSE(CONTROL!$C$15, $D$11, 100%, $F$11)</f>
        <v>25.759499999999999</v>
      </c>
      <c r="I726" s="8">
        <f>24.5516 * CHOOSE(CONTROL!$C$15, $D$11, 100%, $F$11)</f>
        <v>24.551600000000001</v>
      </c>
      <c r="J726" s="4">
        <f>24.445 * CHOOSE(CONTROL!$C$15, $D$11, 100%, $F$11)</f>
        <v>24.445</v>
      </c>
      <c r="K726" s="4"/>
      <c r="L726" s="9">
        <v>26.469899999999999</v>
      </c>
      <c r="M726" s="9">
        <v>10.8962</v>
      </c>
      <c r="N726" s="9">
        <v>4.4660000000000002</v>
      </c>
      <c r="O726" s="9">
        <v>0.33789999999999998</v>
      </c>
      <c r="P726" s="9">
        <v>1.1676</v>
      </c>
      <c r="Q726" s="9">
        <v>17.782800000000002</v>
      </c>
      <c r="R726" s="9"/>
      <c r="S726" s="11"/>
    </row>
    <row r="727" spans="1:19" ht="15.75">
      <c r="A727" s="13">
        <v>63644</v>
      </c>
      <c r="B727" s="8">
        <f>24.7789 * CHOOSE(CONTROL!$C$15, $D$11, 100%, $F$11)</f>
        <v>24.7789</v>
      </c>
      <c r="C727" s="8">
        <f>24.784 * CHOOSE(CONTROL!$C$15, $D$11, 100%, $F$11)</f>
        <v>24.783999999999999</v>
      </c>
      <c r="D727" s="8">
        <f>24.7583 * CHOOSE( CONTROL!$C$15, $D$11, 100%, $F$11)</f>
        <v>24.758299999999998</v>
      </c>
      <c r="E727" s="12">
        <f>24.7672 * CHOOSE( CONTROL!$C$15, $D$11, 100%, $F$11)</f>
        <v>24.767199999999999</v>
      </c>
      <c r="F727" s="4">
        <f>25.4229 * CHOOSE(CONTROL!$C$15, $D$11, 100%, $F$11)</f>
        <v>25.422899999999998</v>
      </c>
      <c r="G727" s="8">
        <f>24.344 * CHOOSE( CONTROL!$C$15, $D$11, 100%, $F$11)</f>
        <v>24.344000000000001</v>
      </c>
      <c r="H727" s="4">
        <f>25.2301 * CHOOSE(CONTROL!$C$15, $D$11, 100%, $F$11)</f>
        <v>25.2301</v>
      </c>
      <c r="I727" s="8">
        <f>24.0307 * CHOOSE(CONTROL!$C$15, $D$11, 100%, $F$11)</f>
        <v>24.0307</v>
      </c>
      <c r="J727" s="4">
        <f>23.9246 * CHOOSE(CONTROL!$C$15, $D$11, 100%, $F$11)</f>
        <v>23.924600000000002</v>
      </c>
      <c r="K727" s="4"/>
      <c r="L727" s="9">
        <v>29.306000000000001</v>
      </c>
      <c r="M727" s="9">
        <v>12.063700000000001</v>
      </c>
      <c r="N727" s="9">
        <v>4.9444999999999997</v>
      </c>
      <c r="O727" s="9">
        <v>0.37409999999999999</v>
      </c>
      <c r="P727" s="9">
        <v>1.2927</v>
      </c>
      <c r="Q727" s="9">
        <v>19.688099999999999</v>
      </c>
      <c r="R727" s="9"/>
      <c r="S727" s="11"/>
    </row>
    <row r="728" spans="1:19" ht="15.75">
      <c r="A728" s="13">
        <v>63674</v>
      </c>
      <c r="B728" s="8">
        <f>25.1558 * CHOOSE(CONTROL!$C$15, $D$11, 100%, $F$11)</f>
        <v>25.155799999999999</v>
      </c>
      <c r="C728" s="8">
        <f>25.1604 * CHOOSE(CONTROL!$C$15, $D$11, 100%, $F$11)</f>
        <v>25.160399999999999</v>
      </c>
      <c r="D728" s="8">
        <f>25.1714 * CHOOSE( CONTROL!$C$15, $D$11, 100%, $F$11)</f>
        <v>25.171399999999998</v>
      </c>
      <c r="E728" s="12">
        <f>25.1672 * CHOOSE( CONTROL!$C$15, $D$11, 100%, $F$11)</f>
        <v>25.167200000000001</v>
      </c>
      <c r="F728" s="4">
        <f>25.8455 * CHOOSE(CONTROL!$C$15, $D$11, 100%, $F$11)</f>
        <v>25.845500000000001</v>
      </c>
      <c r="G728" s="8">
        <f>24.7068 * CHOOSE( CONTROL!$C$15, $D$11, 100%, $F$11)</f>
        <v>24.706800000000001</v>
      </c>
      <c r="H728" s="4">
        <f>25.6457 * CHOOSE(CONTROL!$C$15, $D$11, 100%, $F$11)</f>
        <v>25.645700000000001</v>
      </c>
      <c r="I728" s="8">
        <f>24.3896 * CHOOSE(CONTROL!$C$15, $D$11, 100%, $F$11)</f>
        <v>24.389600000000002</v>
      </c>
      <c r="J728" s="4">
        <f>24.2882 * CHOOSE(CONTROL!$C$15, $D$11, 100%, $F$11)</f>
        <v>24.2882</v>
      </c>
      <c r="K728" s="4"/>
      <c r="L728" s="9">
        <v>30.092199999999998</v>
      </c>
      <c r="M728" s="9">
        <v>11.6745</v>
      </c>
      <c r="N728" s="9">
        <v>4.7850000000000001</v>
      </c>
      <c r="O728" s="9">
        <v>0.36199999999999999</v>
      </c>
      <c r="P728" s="9">
        <v>1.1791</v>
      </c>
      <c r="Q728" s="9">
        <v>19.053000000000001</v>
      </c>
      <c r="R728" s="9"/>
      <c r="S728" s="11"/>
    </row>
    <row r="729" spans="1:19" ht="15.75">
      <c r="A729" s="13">
        <v>63705</v>
      </c>
      <c r="B729" s="8">
        <f>CHOOSE( CONTROL!$C$32, 25.8302, 25.8267) * CHOOSE(CONTROL!$C$15, $D$11, 100%, $F$11)</f>
        <v>25.830200000000001</v>
      </c>
      <c r="C729" s="8">
        <f>CHOOSE( CONTROL!$C$32, 25.8382, 25.8347) * CHOOSE(CONTROL!$C$15, $D$11, 100%, $F$11)</f>
        <v>25.838200000000001</v>
      </c>
      <c r="D729" s="8">
        <f>CHOOSE( CONTROL!$C$32, 25.8442, 25.8407) * CHOOSE( CONTROL!$C$15, $D$11, 100%, $F$11)</f>
        <v>25.844200000000001</v>
      </c>
      <c r="E729" s="12">
        <f>CHOOSE( CONTROL!$C$32, 25.8408, 25.8373) * CHOOSE( CONTROL!$C$15, $D$11, 100%, $F$11)</f>
        <v>25.840800000000002</v>
      </c>
      <c r="F729" s="4">
        <f>CHOOSE( CONTROL!$C$32, 26.5185, 26.5149) * CHOOSE(CONTROL!$C$15, $D$11, 100%, $F$11)</f>
        <v>26.5185</v>
      </c>
      <c r="G729" s="8">
        <f>CHOOSE( CONTROL!$C$32, 25.3697, 25.3662) * CHOOSE( CONTROL!$C$15, $D$11, 100%, $F$11)</f>
        <v>25.369700000000002</v>
      </c>
      <c r="H729" s="4">
        <f>CHOOSE( CONTROL!$C$32, 26.3075, 26.304) * CHOOSE(CONTROL!$C$15, $D$11, 100%, $F$11)</f>
        <v>26.307500000000001</v>
      </c>
      <c r="I729" s="8">
        <f>CHOOSE( CONTROL!$C$32, 25.0414, 25.0379) * CHOOSE(CONTROL!$C$15, $D$11, 100%, $F$11)</f>
        <v>25.041399999999999</v>
      </c>
      <c r="J729" s="4">
        <f>CHOOSE( CONTROL!$C$32, 24.9388, 24.9354) * CHOOSE(CONTROL!$C$15, $D$11, 100%, $F$11)</f>
        <v>24.938800000000001</v>
      </c>
      <c r="K729" s="4"/>
      <c r="L729" s="9">
        <v>30.7165</v>
      </c>
      <c r="M729" s="9">
        <v>12.063700000000001</v>
      </c>
      <c r="N729" s="9">
        <v>4.9444999999999997</v>
      </c>
      <c r="O729" s="9">
        <v>0.37409999999999999</v>
      </c>
      <c r="P729" s="9">
        <v>1.2183999999999999</v>
      </c>
      <c r="Q729" s="9">
        <v>19.688099999999999</v>
      </c>
      <c r="R729" s="9"/>
      <c r="S729" s="11"/>
    </row>
    <row r="730" spans="1:19" ht="15.75">
      <c r="A730" s="13">
        <v>63735</v>
      </c>
      <c r="B730" s="8">
        <f>CHOOSE( CONTROL!$C$32, 25.4155, 25.4119) * CHOOSE(CONTROL!$C$15, $D$11, 100%, $F$11)</f>
        <v>25.415500000000002</v>
      </c>
      <c r="C730" s="8">
        <f>CHOOSE( CONTROL!$C$32, 25.4235, 25.42) * CHOOSE(CONTROL!$C$15, $D$11, 100%, $F$11)</f>
        <v>25.423500000000001</v>
      </c>
      <c r="D730" s="8">
        <f>CHOOSE( CONTROL!$C$32, 25.4298, 25.4262) * CHOOSE( CONTROL!$C$15, $D$11, 100%, $F$11)</f>
        <v>25.4298</v>
      </c>
      <c r="E730" s="12">
        <f>CHOOSE( CONTROL!$C$32, 25.4263, 25.4227) * CHOOSE( CONTROL!$C$15, $D$11, 100%, $F$11)</f>
        <v>25.426300000000001</v>
      </c>
      <c r="F730" s="4">
        <f>CHOOSE( CONTROL!$C$32, 26.1038, 26.1002) * CHOOSE(CONTROL!$C$15, $D$11, 100%, $F$11)</f>
        <v>26.1038</v>
      </c>
      <c r="G730" s="8">
        <f>CHOOSE( CONTROL!$C$32, 24.9622, 24.9587) * CHOOSE( CONTROL!$C$15, $D$11, 100%, $F$11)</f>
        <v>24.962199999999999</v>
      </c>
      <c r="H730" s="4">
        <f>CHOOSE( CONTROL!$C$32, 25.8997, 25.8962) * CHOOSE(CONTROL!$C$15, $D$11, 100%, $F$11)</f>
        <v>25.899699999999999</v>
      </c>
      <c r="I730" s="8">
        <f>CHOOSE( CONTROL!$C$32, 24.6416, 24.6381) * CHOOSE(CONTROL!$C$15, $D$11, 100%, $F$11)</f>
        <v>24.6416</v>
      </c>
      <c r="J730" s="4">
        <f>CHOOSE( CONTROL!$C$32, 24.5379, 24.5345) * CHOOSE(CONTROL!$C$15, $D$11, 100%, $F$11)</f>
        <v>24.5379</v>
      </c>
      <c r="K730" s="4"/>
      <c r="L730" s="9">
        <v>29.7257</v>
      </c>
      <c r="M730" s="9">
        <v>11.6745</v>
      </c>
      <c r="N730" s="9">
        <v>4.7850000000000001</v>
      </c>
      <c r="O730" s="9">
        <v>0.36199999999999999</v>
      </c>
      <c r="P730" s="9">
        <v>1.1791</v>
      </c>
      <c r="Q730" s="9">
        <v>19.053000000000001</v>
      </c>
      <c r="R730" s="9"/>
      <c r="S730" s="11"/>
    </row>
    <row r="731" spans="1:19" ht="15.75">
      <c r="A731" s="13">
        <v>63766</v>
      </c>
      <c r="B731" s="8">
        <f>CHOOSE( CONTROL!$C$32, 26.5076, 26.504) * CHOOSE(CONTROL!$C$15, $D$11, 100%, $F$11)</f>
        <v>26.5076</v>
      </c>
      <c r="C731" s="8">
        <f>CHOOSE( CONTROL!$C$32, 26.5156, 26.512) * CHOOSE(CONTROL!$C$15, $D$11, 100%, $F$11)</f>
        <v>26.515599999999999</v>
      </c>
      <c r="D731" s="8">
        <f>CHOOSE( CONTROL!$C$32, 26.5222, 26.5186) * CHOOSE( CONTROL!$C$15, $D$11, 100%, $F$11)</f>
        <v>26.522200000000002</v>
      </c>
      <c r="E731" s="12">
        <f>CHOOSE( CONTROL!$C$32, 26.5186, 26.515) * CHOOSE( CONTROL!$C$15, $D$11, 100%, $F$11)</f>
        <v>26.518599999999999</v>
      </c>
      <c r="F731" s="4">
        <f>CHOOSE( CONTROL!$C$32, 27.1959, 27.1923) * CHOOSE(CONTROL!$C$15, $D$11, 100%, $F$11)</f>
        <v>27.195900000000002</v>
      </c>
      <c r="G731" s="8">
        <f>CHOOSE( CONTROL!$C$32, 26.0367, 26.0332) * CHOOSE( CONTROL!$C$15, $D$11, 100%, $F$11)</f>
        <v>26.0367</v>
      </c>
      <c r="H731" s="4">
        <f>CHOOSE( CONTROL!$C$32, 26.9737, 26.9702) * CHOOSE(CONTROL!$C$15, $D$11, 100%, $F$11)</f>
        <v>26.973700000000001</v>
      </c>
      <c r="I731" s="8">
        <f>CHOOSE( CONTROL!$C$32, 25.6993, 25.6959) * CHOOSE(CONTROL!$C$15, $D$11, 100%, $F$11)</f>
        <v>25.699300000000001</v>
      </c>
      <c r="J731" s="4">
        <f>CHOOSE( CONTROL!$C$32, 25.5937, 25.5902) * CHOOSE(CONTROL!$C$15, $D$11, 100%, $F$11)</f>
        <v>25.593699999999998</v>
      </c>
      <c r="K731" s="4"/>
      <c r="L731" s="9">
        <v>30.7165</v>
      </c>
      <c r="M731" s="9">
        <v>12.063700000000001</v>
      </c>
      <c r="N731" s="9">
        <v>4.9444999999999997</v>
      </c>
      <c r="O731" s="9">
        <v>0.37409999999999999</v>
      </c>
      <c r="P731" s="9">
        <v>1.2183999999999999</v>
      </c>
      <c r="Q731" s="9">
        <v>19.688099999999999</v>
      </c>
      <c r="R731" s="9"/>
      <c r="S731" s="11"/>
    </row>
    <row r="732" spans="1:19" ht="15.75">
      <c r="A732" s="13">
        <v>63797</v>
      </c>
      <c r="B732" s="8">
        <f>CHOOSE( CONTROL!$C$32, 24.4642, 24.4606) * CHOOSE(CONTROL!$C$15, $D$11, 100%, $F$11)</f>
        <v>24.464200000000002</v>
      </c>
      <c r="C732" s="8">
        <f>CHOOSE( CONTROL!$C$32, 24.4722, 24.4686) * CHOOSE(CONTROL!$C$15, $D$11, 100%, $F$11)</f>
        <v>24.472200000000001</v>
      </c>
      <c r="D732" s="8">
        <f>CHOOSE( CONTROL!$C$32, 24.4789, 24.4753) * CHOOSE( CONTROL!$C$15, $D$11, 100%, $F$11)</f>
        <v>24.478899999999999</v>
      </c>
      <c r="E732" s="12">
        <f>CHOOSE( CONTROL!$C$32, 24.4753, 24.4717) * CHOOSE( CONTROL!$C$15, $D$11, 100%, $F$11)</f>
        <v>24.475300000000001</v>
      </c>
      <c r="F732" s="4">
        <f>CHOOSE( CONTROL!$C$32, 25.1524, 25.1489) * CHOOSE(CONTROL!$C$15, $D$11, 100%, $F$11)</f>
        <v>25.1524</v>
      </c>
      <c r="G732" s="8">
        <f>CHOOSE( CONTROL!$C$32, 24.0273, 24.0238) * CHOOSE( CONTROL!$C$15, $D$11, 100%, $F$11)</f>
        <v>24.0273</v>
      </c>
      <c r="H732" s="4">
        <f>CHOOSE( CONTROL!$C$32, 24.9641, 24.9606) * CHOOSE(CONTROL!$C$15, $D$11, 100%, $F$11)</f>
        <v>24.964099999999998</v>
      </c>
      <c r="I732" s="8">
        <f>CHOOSE( CONTROL!$C$32, 23.7234, 23.72) * CHOOSE(CONTROL!$C$15, $D$11, 100%, $F$11)</f>
        <v>23.723400000000002</v>
      </c>
      <c r="J732" s="4">
        <f>CHOOSE( CONTROL!$C$32, 23.6183, 23.6148) * CHOOSE(CONTROL!$C$15, $D$11, 100%, $F$11)</f>
        <v>23.618300000000001</v>
      </c>
      <c r="K732" s="4"/>
      <c r="L732" s="9">
        <v>30.7165</v>
      </c>
      <c r="M732" s="9">
        <v>12.063700000000001</v>
      </c>
      <c r="N732" s="9">
        <v>4.9444999999999997</v>
      </c>
      <c r="O732" s="9">
        <v>0.37409999999999999</v>
      </c>
      <c r="P732" s="9">
        <v>1.2183999999999999</v>
      </c>
      <c r="Q732" s="9">
        <v>19.688099999999999</v>
      </c>
      <c r="R732" s="9"/>
      <c r="S732" s="11"/>
    </row>
    <row r="733" spans="1:19" ht="15.75">
      <c r="A733" s="13">
        <v>63827</v>
      </c>
      <c r="B733" s="8">
        <f>CHOOSE( CONTROL!$C$32, 23.9525, 23.9489) * CHOOSE(CONTROL!$C$15, $D$11, 100%, $F$11)</f>
        <v>23.952500000000001</v>
      </c>
      <c r="C733" s="8">
        <f>CHOOSE( CONTROL!$C$32, 23.9605, 23.9569) * CHOOSE(CONTROL!$C$15, $D$11, 100%, $F$11)</f>
        <v>23.9605</v>
      </c>
      <c r="D733" s="8">
        <f>CHOOSE( CONTROL!$C$32, 23.9672, 23.9636) * CHOOSE( CONTROL!$C$15, $D$11, 100%, $F$11)</f>
        <v>23.967199999999998</v>
      </c>
      <c r="E733" s="12">
        <f>CHOOSE( CONTROL!$C$32, 23.9636, 23.96) * CHOOSE( CONTROL!$C$15, $D$11, 100%, $F$11)</f>
        <v>23.9636</v>
      </c>
      <c r="F733" s="4">
        <f>CHOOSE( CONTROL!$C$32, 24.6407, 24.6372) * CHOOSE(CONTROL!$C$15, $D$11, 100%, $F$11)</f>
        <v>24.640699999999999</v>
      </c>
      <c r="G733" s="8">
        <f>CHOOSE( CONTROL!$C$32, 23.5241, 23.5206) * CHOOSE( CONTROL!$C$15, $D$11, 100%, $F$11)</f>
        <v>23.524100000000001</v>
      </c>
      <c r="H733" s="4">
        <f>CHOOSE( CONTROL!$C$32, 24.4609, 24.4574) * CHOOSE(CONTROL!$C$15, $D$11, 100%, $F$11)</f>
        <v>24.460899999999999</v>
      </c>
      <c r="I733" s="8">
        <f>CHOOSE( CONTROL!$C$32, 23.2285, 23.2251) * CHOOSE(CONTROL!$C$15, $D$11, 100%, $F$11)</f>
        <v>23.2285</v>
      </c>
      <c r="J733" s="4">
        <f>CHOOSE( CONTROL!$C$32, 23.1236, 23.1202) * CHOOSE(CONTROL!$C$15, $D$11, 100%, $F$11)</f>
        <v>23.1236</v>
      </c>
      <c r="K733" s="4"/>
      <c r="L733" s="9">
        <v>29.7257</v>
      </c>
      <c r="M733" s="9">
        <v>11.6745</v>
      </c>
      <c r="N733" s="9">
        <v>4.7850000000000001</v>
      </c>
      <c r="O733" s="9">
        <v>0.36199999999999999</v>
      </c>
      <c r="P733" s="9">
        <v>1.1791</v>
      </c>
      <c r="Q733" s="9">
        <v>19.053000000000001</v>
      </c>
      <c r="R733" s="9"/>
      <c r="S733" s="11"/>
    </row>
    <row r="734" spans="1:19" ht="15.75">
      <c r="A734" s="13">
        <v>63858</v>
      </c>
      <c r="B734" s="8">
        <f>25.0096 * CHOOSE(CONTROL!$C$15, $D$11, 100%, $F$11)</f>
        <v>25.009599999999999</v>
      </c>
      <c r="C734" s="8">
        <f>25.015 * CHOOSE(CONTROL!$C$15, $D$11, 100%, $F$11)</f>
        <v>25.015000000000001</v>
      </c>
      <c r="D734" s="8">
        <f>25.0265 * CHOOSE( CONTROL!$C$15, $D$11, 100%, $F$11)</f>
        <v>25.026499999999999</v>
      </c>
      <c r="E734" s="12">
        <f>25.0221 * CHOOSE( CONTROL!$C$15, $D$11, 100%, $F$11)</f>
        <v>25.022099999999998</v>
      </c>
      <c r="F734" s="4">
        <f>25.6996 * CHOOSE(CONTROL!$C$15, $D$11, 100%, $F$11)</f>
        <v>25.6996</v>
      </c>
      <c r="G734" s="8">
        <f>24.5649 * CHOOSE( CONTROL!$C$15, $D$11, 100%, $F$11)</f>
        <v>24.564900000000002</v>
      </c>
      <c r="H734" s="4">
        <f>25.5023 * CHOOSE(CONTROL!$C$15, $D$11, 100%, $F$11)</f>
        <v>25.502300000000002</v>
      </c>
      <c r="I734" s="8">
        <f>24.2534 * CHOOSE(CONTROL!$C$15, $D$11, 100%, $F$11)</f>
        <v>24.253399999999999</v>
      </c>
      <c r="J734" s="4">
        <f>24.1473 * CHOOSE(CONTROL!$C$15, $D$11, 100%, $F$11)</f>
        <v>24.147300000000001</v>
      </c>
      <c r="K734" s="4"/>
      <c r="L734" s="9">
        <v>31.095300000000002</v>
      </c>
      <c r="M734" s="9">
        <v>12.063700000000001</v>
      </c>
      <c r="N734" s="9">
        <v>4.9444999999999997</v>
      </c>
      <c r="O734" s="9">
        <v>0.37409999999999999</v>
      </c>
      <c r="P734" s="9">
        <v>1.2183999999999999</v>
      </c>
      <c r="Q734" s="9">
        <v>19.688099999999999</v>
      </c>
      <c r="R734" s="9"/>
      <c r="S734" s="11"/>
    </row>
    <row r="735" spans="1:19" ht="15.75">
      <c r="A735" s="13">
        <v>63888</v>
      </c>
      <c r="B735" s="8">
        <f>26.9703 * CHOOSE(CONTROL!$C$15, $D$11, 100%, $F$11)</f>
        <v>26.970300000000002</v>
      </c>
      <c r="C735" s="8">
        <f>26.9754 * CHOOSE(CONTROL!$C$15, $D$11, 100%, $F$11)</f>
        <v>26.9754</v>
      </c>
      <c r="D735" s="8">
        <f>26.9524 * CHOOSE( CONTROL!$C$15, $D$11, 100%, $F$11)</f>
        <v>26.952400000000001</v>
      </c>
      <c r="E735" s="12">
        <f>26.9603 * CHOOSE( CONTROL!$C$15, $D$11, 100%, $F$11)</f>
        <v>26.9603</v>
      </c>
      <c r="F735" s="4">
        <f>27.6152 * CHOOSE(CONTROL!$C$15, $D$11, 100%, $F$11)</f>
        <v>27.615200000000002</v>
      </c>
      <c r="G735" s="8">
        <f>26.5043 * CHOOSE( CONTROL!$C$15, $D$11, 100%, $F$11)</f>
        <v>26.504300000000001</v>
      </c>
      <c r="H735" s="4">
        <f>27.3861 * CHOOSE(CONTROL!$C$15, $D$11, 100%, $F$11)</f>
        <v>27.386099999999999</v>
      </c>
      <c r="I735" s="8">
        <f>26.1748 * CHOOSE(CONTROL!$C$15, $D$11, 100%, $F$11)</f>
        <v>26.174800000000001</v>
      </c>
      <c r="J735" s="4">
        <f>26.043 * CHOOSE(CONTROL!$C$15, $D$11, 100%, $F$11)</f>
        <v>26.042999999999999</v>
      </c>
      <c r="K735" s="4"/>
      <c r="L735" s="9">
        <v>28.360600000000002</v>
      </c>
      <c r="M735" s="9">
        <v>11.6745</v>
      </c>
      <c r="N735" s="9">
        <v>4.7850000000000001</v>
      </c>
      <c r="O735" s="9">
        <v>0.36199999999999999</v>
      </c>
      <c r="P735" s="9">
        <v>1.2509999999999999</v>
      </c>
      <c r="Q735" s="9">
        <v>19.053000000000001</v>
      </c>
      <c r="R735" s="9"/>
      <c r="S735" s="11"/>
    </row>
    <row r="736" spans="1:19" ht="15.75">
      <c r="A736" s="13">
        <v>63919</v>
      </c>
      <c r="B736" s="8">
        <f>26.9213 * CHOOSE(CONTROL!$C$15, $D$11, 100%, $F$11)</f>
        <v>26.921299999999999</v>
      </c>
      <c r="C736" s="8">
        <f>26.9264 * CHOOSE(CONTROL!$C$15, $D$11, 100%, $F$11)</f>
        <v>26.926400000000001</v>
      </c>
      <c r="D736" s="8">
        <f>26.9048 * CHOOSE( CONTROL!$C$15, $D$11, 100%, $F$11)</f>
        <v>26.904800000000002</v>
      </c>
      <c r="E736" s="12">
        <f>26.9122 * CHOOSE( CONTROL!$C$15, $D$11, 100%, $F$11)</f>
        <v>26.912199999999999</v>
      </c>
      <c r="F736" s="4">
        <f>27.5662 * CHOOSE(CONTROL!$C$15, $D$11, 100%, $F$11)</f>
        <v>27.566199999999998</v>
      </c>
      <c r="G736" s="8">
        <f>26.4571 * CHOOSE( CONTROL!$C$15, $D$11, 100%, $F$11)</f>
        <v>26.457100000000001</v>
      </c>
      <c r="H736" s="4">
        <f>27.3379 * CHOOSE(CONTROL!$C$15, $D$11, 100%, $F$11)</f>
        <v>27.337900000000001</v>
      </c>
      <c r="I736" s="8">
        <f>26.1317 * CHOOSE(CONTROL!$C$15, $D$11, 100%, $F$11)</f>
        <v>26.131699999999999</v>
      </c>
      <c r="J736" s="4">
        <f>25.9957 * CHOOSE(CONTROL!$C$15, $D$11, 100%, $F$11)</f>
        <v>25.995699999999999</v>
      </c>
      <c r="K736" s="4"/>
      <c r="L736" s="9">
        <v>29.306000000000001</v>
      </c>
      <c r="M736" s="9">
        <v>12.063700000000001</v>
      </c>
      <c r="N736" s="9">
        <v>4.9444999999999997</v>
      </c>
      <c r="O736" s="9">
        <v>0.37409999999999999</v>
      </c>
      <c r="P736" s="9">
        <v>1.2927</v>
      </c>
      <c r="Q736" s="9">
        <v>19.688099999999999</v>
      </c>
      <c r="R736" s="9"/>
      <c r="S736" s="11"/>
    </row>
    <row r="737" spans="1:19" ht="15.75">
      <c r="A737" s="13">
        <v>63950</v>
      </c>
      <c r="B737" s="8">
        <f>27.9491 * CHOOSE(CONTROL!$C$15, $D$11, 100%, $F$11)</f>
        <v>27.949100000000001</v>
      </c>
      <c r="C737" s="8">
        <f>27.9542 * CHOOSE(CONTROL!$C$15, $D$11, 100%, $F$11)</f>
        <v>27.9542</v>
      </c>
      <c r="D737" s="8">
        <f>27.9284 * CHOOSE( CONTROL!$C$15, $D$11, 100%, $F$11)</f>
        <v>27.9284</v>
      </c>
      <c r="E737" s="12">
        <f>27.9373 * CHOOSE( CONTROL!$C$15, $D$11, 100%, $F$11)</f>
        <v>27.9373</v>
      </c>
      <c r="F737" s="4">
        <f>28.5931 * CHOOSE(CONTROL!$C$15, $D$11, 100%, $F$11)</f>
        <v>28.5931</v>
      </c>
      <c r="G737" s="8">
        <f>27.4615 * CHOOSE( CONTROL!$C$15, $D$11, 100%, $F$11)</f>
        <v>27.461500000000001</v>
      </c>
      <c r="H737" s="4">
        <f>28.3478 * CHOOSE(CONTROL!$C$15, $D$11, 100%, $F$11)</f>
        <v>28.347799999999999</v>
      </c>
      <c r="I737" s="8">
        <f>27.0963 * CHOOSE(CONTROL!$C$15, $D$11, 100%, $F$11)</f>
        <v>27.096299999999999</v>
      </c>
      <c r="J737" s="4">
        <f>26.9892 * CHOOSE(CONTROL!$C$15, $D$11, 100%, $F$11)</f>
        <v>26.9892</v>
      </c>
      <c r="K737" s="4"/>
      <c r="L737" s="9">
        <v>29.306000000000001</v>
      </c>
      <c r="M737" s="9">
        <v>12.063700000000001</v>
      </c>
      <c r="N737" s="9">
        <v>4.9444999999999997</v>
      </c>
      <c r="O737" s="9">
        <v>0.37409999999999999</v>
      </c>
      <c r="P737" s="9">
        <v>1.2927</v>
      </c>
      <c r="Q737" s="9">
        <v>19.688099999999999</v>
      </c>
      <c r="R737" s="9"/>
      <c r="S737" s="11"/>
    </row>
    <row r="738" spans="1:19" ht="15.75">
      <c r="A738" s="13">
        <v>63978</v>
      </c>
      <c r="B738" s="8">
        <f>26.1442 * CHOOSE(CONTROL!$C$15, $D$11, 100%, $F$11)</f>
        <v>26.144200000000001</v>
      </c>
      <c r="C738" s="8">
        <f>26.1493 * CHOOSE(CONTROL!$C$15, $D$11, 100%, $F$11)</f>
        <v>26.1493</v>
      </c>
      <c r="D738" s="8">
        <f>26.1237 * CHOOSE( CONTROL!$C$15, $D$11, 100%, $F$11)</f>
        <v>26.123699999999999</v>
      </c>
      <c r="E738" s="12">
        <f>26.1325 * CHOOSE( CONTROL!$C$15, $D$11, 100%, $F$11)</f>
        <v>26.1325</v>
      </c>
      <c r="F738" s="4">
        <f>26.7882 * CHOOSE(CONTROL!$C$15, $D$11, 100%, $F$11)</f>
        <v>26.7882</v>
      </c>
      <c r="G738" s="8">
        <f>25.6867 * CHOOSE( CONTROL!$C$15, $D$11, 100%, $F$11)</f>
        <v>25.686699999999998</v>
      </c>
      <c r="H738" s="4">
        <f>26.5728 * CHOOSE(CONTROL!$C$15, $D$11, 100%, $F$11)</f>
        <v>26.572800000000001</v>
      </c>
      <c r="I738" s="8">
        <f>25.3514 * CHOOSE(CONTROL!$C$15, $D$11, 100%, $F$11)</f>
        <v>25.351400000000002</v>
      </c>
      <c r="J738" s="4">
        <f>25.2444 * CHOOSE(CONTROL!$C$15, $D$11, 100%, $F$11)</f>
        <v>25.244399999999999</v>
      </c>
      <c r="K738" s="4"/>
      <c r="L738" s="9">
        <v>26.469899999999999</v>
      </c>
      <c r="M738" s="9">
        <v>10.8962</v>
      </c>
      <c r="N738" s="9">
        <v>4.4660000000000002</v>
      </c>
      <c r="O738" s="9">
        <v>0.33789999999999998</v>
      </c>
      <c r="P738" s="9">
        <v>1.1676</v>
      </c>
      <c r="Q738" s="9">
        <v>17.782800000000002</v>
      </c>
      <c r="R738" s="9"/>
      <c r="S738" s="11"/>
    </row>
    <row r="739" spans="1:19" ht="15.75">
      <c r="A739" s="13">
        <v>64009</v>
      </c>
      <c r="B739" s="8">
        <f>25.5883 * CHOOSE(CONTROL!$C$15, $D$11, 100%, $F$11)</f>
        <v>25.5883</v>
      </c>
      <c r="C739" s="8">
        <f>25.5934 * CHOOSE(CONTROL!$C$15, $D$11, 100%, $F$11)</f>
        <v>25.593399999999999</v>
      </c>
      <c r="D739" s="8">
        <f>25.5677 * CHOOSE( CONTROL!$C$15, $D$11, 100%, $F$11)</f>
        <v>25.567699999999999</v>
      </c>
      <c r="E739" s="12">
        <f>25.5766 * CHOOSE( CONTROL!$C$15, $D$11, 100%, $F$11)</f>
        <v>25.576599999999999</v>
      </c>
      <c r="F739" s="4">
        <f>26.2323 * CHOOSE(CONTROL!$C$15, $D$11, 100%, $F$11)</f>
        <v>26.232299999999999</v>
      </c>
      <c r="G739" s="8">
        <f>25.14 * CHOOSE( CONTROL!$C$15, $D$11, 100%, $F$11)</f>
        <v>25.14</v>
      </c>
      <c r="H739" s="4">
        <f>26.0261 * CHOOSE(CONTROL!$C$15, $D$11, 100%, $F$11)</f>
        <v>26.0261</v>
      </c>
      <c r="I739" s="8">
        <f>24.8135 * CHOOSE(CONTROL!$C$15, $D$11, 100%, $F$11)</f>
        <v>24.813500000000001</v>
      </c>
      <c r="J739" s="4">
        <f>24.707 * CHOOSE(CONTROL!$C$15, $D$11, 100%, $F$11)</f>
        <v>24.707000000000001</v>
      </c>
      <c r="K739" s="4"/>
      <c r="L739" s="9">
        <v>29.306000000000001</v>
      </c>
      <c r="M739" s="9">
        <v>12.063700000000001</v>
      </c>
      <c r="N739" s="9">
        <v>4.9444999999999997</v>
      </c>
      <c r="O739" s="9">
        <v>0.37409999999999999</v>
      </c>
      <c r="P739" s="9">
        <v>1.2927</v>
      </c>
      <c r="Q739" s="9">
        <v>19.688099999999999</v>
      </c>
      <c r="R739" s="9"/>
      <c r="S739" s="11"/>
    </row>
    <row r="740" spans="1:19" ht="15.75">
      <c r="A740" s="13">
        <v>64039</v>
      </c>
      <c r="B740" s="8">
        <f>25.9775 * CHOOSE(CONTROL!$C$15, $D$11, 100%, $F$11)</f>
        <v>25.977499999999999</v>
      </c>
      <c r="C740" s="8">
        <f>25.982 * CHOOSE(CONTROL!$C$15, $D$11, 100%, $F$11)</f>
        <v>25.981999999999999</v>
      </c>
      <c r="D740" s="8">
        <f>25.9931 * CHOOSE( CONTROL!$C$15, $D$11, 100%, $F$11)</f>
        <v>25.993099999999998</v>
      </c>
      <c r="E740" s="12">
        <f>25.9889 * CHOOSE( CONTROL!$C$15, $D$11, 100%, $F$11)</f>
        <v>25.988900000000001</v>
      </c>
      <c r="F740" s="4">
        <f>26.6671 * CHOOSE(CONTROL!$C$15, $D$11, 100%, $F$11)</f>
        <v>26.667100000000001</v>
      </c>
      <c r="G740" s="8">
        <f>25.5148 * CHOOSE( CONTROL!$C$15, $D$11, 100%, $F$11)</f>
        <v>25.514800000000001</v>
      </c>
      <c r="H740" s="4">
        <f>26.4537 * CHOOSE(CONTROL!$C$15, $D$11, 100%, $F$11)</f>
        <v>26.453700000000001</v>
      </c>
      <c r="I740" s="8">
        <f>25.1843 * CHOOSE(CONTROL!$C$15, $D$11, 100%, $F$11)</f>
        <v>25.1843</v>
      </c>
      <c r="J740" s="4">
        <f>25.0825 * CHOOSE(CONTROL!$C$15, $D$11, 100%, $F$11)</f>
        <v>25.0825</v>
      </c>
      <c r="K740" s="4"/>
      <c r="L740" s="9">
        <v>30.092199999999998</v>
      </c>
      <c r="M740" s="9">
        <v>11.6745</v>
      </c>
      <c r="N740" s="9">
        <v>4.7850000000000001</v>
      </c>
      <c r="O740" s="9">
        <v>0.36199999999999999</v>
      </c>
      <c r="P740" s="9">
        <v>1.1791</v>
      </c>
      <c r="Q740" s="9">
        <v>19.053000000000001</v>
      </c>
      <c r="R740" s="9"/>
      <c r="S740" s="11"/>
    </row>
    <row r="741" spans="1:19" ht="15.75">
      <c r="A741" s="13">
        <v>64070</v>
      </c>
      <c r="B741" s="8">
        <f>CHOOSE( CONTROL!$C$32, 26.6738, 26.6702) * CHOOSE(CONTROL!$C$15, $D$11, 100%, $F$11)</f>
        <v>26.6738</v>
      </c>
      <c r="C741" s="8">
        <f>CHOOSE( CONTROL!$C$32, 26.6818, 26.6782) * CHOOSE(CONTROL!$C$15, $D$11, 100%, $F$11)</f>
        <v>26.681799999999999</v>
      </c>
      <c r="D741" s="8">
        <f>CHOOSE( CONTROL!$C$32, 26.6878, 26.6842) * CHOOSE( CONTROL!$C$15, $D$11, 100%, $F$11)</f>
        <v>26.687799999999999</v>
      </c>
      <c r="E741" s="12">
        <f>CHOOSE( CONTROL!$C$32, 26.6844, 26.6808) * CHOOSE( CONTROL!$C$15, $D$11, 100%, $F$11)</f>
        <v>26.6844</v>
      </c>
      <c r="F741" s="4">
        <f>CHOOSE( CONTROL!$C$32, 27.3621, 27.3585) * CHOOSE(CONTROL!$C$15, $D$11, 100%, $F$11)</f>
        <v>27.362100000000002</v>
      </c>
      <c r="G741" s="8">
        <f>CHOOSE( CONTROL!$C$32, 26.1992, 26.1957) * CHOOSE( CONTROL!$C$15, $D$11, 100%, $F$11)</f>
        <v>26.199200000000001</v>
      </c>
      <c r="H741" s="4">
        <f>CHOOSE( CONTROL!$C$32, 27.1371, 27.1336) * CHOOSE(CONTROL!$C$15, $D$11, 100%, $F$11)</f>
        <v>27.1371</v>
      </c>
      <c r="I741" s="8">
        <f>CHOOSE( CONTROL!$C$32, 25.8572, 25.8538) * CHOOSE(CONTROL!$C$15, $D$11, 100%, $F$11)</f>
        <v>25.857199999999999</v>
      </c>
      <c r="J741" s="4">
        <f>CHOOSE( CONTROL!$C$32, 25.7543, 25.7509) * CHOOSE(CONTROL!$C$15, $D$11, 100%, $F$11)</f>
        <v>25.754300000000001</v>
      </c>
      <c r="K741" s="4"/>
      <c r="L741" s="9">
        <v>30.7165</v>
      </c>
      <c r="M741" s="9">
        <v>12.063700000000001</v>
      </c>
      <c r="N741" s="9">
        <v>4.9444999999999997</v>
      </c>
      <c r="O741" s="9">
        <v>0.37409999999999999</v>
      </c>
      <c r="P741" s="9">
        <v>1.2183999999999999</v>
      </c>
      <c r="Q741" s="9">
        <v>19.688099999999999</v>
      </c>
      <c r="R741" s="9"/>
      <c r="S741" s="11"/>
    </row>
    <row r="742" spans="1:19" ht="15.75">
      <c r="A742" s="13">
        <v>64100</v>
      </c>
      <c r="B742" s="8">
        <f>CHOOSE( CONTROL!$C$32, 26.2455, 26.2419) * CHOOSE(CONTROL!$C$15, $D$11, 100%, $F$11)</f>
        <v>26.2455</v>
      </c>
      <c r="C742" s="8">
        <f>CHOOSE( CONTROL!$C$32, 26.2535, 26.25) * CHOOSE(CONTROL!$C$15, $D$11, 100%, $F$11)</f>
        <v>26.253499999999999</v>
      </c>
      <c r="D742" s="8">
        <f>CHOOSE( CONTROL!$C$32, 26.2598, 26.2562) * CHOOSE( CONTROL!$C$15, $D$11, 100%, $F$11)</f>
        <v>26.259799999999998</v>
      </c>
      <c r="E742" s="12">
        <f>CHOOSE( CONTROL!$C$32, 26.2563, 26.2527) * CHOOSE( CONTROL!$C$15, $D$11, 100%, $F$11)</f>
        <v>26.2563</v>
      </c>
      <c r="F742" s="4">
        <f>CHOOSE( CONTROL!$C$32, 26.9338, 26.9302) * CHOOSE(CONTROL!$C$15, $D$11, 100%, $F$11)</f>
        <v>26.933800000000002</v>
      </c>
      <c r="G742" s="8">
        <f>CHOOSE( CONTROL!$C$32, 25.7785, 25.775) * CHOOSE( CONTROL!$C$15, $D$11, 100%, $F$11)</f>
        <v>25.778500000000001</v>
      </c>
      <c r="H742" s="4">
        <f>CHOOSE( CONTROL!$C$32, 26.7159, 26.7124) * CHOOSE(CONTROL!$C$15, $D$11, 100%, $F$11)</f>
        <v>26.715900000000001</v>
      </c>
      <c r="I742" s="8">
        <f>CHOOSE( CONTROL!$C$32, 25.4444, 25.4409) * CHOOSE(CONTROL!$C$15, $D$11, 100%, $F$11)</f>
        <v>25.444400000000002</v>
      </c>
      <c r="J742" s="4">
        <f>CHOOSE( CONTROL!$C$32, 25.3403, 25.3369) * CHOOSE(CONTROL!$C$15, $D$11, 100%, $F$11)</f>
        <v>25.340299999999999</v>
      </c>
      <c r="K742" s="4"/>
      <c r="L742" s="9">
        <v>29.7257</v>
      </c>
      <c r="M742" s="9">
        <v>11.6745</v>
      </c>
      <c r="N742" s="9">
        <v>4.7850000000000001</v>
      </c>
      <c r="O742" s="9">
        <v>0.36199999999999999</v>
      </c>
      <c r="P742" s="9">
        <v>1.1791</v>
      </c>
      <c r="Q742" s="9">
        <v>19.053000000000001</v>
      </c>
      <c r="R742" s="9"/>
      <c r="S742" s="11"/>
    </row>
    <row r="743" spans="1:19" ht="15.75">
      <c r="A743" s="13">
        <v>64131</v>
      </c>
      <c r="B743" s="8">
        <f>CHOOSE( CONTROL!$C$32, 27.3733, 27.3698) * CHOOSE(CONTROL!$C$15, $D$11, 100%, $F$11)</f>
        <v>27.3733</v>
      </c>
      <c r="C743" s="8">
        <f>CHOOSE( CONTROL!$C$32, 27.3813, 27.3778) * CHOOSE(CONTROL!$C$15, $D$11, 100%, $F$11)</f>
        <v>27.3813</v>
      </c>
      <c r="D743" s="8">
        <f>CHOOSE( CONTROL!$C$32, 27.3879, 27.3844) * CHOOSE( CONTROL!$C$15, $D$11, 100%, $F$11)</f>
        <v>27.387899999999998</v>
      </c>
      <c r="E743" s="12">
        <f>CHOOSE( CONTROL!$C$32, 27.3843, 27.3808) * CHOOSE( CONTROL!$C$15, $D$11, 100%, $F$11)</f>
        <v>27.3843</v>
      </c>
      <c r="F743" s="4">
        <f>CHOOSE( CONTROL!$C$32, 28.0616, 28.058) * CHOOSE(CONTROL!$C$15, $D$11, 100%, $F$11)</f>
        <v>28.061599999999999</v>
      </c>
      <c r="G743" s="8">
        <f>CHOOSE( CONTROL!$C$32, 26.8881, 26.8845) * CHOOSE( CONTROL!$C$15, $D$11, 100%, $F$11)</f>
        <v>26.888100000000001</v>
      </c>
      <c r="H743" s="4">
        <f>CHOOSE( CONTROL!$C$32, 27.825, 27.8215) * CHOOSE(CONTROL!$C$15, $D$11, 100%, $F$11)</f>
        <v>27.824999999999999</v>
      </c>
      <c r="I743" s="8">
        <f>CHOOSE( CONTROL!$C$32, 26.5366, 26.5332) * CHOOSE(CONTROL!$C$15, $D$11, 100%, $F$11)</f>
        <v>26.5366</v>
      </c>
      <c r="J743" s="4">
        <f>CHOOSE( CONTROL!$C$32, 26.4306, 26.4271) * CHOOSE(CONTROL!$C$15, $D$11, 100%, $F$11)</f>
        <v>26.430599999999998</v>
      </c>
      <c r="K743" s="4"/>
      <c r="L743" s="9">
        <v>30.7165</v>
      </c>
      <c r="M743" s="9">
        <v>12.063700000000001</v>
      </c>
      <c r="N743" s="9">
        <v>4.9444999999999997</v>
      </c>
      <c r="O743" s="9">
        <v>0.37409999999999999</v>
      </c>
      <c r="P743" s="9">
        <v>1.2183999999999999</v>
      </c>
      <c r="Q743" s="9">
        <v>19.688099999999999</v>
      </c>
      <c r="R743" s="9"/>
      <c r="S743" s="11"/>
    </row>
    <row r="744" spans="1:19" ht="15.75">
      <c r="A744" s="13">
        <v>64162</v>
      </c>
      <c r="B744" s="8">
        <f>CHOOSE( CONTROL!$C$32, 25.2631, 25.2595) * CHOOSE(CONTROL!$C$15, $D$11, 100%, $F$11)</f>
        <v>25.263100000000001</v>
      </c>
      <c r="C744" s="8">
        <f>CHOOSE( CONTROL!$C$32, 25.2711, 25.2675) * CHOOSE(CONTROL!$C$15, $D$11, 100%, $F$11)</f>
        <v>25.271100000000001</v>
      </c>
      <c r="D744" s="8">
        <f>CHOOSE( CONTROL!$C$32, 25.2778, 25.2742) * CHOOSE( CONTROL!$C$15, $D$11, 100%, $F$11)</f>
        <v>25.277799999999999</v>
      </c>
      <c r="E744" s="12">
        <f>CHOOSE( CONTROL!$C$32, 25.2742, 25.2706) * CHOOSE( CONTROL!$C$15, $D$11, 100%, $F$11)</f>
        <v>25.2742</v>
      </c>
      <c r="F744" s="4">
        <f>CHOOSE( CONTROL!$C$32, 25.9513, 25.9478) * CHOOSE(CONTROL!$C$15, $D$11, 100%, $F$11)</f>
        <v>25.9513</v>
      </c>
      <c r="G744" s="8">
        <f>CHOOSE( CONTROL!$C$32, 24.8129, 24.8094) * CHOOSE( CONTROL!$C$15, $D$11, 100%, $F$11)</f>
        <v>24.812899999999999</v>
      </c>
      <c r="H744" s="4">
        <f>CHOOSE( CONTROL!$C$32, 25.7498, 25.7463) * CHOOSE(CONTROL!$C$15, $D$11, 100%, $F$11)</f>
        <v>25.7498</v>
      </c>
      <c r="I744" s="8">
        <f>CHOOSE( CONTROL!$C$32, 24.4961, 24.4926) * CHOOSE(CONTROL!$C$15, $D$11, 100%, $F$11)</f>
        <v>24.496099999999998</v>
      </c>
      <c r="J744" s="4">
        <f>CHOOSE( CONTROL!$C$32, 24.3906, 24.3871) * CHOOSE(CONTROL!$C$15, $D$11, 100%, $F$11)</f>
        <v>24.390599999999999</v>
      </c>
      <c r="K744" s="4"/>
      <c r="L744" s="9">
        <v>30.7165</v>
      </c>
      <c r="M744" s="9">
        <v>12.063700000000001</v>
      </c>
      <c r="N744" s="9">
        <v>4.9444999999999997</v>
      </c>
      <c r="O744" s="9">
        <v>0.37409999999999999</v>
      </c>
      <c r="P744" s="9">
        <v>1.2183999999999999</v>
      </c>
      <c r="Q744" s="9">
        <v>19.688099999999999</v>
      </c>
      <c r="R744" s="9"/>
      <c r="S744" s="11"/>
    </row>
    <row r="745" spans="1:19" ht="15.75">
      <c r="A745" s="13">
        <v>64192</v>
      </c>
      <c r="B745" s="8">
        <f>CHOOSE( CONTROL!$C$32, 24.7346, 24.7311) * CHOOSE(CONTROL!$C$15, $D$11, 100%, $F$11)</f>
        <v>24.7346</v>
      </c>
      <c r="C745" s="8">
        <f>CHOOSE( CONTROL!$C$32, 24.7427, 24.7391) * CHOOSE(CONTROL!$C$15, $D$11, 100%, $F$11)</f>
        <v>24.742699999999999</v>
      </c>
      <c r="D745" s="8">
        <f>CHOOSE( CONTROL!$C$32, 24.7493, 24.7458) * CHOOSE( CONTROL!$C$15, $D$11, 100%, $F$11)</f>
        <v>24.749300000000002</v>
      </c>
      <c r="E745" s="12">
        <f>CHOOSE( CONTROL!$C$32, 24.7457, 24.7422) * CHOOSE( CONTROL!$C$15, $D$11, 100%, $F$11)</f>
        <v>24.745699999999999</v>
      </c>
      <c r="F745" s="4">
        <f>CHOOSE( CONTROL!$C$32, 25.4229, 25.4193) * CHOOSE(CONTROL!$C$15, $D$11, 100%, $F$11)</f>
        <v>25.422899999999998</v>
      </c>
      <c r="G745" s="8">
        <f>CHOOSE( CONTROL!$C$32, 24.2933, 24.2898) * CHOOSE( CONTROL!$C$15, $D$11, 100%, $F$11)</f>
        <v>24.293299999999999</v>
      </c>
      <c r="H745" s="4">
        <f>CHOOSE( CONTROL!$C$32, 25.2301, 25.2266) * CHOOSE(CONTROL!$C$15, $D$11, 100%, $F$11)</f>
        <v>25.2301</v>
      </c>
      <c r="I745" s="8">
        <f>CHOOSE( CONTROL!$C$32, 23.985, 23.9815) * CHOOSE(CONTROL!$C$15, $D$11, 100%, $F$11)</f>
        <v>23.984999999999999</v>
      </c>
      <c r="J745" s="4">
        <f>CHOOSE( CONTROL!$C$32, 23.8797, 23.8763) * CHOOSE(CONTROL!$C$15, $D$11, 100%, $F$11)</f>
        <v>23.8797</v>
      </c>
      <c r="K745" s="4"/>
      <c r="L745" s="9">
        <v>29.7257</v>
      </c>
      <c r="M745" s="9">
        <v>11.6745</v>
      </c>
      <c r="N745" s="9">
        <v>4.7850000000000001</v>
      </c>
      <c r="O745" s="9">
        <v>0.36199999999999999</v>
      </c>
      <c r="P745" s="9">
        <v>1.1791</v>
      </c>
      <c r="Q745" s="9">
        <v>19.053000000000001</v>
      </c>
      <c r="R745" s="9"/>
      <c r="S745" s="11"/>
    </row>
    <row r="746" spans="1:19" ht="15.75">
      <c r="A746" s="13">
        <v>64223</v>
      </c>
      <c r="B746" s="8">
        <f>25.8266 * CHOOSE(CONTROL!$C$15, $D$11, 100%, $F$11)</f>
        <v>25.826599999999999</v>
      </c>
      <c r="C746" s="8">
        <f>25.8319 * CHOOSE(CONTROL!$C$15, $D$11, 100%, $F$11)</f>
        <v>25.831900000000001</v>
      </c>
      <c r="D746" s="8">
        <f>25.8435 * CHOOSE( CONTROL!$C$15, $D$11, 100%, $F$11)</f>
        <v>25.843499999999999</v>
      </c>
      <c r="E746" s="12">
        <f>25.8391 * CHOOSE( CONTROL!$C$15, $D$11, 100%, $F$11)</f>
        <v>25.839099999999998</v>
      </c>
      <c r="F746" s="4">
        <f>26.5165 * CHOOSE(CONTROL!$C$15, $D$11, 100%, $F$11)</f>
        <v>26.516500000000001</v>
      </c>
      <c r="G746" s="8">
        <f>25.3683 * CHOOSE( CONTROL!$C$15, $D$11, 100%, $F$11)</f>
        <v>25.368300000000001</v>
      </c>
      <c r="H746" s="4">
        <f>26.3056 * CHOOSE(CONTROL!$C$15, $D$11, 100%, $F$11)</f>
        <v>26.305599999999998</v>
      </c>
      <c r="I746" s="8">
        <f>25.0435 * CHOOSE(CONTROL!$C$15, $D$11, 100%, $F$11)</f>
        <v>25.043500000000002</v>
      </c>
      <c r="J746" s="4">
        <f>24.937 * CHOOSE(CONTROL!$C$15, $D$11, 100%, $F$11)</f>
        <v>24.937000000000001</v>
      </c>
      <c r="K746" s="4"/>
      <c r="L746" s="9">
        <v>31.095300000000002</v>
      </c>
      <c r="M746" s="9">
        <v>12.063700000000001</v>
      </c>
      <c r="N746" s="9">
        <v>4.9444999999999997</v>
      </c>
      <c r="O746" s="9">
        <v>0.37409999999999999</v>
      </c>
      <c r="P746" s="9">
        <v>1.2183999999999999</v>
      </c>
      <c r="Q746" s="9">
        <v>19.688099999999999</v>
      </c>
      <c r="R746" s="9"/>
      <c r="S746" s="11"/>
    </row>
    <row r="747" spans="1:19" ht="15.75">
      <c r="A747" s="13">
        <v>64253</v>
      </c>
      <c r="B747" s="8">
        <f>27.8514 * CHOOSE(CONTROL!$C$15, $D$11, 100%, $F$11)</f>
        <v>27.851400000000002</v>
      </c>
      <c r="C747" s="8">
        <f>27.8565 * CHOOSE(CONTROL!$C$15, $D$11, 100%, $F$11)</f>
        <v>27.8565</v>
      </c>
      <c r="D747" s="8">
        <f>27.8334 * CHOOSE( CONTROL!$C$15, $D$11, 100%, $F$11)</f>
        <v>27.833400000000001</v>
      </c>
      <c r="E747" s="12">
        <f>27.8413 * CHOOSE( CONTROL!$C$15, $D$11, 100%, $F$11)</f>
        <v>27.8413</v>
      </c>
      <c r="F747" s="4">
        <f>28.4963 * CHOOSE(CONTROL!$C$15, $D$11, 100%, $F$11)</f>
        <v>28.496300000000002</v>
      </c>
      <c r="G747" s="8">
        <f>27.3707 * CHOOSE( CONTROL!$C$15, $D$11, 100%, $F$11)</f>
        <v>27.370699999999999</v>
      </c>
      <c r="H747" s="4">
        <f>28.2525 * CHOOSE(CONTROL!$C$15, $D$11, 100%, $F$11)</f>
        <v>28.252500000000001</v>
      </c>
      <c r="I747" s="8">
        <f>27.0269 * CHOOSE(CONTROL!$C$15, $D$11, 100%, $F$11)</f>
        <v>27.026900000000001</v>
      </c>
      <c r="J747" s="4">
        <f>26.8947 * CHOOSE(CONTROL!$C$15, $D$11, 100%, $F$11)</f>
        <v>26.8947</v>
      </c>
      <c r="K747" s="4"/>
      <c r="L747" s="9">
        <v>28.360600000000002</v>
      </c>
      <c r="M747" s="9">
        <v>11.6745</v>
      </c>
      <c r="N747" s="9">
        <v>4.7850000000000001</v>
      </c>
      <c r="O747" s="9">
        <v>0.36199999999999999</v>
      </c>
      <c r="P747" s="9">
        <v>1.2509999999999999</v>
      </c>
      <c r="Q747" s="9">
        <v>19.053000000000001</v>
      </c>
      <c r="R747" s="9"/>
      <c r="S747" s="11"/>
    </row>
    <row r="748" spans="1:19" ht="15.75">
      <c r="A748" s="13">
        <v>64284</v>
      </c>
      <c r="B748" s="8">
        <f>27.8008 * CHOOSE(CONTROL!$C$15, $D$11, 100%, $F$11)</f>
        <v>27.800799999999999</v>
      </c>
      <c r="C748" s="8">
        <f>27.8059 * CHOOSE(CONTROL!$C$15, $D$11, 100%, $F$11)</f>
        <v>27.805900000000001</v>
      </c>
      <c r="D748" s="8">
        <f>27.7842 * CHOOSE( CONTROL!$C$15, $D$11, 100%, $F$11)</f>
        <v>27.784199999999998</v>
      </c>
      <c r="E748" s="12">
        <f>27.7916 * CHOOSE( CONTROL!$C$15, $D$11, 100%, $F$11)</f>
        <v>27.791599999999999</v>
      </c>
      <c r="F748" s="4">
        <f>28.4457 * CHOOSE(CONTROL!$C$15, $D$11, 100%, $F$11)</f>
        <v>28.445699999999999</v>
      </c>
      <c r="G748" s="8">
        <f>27.3219 * CHOOSE( CONTROL!$C$15, $D$11, 100%, $F$11)</f>
        <v>27.321899999999999</v>
      </c>
      <c r="H748" s="4">
        <f>28.2027 * CHOOSE(CONTROL!$C$15, $D$11, 100%, $F$11)</f>
        <v>28.2027</v>
      </c>
      <c r="I748" s="8">
        <f>26.9823 * CHOOSE(CONTROL!$C$15, $D$11, 100%, $F$11)</f>
        <v>26.982299999999999</v>
      </c>
      <c r="J748" s="4">
        <f>26.8458 * CHOOSE(CONTROL!$C$15, $D$11, 100%, $F$11)</f>
        <v>26.845800000000001</v>
      </c>
      <c r="K748" s="4"/>
      <c r="L748" s="9">
        <v>29.306000000000001</v>
      </c>
      <c r="M748" s="9">
        <v>12.063700000000001</v>
      </c>
      <c r="N748" s="9">
        <v>4.9444999999999997</v>
      </c>
      <c r="O748" s="9">
        <v>0.37409999999999999</v>
      </c>
      <c r="P748" s="9">
        <v>1.2927</v>
      </c>
      <c r="Q748" s="9">
        <v>19.688099999999999</v>
      </c>
      <c r="R748" s="9"/>
      <c r="S748" s="11"/>
    </row>
    <row r="749" spans="1:19" ht="15.75">
      <c r="A749" s="13">
        <v>64315</v>
      </c>
      <c r="B749" s="8">
        <f>28.8621 * CHOOSE(CONTROL!$C$15, $D$11, 100%, $F$11)</f>
        <v>28.862100000000002</v>
      </c>
      <c r="C749" s="8">
        <f>28.8673 * CHOOSE(CONTROL!$C$15, $D$11, 100%, $F$11)</f>
        <v>28.8673</v>
      </c>
      <c r="D749" s="8">
        <f>28.8414 * CHOOSE( CONTROL!$C$15, $D$11, 100%, $F$11)</f>
        <v>28.8414</v>
      </c>
      <c r="E749" s="12">
        <f>28.8503 * CHOOSE( CONTROL!$C$15, $D$11, 100%, $F$11)</f>
        <v>28.850300000000001</v>
      </c>
      <c r="F749" s="4">
        <f>29.5062 * CHOOSE(CONTROL!$C$15, $D$11, 100%, $F$11)</f>
        <v>29.5062</v>
      </c>
      <c r="G749" s="8">
        <f>28.3594 * CHOOSE( CONTROL!$C$15, $D$11, 100%, $F$11)</f>
        <v>28.359400000000001</v>
      </c>
      <c r="H749" s="4">
        <f>29.2457 * CHOOSE(CONTROL!$C$15, $D$11, 100%, $F$11)</f>
        <v>29.245699999999999</v>
      </c>
      <c r="I749" s="8">
        <f>27.9794 * CHOOSE(CONTROL!$C$15, $D$11, 100%, $F$11)</f>
        <v>27.979399999999998</v>
      </c>
      <c r="J749" s="4">
        <f>27.8719 * CHOOSE(CONTROL!$C$15, $D$11, 100%, $F$11)</f>
        <v>27.8719</v>
      </c>
      <c r="K749" s="4"/>
      <c r="L749" s="9">
        <v>29.306000000000001</v>
      </c>
      <c r="M749" s="9">
        <v>12.063700000000001</v>
      </c>
      <c r="N749" s="9">
        <v>4.9444999999999997</v>
      </c>
      <c r="O749" s="9">
        <v>0.37409999999999999</v>
      </c>
      <c r="P749" s="9">
        <v>1.2927</v>
      </c>
      <c r="Q749" s="9">
        <v>19.688099999999999</v>
      </c>
      <c r="R749" s="9"/>
      <c r="S749" s="11"/>
    </row>
    <row r="750" spans="1:19" ht="15.75">
      <c r="A750" s="13">
        <v>64344</v>
      </c>
      <c r="B750" s="8">
        <f>26.9982 * CHOOSE(CONTROL!$C$15, $D$11, 100%, $F$11)</f>
        <v>26.998200000000001</v>
      </c>
      <c r="C750" s="8">
        <f>27.0033 * CHOOSE(CONTROL!$C$15, $D$11, 100%, $F$11)</f>
        <v>27.003299999999999</v>
      </c>
      <c r="D750" s="8">
        <f>26.9777 * CHOOSE( CONTROL!$C$15, $D$11, 100%, $F$11)</f>
        <v>26.977699999999999</v>
      </c>
      <c r="E750" s="12">
        <f>26.9865 * CHOOSE( CONTROL!$C$15, $D$11, 100%, $F$11)</f>
        <v>26.986499999999999</v>
      </c>
      <c r="F750" s="4">
        <f>27.6422 * CHOOSE(CONTROL!$C$15, $D$11, 100%, $F$11)</f>
        <v>27.642199999999999</v>
      </c>
      <c r="G750" s="8">
        <f>26.5266 * CHOOSE( CONTROL!$C$15, $D$11, 100%, $F$11)</f>
        <v>26.526599999999998</v>
      </c>
      <c r="H750" s="4">
        <f>27.4126 * CHOOSE(CONTROL!$C$15, $D$11, 100%, $F$11)</f>
        <v>27.412600000000001</v>
      </c>
      <c r="I750" s="8">
        <f>26.1774 * CHOOSE(CONTROL!$C$15, $D$11, 100%, $F$11)</f>
        <v>26.177399999999999</v>
      </c>
      <c r="J750" s="4">
        <f>26.07 * CHOOSE(CONTROL!$C$15, $D$11, 100%, $F$11)</f>
        <v>26.07</v>
      </c>
      <c r="K750" s="4"/>
      <c r="L750" s="9">
        <v>27.415299999999998</v>
      </c>
      <c r="M750" s="9">
        <v>11.285299999999999</v>
      </c>
      <c r="N750" s="9">
        <v>4.6254999999999997</v>
      </c>
      <c r="O750" s="9">
        <v>0.34989999999999999</v>
      </c>
      <c r="P750" s="9">
        <v>1.2093</v>
      </c>
      <c r="Q750" s="9">
        <v>18.417899999999999</v>
      </c>
      <c r="R750" s="9"/>
      <c r="S750" s="11"/>
    </row>
    <row r="751" spans="1:19" ht="15.75">
      <c r="A751" s="13">
        <v>64375</v>
      </c>
      <c r="B751" s="8">
        <f>26.4241 * CHOOSE(CONTROL!$C$15, $D$11, 100%, $F$11)</f>
        <v>26.424099999999999</v>
      </c>
      <c r="C751" s="8">
        <f>26.4292 * CHOOSE(CONTROL!$C$15, $D$11, 100%, $F$11)</f>
        <v>26.429200000000002</v>
      </c>
      <c r="D751" s="8">
        <f>26.4036 * CHOOSE( CONTROL!$C$15, $D$11, 100%, $F$11)</f>
        <v>26.403600000000001</v>
      </c>
      <c r="E751" s="12">
        <f>26.4124 * CHOOSE( CONTROL!$C$15, $D$11, 100%, $F$11)</f>
        <v>26.412400000000002</v>
      </c>
      <c r="F751" s="4">
        <f>27.0681 * CHOOSE(CONTROL!$C$15, $D$11, 100%, $F$11)</f>
        <v>27.068100000000001</v>
      </c>
      <c r="G751" s="8">
        <f>25.962 * CHOOSE( CONTROL!$C$15, $D$11, 100%, $F$11)</f>
        <v>25.962</v>
      </c>
      <c r="H751" s="4">
        <f>26.8481 * CHOOSE(CONTROL!$C$15, $D$11, 100%, $F$11)</f>
        <v>26.848099999999999</v>
      </c>
      <c r="I751" s="8">
        <f>25.6219 * CHOOSE(CONTROL!$C$15, $D$11, 100%, $F$11)</f>
        <v>25.6219</v>
      </c>
      <c r="J751" s="4">
        <f>25.515 * CHOOSE(CONTROL!$C$15, $D$11, 100%, $F$11)</f>
        <v>25.515000000000001</v>
      </c>
      <c r="K751" s="4"/>
      <c r="L751" s="9">
        <v>29.306000000000001</v>
      </c>
      <c r="M751" s="9">
        <v>12.063700000000001</v>
      </c>
      <c r="N751" s="9">
        <v>4.9444999999999997</v>
      </c>
      <c r="O751" s="9">
        <v>0.37409999999999999</v>
      </c>
      <c r="P751" s="9">
        <v>1.2927</v>
      </c>
      <c r="Q751" s="9">
        <v>19.688099999999999</v>
      </c>
      <c r="R751" s="9"/>
      <c r="S751" s="11"/>
    </row>
    <row r="752" spans="1:19" ht="15.75">
      <c r="A752" s="13">
        <v>64405</v>
      </c>
      <c r="B752" s="8">
        <f>26.826 * CHOOSE(CONTROL!$C$15, $D$11, 100%, $F$11)</f>
        <v>26.826000000000001</v>
      </c>
      <c r="C752" s="8">
        <f>26.8306 * CHOOSE(CONTROL!$C$15, $D$11, 100%, $F$11)</f>
        <v>26.8306</v>
      </c>
      <c r="D752" s="8">
        <f>26.8416 * CHOOSE( CONTROL!$C$15, $D$11, 100%, $F$11)</f>
        <v>26.8416</v>
      </c>
      <c r="E752" s="12">
        <f>26.8374 * CHOOSE( CONTROL!$C$15, $D$11, 100%, $F$11)</f>
        <v>26.837399999999999</v>
      </c>
      <c r="F752" s="4">
        <f>27.5157 * CHOOSE(CONTROL!$C$15, $D$11, 100%, $F$11)</f>
        <v>27.515699999999999</v>
      </c>
      <c r="G752" s="8">
        <f>26.3493 * CHOOSE( CONTROL!$C$15, $D$11, 100%, $F$11)</f>
        <v>26.349299999999999</v>
      </c>
      <c r="H752" s="4">
        <f>27.2882 * CHOOSE(CONTROL!$C$15, $D$11, 100%, $F$11)</f>
        <v>27.2882</v>
      </c>
      <c r="I752" s="8">
        <f>26.005 * CHOOSE(CONTROL!$C$15, $D$11, 100%, $F$11)</f>
        <v>26.004999999999999</v>
      </c>
      <c r="J752" s="4">
        <f>25.9028 * CHOOSE(CONTROL!$C$15, $D$11, 100%, $F$11)</f>
        <v>25.902799999999999</v>
      </c>
      <c r="K752" s="4"/>
      <c r="L752" s="9">
        <v>30.092199999999998</v>
      </c>
      <c r="M752" s="9">
        <v>11.6745</v>
      </c>
      <c r="N752" s="9">
        <v>4.7850000000000001</v>
      </c>
      <c r="O752" s="9">
        <v>0.36199999999999999</v>
      </c>
      <c r="P752" s="9">
        <v>1.1791</v>
      </c>
      <c r="Q752" s="9">
        <v>19.053000000000001</v>
      </c>
      <c r="R752" s="9"/>
      <c r="S752" s="11"/>
    </row>
    <row r="753" spans="1:19" ht="15.75">
      <c r="A753" s="13">
        <v>64436</v>
      </c>
      <c r="B753" s="8">
        <f>CHOOSE( CONTROL!$C$32, 27.5449, 27.5414) * CHOOSE(CONTROL!$C$15, $D$11, 100%, $F$11)</f>
        <v>27.544899999999998</v>
      </c>
      <c r="C753" s="8">
        <f>CHOOSE( CONTROL!$C$32, 27.553, 27.5494) * CHOOSE(CONTROL!$C$15, $D$11, 100%, $F$11)</f>
        <v>27.553000000000001</v>
      </c>
      <c r="D753" s="8">
        <f>CHOOSE( CONTROL!$C$32, 27.559, 27.5554) * CHOOSE( CONTROL!$C$15, $D$11, 100%, $F$11)</f>
        <v>27.559000000000001</v>
      </c>
      <c r="E753" s="12">
        <f>CHOOSE( CONTROL!$C$32, 27.5556, 27.552) * CHOOSE( CONTROL!$C$15, $D$11, 100%, $F$11)</f>
        <v>27.555599999999998</v>
      </c>
      <c r="F753" s="4">
        <f>CHOOSE( CONTROL!$C$32, 28.2332, 28.2297) * CHOOSE(CONTROL!$C$15, $D$11, 100%, $F$11)</f>
        <v>28.2332</v>
      </c>
      <c r="G753" s="8">
        <f>CHOOSE( CONTROL!$C$32, 27.056, 27.0525) * CHOOSE( CONTROL!$C$15, $D$11, 100%, $F$11)</f>
        <v>27.056000000000001</v>
      </c>
      <c r="H753" s="4">
        <f>CHOOSE( CONTROL!$C$32, 27.9938, 27.9903) * CHOOSE(CONTROL!$C$15, $D$11, 100%, $F$11)</f>
        <v>27.9938</v>
      </c>
      <c r="I753" s="8">
        <f>CHOOSE( CONTROL!$C$32, 26.6998, 26.6964) * CHOOSE(CONTROL!$C$15, $D$11, 100%, $F$11)</f>
        <v>26.6998</v>
      </c>
      <c r="J753" s="4">
        <f>CHOOSE( CONTROL!$C$32, 26.5965, 26.593) * CHOOSE(CONTROL!$C$15, $D$11, 100%, $F$11)</f>
        <v>26.596499999999999</v>
      </c>
      <c r="K753" s="4"/>
      <c r="L753" s="9">
        <v>30.7165</v>
      </c>
      <c r="M753" s="9">
        <v>12.063700000000001</v>
      </c>
      <c r="N753" s="9">
        <v>4.9444999999999997</v>
      </c>
      <c r="O753" s="9">
        <v>0.37409999999999999</v>
      </c>
      <c r="P753" s="9">
        <v>1.2183999999999999</v>
      </c>
      <c r="Q753" s="9">
        <v>19.688099999999999</v>
      </c>
      <c r="R753" s="9"/>
      <c r="S753" s="11"/>
    </row>
    <row r="754" spans="1:19" ht="15.75">
      <c r="A754" s="13">
        <v>64466</v>
      </c>
      <c r="B754" s="8">
        <f>CHOOSE( CONTROL!$C$32, 27.1027, 27.0991) * CHOOSE(CONTROL!$C$15, $D$11, 100%, $F$11)</f>
        <v>27.102699999999999</v>
      </c>
      <c r="C754" s="8">
        <f>CHOOSE( CONTROL!$C$32, 27.1107, 27.1071) * CHOOSE(CONTROL!$C$15, $D$11, 100%, $F$11)</f>
        <v>27.110700000000001</v>
      </c>
      <c r="D754" s="8">
        <f>CHOOSE( CONTROL!$C$32, 27.117, 27.1134) * CHOOSE( CONTROL!$C$15, $D$11, 100%, $F$11)</f>
        <v>27.117000000000001</v>
      </c>
      <c r="E754" s="12">
        <f>CHOOSE( CONTROL!$C$32, 27.1135, 27.1099) * CHOOSE( CONTROL!$C$15, $D$11, 100%, $F$11)</f>
        <v>27.113499999999998</v>
      </c>
      <c r="F754" s="4">
        <f>CHOOSE( CONTROL!$C$32, 27.7909, 27.7874) * CHOOSE(CONTROL!$C$15, $D$11, 100%, $F$11)</f>
        <v>27.790900000000001</v>
      </c>
      <c r="G754" s="8">
        <f>CHOOSE( CONTROL!$C$32, 26.6214, 26.6179) * CHOOSE( CONTROL!$C$15, $D$11, 100%, $F$11)</f>
        <v>26.621400000000001</v>
      </c>
      <c r="H754" s="4">
        <f>CHOOSE( CONTROL!$C$32, 27.5589, 27.5554) * CHOOSE(CONTROL!$C$15, $D$11, 100%, $F$11)</f>
        <v>27.558900000000001</v>
      </c>
      <c r="I754" s="8">
        <f>CHOOSE( CONTROL!$C$32, 26.2734, 26.2699) * CHOOSE(CONTROL!$C$15, $D$11, 100%, $F$11)</f>
        <v>26.273399999999999</v>
      </c>
      <c r="J754" s="4">
        <f>CHOOSE( CONTROL!$C$32, 26.1689, 26.1655) * CHOOSE(CONTROL!$C$15, $D$11, 100%, $F$11)</f>
        <v>26.168900000000001</v>
      </c>
      <c r="K754" s="4"/>
      <c r="L754" s="9">
        <v>29.7257</v>
      </c>
      <c r="M754" s="9">
        <v>11.6745</v>
      </c>
      <c r="N754" s="9">
        <v>4.7850000000000001</v>
      </c>
      <c r="O754" s="9">
        <v>0.36199999999999999</v>
      </c>
      <c r="P754" s="9">
        <v>1.1791</v>
      </c>
      <c r="Q754" s="9">
        <v>19.053000000000001</v>
      </c>
      <c r="R754" s="9"/>
      <c r="S754" s="11"/>
    </row>
    <row r="755" spans="1:19" ht="15.75">
      <c r="A755" s="13">
        <v>64497</v>
      </c>
      <c r="B755" s="8">
        <f>CHOOSE( CONTROL!$C$32, 28.2674, 28.2638) * CHOOSE(CONTROL!$C$15, $D$11, 100%, $F$11)</f>
        <v>28.267399999999999</v>
      </c>
      <c r="C755" s="8">
        <f>CHOOSE( CONTROL!$C$32, 28.2754, 28.2718) * CHOOSE(CONTROL!$C$15, $D$11, 100%, $F$11)</f>
        <v>28.275400000000001</v>
      </c>
      <c r="D755" s="8">
        <f>CHOOSE( CONTROL!$C$32, 28.282, 28.2784) * CHOOSE( CONTROL!$C$15, $D$11, 100%, $F$11)</f>
        <v>28.282</v>
      </c>
      <c r="E755" s="12">
        <f>CHOOSE( CONTROL!$C$32, 28.2784, 28.2748) * CHOOSE( CONTROL!$C$15, $D$11, 100%, $F$11)</f>
        <v>28.278400000000001</v>
      </c>
      <c r="F755" s="4">
        <f>CHOOSE( CONTROL!$C$32, 28.9556, 28.9521) * CHOOSE(CONTROL!$C$15, $D$11, 100%, $F$11)</f>
        <v>28.9556</v>
      </c>
      <c r="G755" s="8">
        <f>CHOOSE( CONTROL!$C$32, 27.7673, 27.7638) * CHOOSE( CONTROL!$C$15, $D$11, 100%, $F$11)</f>
        <v>27.767299999999999</v>
      </c>
      <c r="H755" s="4">
        <f>CHOOSE( CONTROL!$C$32, 28.7043, 28.7007) * CHOOSE(CONTROL!$C$15, $D$11, 100%, $F$11)</f>
        <v>28.7043</v>
      </c>
      <c r="I755" s="8">
        <f>CHOOSE( CONTROL!$C$32, 27.4013, 27.3979) * CHOOSE(CONTROL!$C$15, $D$11, 100%, $F$11)</f>
        <v>27.401299999999999</v>
      </c>
      <c r="J755" s="4">
        <f>CHOOSE( CONTROL!$C$32, 27.2948, 27.2914) * CHOOSE(CONTROL!$C$15, $D$11, 100%, $F$11)</f>
        <v>27.294799999999999</v>
      </c>
      <c r="K755" s="4"/>
      <c r="L755" s="9">
        <v>30.7165</v>
      </c>
      <c r="M755" s="9">
        <v>12.063700000000001</v>
      </c>
      <c r="N755" s="9">
        <v>4.9444999999999997</v>
      </c>
      <c r="O755" s="9">
        <v>0.37409999999999999</v>
      </c>
      <c r="P755" s="9">
        <v>1.2183999999999999</v>
      </c>
      <c r="Q755" s="9">
        <v>19.688099999999999</v>
      </c>
      <c r="R755" s="9"/>
      <c r="S755" s="11"/>
    </row>
    <row r="756" spans="1:19" ht="15.75">
      <c r="A756" s="13">
        <v>64528</v>
      </c>
      <c r="B756" s="8">
        <f>CHOOSE( CONTROL!$C$32, 26.0881, 26.0845) * CHOOSE(CONTROL!$C$15, $D$11, 100%, $F$11)</f>
        <v>26.088100000000001</v>
      </c>
      <c r="C756" s="8">
        <f>CHOOSE( CONTROL!$C$32, 26.0961, 26.0925) * CHOOSE(CONTROL!$C$15, $D$11, 100%, $F$11)</f>
        <v>26.0961</v>
      </c>
      <c r="D756" s="8">
        <f>CHOOSE( CONTROL!$C$32, 26.1028, 26.0992) * CHOOSE( CONTROL!$C$15, $D$11, 100%, $F$11)</f>
        <v>26.102799999999998</v>
      </c>
      <c r="E756" s="12">
        <f>CHOOSE( CONTROL!$C$32, 26.0992, 26.0956) * CHOOSE( CONTROL!$C$15, $D$11, 100%, $F$11)</f>
        <v>26.0992</v>
      </c>
      <c r="F756" s="4">
        <f>CHOOSE( CONTROL!$C$32, 26.7764, 26.7728) * CHOOSE(CONTROL!$C$15, $D$11, 100%, $F$11)</f>
        <v>26.776399999999999</v>
      </c>
      <c r="G756" s="8">
        <f>CHOOSE( CONTROL!$C$32, 25.6243, 25.6208) * CHOOSE( CONTROL!$C$15, $D$11, 100%, $F$11)</f>
        <v>25.624300000000002</v>
      </c>
      <c r="H756" s="4">
        <f>CHOOSE( CONTROL!$C$32, 26.5611, 26.5576) * CHOOSE(CONTROL!$C$15, $D$11, 100%, $F$11)</f>
        <v>26.5611</v>
      </c>
      <c r="I756" s="8">
        <f>CHOOSE( CONTROL!$C$32, 25.294, 25.2906) * CHOOSE(CONTROL!$C$15, $D$11, 100%, $F$11)</f>
        <v>25.294</v>
      </c>
      <c r="J756" s="4">
        <f>CHOOSE( CONTROL!$C$32, 25.1881, 25.1847) * CHOOSE(CONTROL!$C$15, $D$11, 100%, $F$11)</f>
        <v>25.188099999999999</v>
      </c>
      <c r="K756" s="4"/>
      <c r="L756" s="9">
        <v>30.7165</v>
      </c>
      <c r="M756" s="9">
        <v>12.063700000000001</v>
      </c>
      <c r="N756" s="9">
        <v>4.9444999999999997</v>
      </c>
      <c r="O756" s="9">
        <v>0.37409999999999999</v>
      </c>
      <c r="P756" s="9">
        <v>1.2183999999999999</v>
      </c>
      <c r="Q756" s="9">
        <v>19.688099999999999</v>
      </c>
      <c r="R756" s="9"/>
      <c r="S756" s="11"/>
    </row>
    <row r="757" spans="1:19" ht="15.75">
      <c r="A757" s="13">
        <v>64558</v>
      </c>
      <c r="B757" s="8">
        <f>CHOOSE( CONTROL!$C$32, 25.5424, 25.5388) * CHOOSE(CONTROL!$C$15, $D$11, 100%, $F$11)</f>
        <v>25.542400000000001</v>
      </c>
      <c r="C757" s="8">
        <f>CHOOSE( CONTROL!$C$32, 25.5504, 25.5468) * CHOOSE(CONTROL!$C$15, $D$11, 100%, $F$11)</f>
        <v>25.5504</v>
      </c>
      <c r="D757" s="8">
        <f>CHOOSE( CONTROL!$C$32, 25.5571, 25.5535) * CHOOSE( CONTROL!$C$15, $D$11, 100%, $F$11)</f>
        <v>25.557099999999998</v>
      </c>
      <c r="E757" s="12">
        <f>CHOOSE( CONTROL!$C$32, 25.5535, 25.5499) * CHOOSE( CONTROL!$C$15, $D$11, 100%, $F$11)</f>
        <v>25.5535</v>
      </c>
      <c r="F757" s="4">
        <f>CHOOSE( CONTROL!$C$32, 26.2306, 26.2271) * CHOOSE(CONTROL!$C$15, $D$11, 100%, $F$11)</f>
        <v>26.230599999999999</v>
      </c>
      <c r="G757" s="8">
        <f>CHOOSE( CONTROL!$C$32, 25.0876, 25.0841) * CHOOSE( CONTROL!$C$15, $D$11, 100%, $F$11)</f>
        <v>25.087599999999998</v>
      </c>
      <c r="H757" s="4">
        <f>CHOOSE( CONTROL!$C$32, 26.0245, 26.021) * CHOOSE(CONTROL!$C$15, $D$11, 100%, $F$11)</f>
        <v>26.0245</v>
      </c>
      <c r="I757" s="8">
        <f>CHOOSE( CONTROL!$C$32, 24.7662, 24.7628) * CHOOSE(CONTROL!$C$15, $D$11, 100%, $F$11)</f>
        <v>24.766200000000001</v>
      </c>
      <c r="J757" s="4">
        <f>CHOOSE( CONTROL!$C$32, 24.6606, 24.6571) * CHOOSE(CONTROL!$C$15, $D$11, 100%, $F$11)</f>
        <v>24.660599999999999</v>
      </c>
      <c r="K757" s="4"/>
      <c r="L757" s="9">
        <v>29.7257</v>
      </c>
      <c r="M757" s="9">
        <v>11.6745</v>
      </c>
      <c r="N757" s="9">
        <v>4.7850000000000001</v>
      </c>
      <c r="O757" s="9">
        <v>0.36199999999999999</v>
      </c>
      <c r="P757" s="9">
        <v>1.1791</v>
      </c>
      <c r="Q757" s="9">
        <v>19.053000000000001</v>
      </c>
      <c r="R757" s="9"/>
      <c r="S757" s="11"/>
    </row>
    <row r="758" spans="1:19" ht="15.75">
      <c r="A758" s="13">
        <v>64589</v>
      </c>
      <c r="B758" s="8">
        <f>26.6702 * CHOOSE(CONTROL!$C$15, $D$11, 100%, $F$11)</f>
        <v>26.670200000000001</v>
      </c>
      <c r="C758" s="8">
        <f>26.6755 * CHOOSE(CONTROL!$C$15, $D$11, 100%, $F$11)</f>
        <v>26.6755</v>
      </c>
      <c r="D758" s="8">
        <f>26.6871 * CHOOSE( CONTROL!$C$15, $D$11, 100%, $F$11)</f>
        <v>26.687100000000001</v>
      </c>
      <c r="E758" s="12">
        <f>26.6827 * CHOOSE( CONTROL!$C$15, $D$11, 100%, $F$11)</f>
        <v>26.682700000000001</v>
      </c>
      <c r="F758" s="4">
        <f>27.3602 * CHOOSE(CONTROL!$C$15, $D$11, 100%, $F$11)</f>
        <v>27.360199999999999</v>
      </c>
      <c r="G758" s="8">
        <f>26.1979 * CHOOSE( CONTROL!$C$15, $D$11, 100%, $F$11)</f>
        <v>26.197900000000001</v>
      </c>
      <c r="H758" s="4">
        <f>27.1353 * CHOOSE(CONTROL!$C$15, $D$11, 100%, $F$11)</f>
        <v>27.135300000000001</v>
      </c>
      <c r="I758" s="8">
        <f>25.8594 * CHOOSE(CONTROL!$C$15, $D$11, 100%, $F$11)</f>
        <v>25.859400000000001</v>
      </c>
      <c r="J758" s="4">
        <f>25.7525 * CHOOSE(CONTROL!$C$15, $D$11, 100%, $F$11)</f>
        <v>25.752500000000001</v>
      </c>
      <c r="K758" s="4"/>
      <c r="L758" s="9">
        <v>31.095300000000002</v>
      </c>
      <c r="M758" s="9">
        <v>12.063700000000001</v>
      </c>
      <c r="N758" s="9">
        <v>4.9444999999999997</v>
      </c>
      <c r="O758" s="9">
        <v>0.37409999999999999</v>
      </c>
      <c r="P758" s="9">
        <v>1.2183999999999999</v>
      </c>
      <c r="Q758" s="9">
        <v>19.688099999999999</v>
      </c>
      <c r="R758" s="9"/>
      <c r="S758" s="11"/>
    </row>
    <row r="759" spans="1:19" ht="15.75">
      <c r="A759" s="13">
        <v>64619</v>
      </c>
      <c r="B759" s="8">
        <f>28.7612 * CHOOSE(CONTROL!$C$15, $D$11, 100%, $F$11)</f>
        <v>28.761199999999999</v>
      </c>
      <c r="C759" s="8">
        <f>28.7663 * CHOOSE(CONTROL!$C$15, $D$11, 100%, $F$11)</f>
        <v>28.766300000000001</v>
      </c>
      <c r="D759" s="8">
        <f>28.7433 * CHOOSE( CONTROL!$C$15, $D$11, 100%, $F$11)</f>
        <v>28.743300000000001</v>
      </c>
      <c r="E759" s="12">
        <f>28.7512 * CHOOSE( CONTROL!$C$15, $D$11, 100%, $F$11)</f>
        <v>28.751200000000001</v>
      </c>
      <c r="F759" s="4">
        <f>29.4061 * CHOOSE(CONTROL!$C$15, $D$11, 100%, $F$11)</f>
        <v>29.406099999999999</v>
      </c>
      <c r="G759" s="8">
        <f>28.2655 * CHOOSE( CONTROL!$C$15, $D$11, 100%, $F$11)</f>
        <v>28.265499999999999</v>
      </c>
      <c r="H759" s="4">
        <f>29.1473 * CHOOSE(CONTROL!$C$15, $D$11, 100%, $F$11)</f>
        <v>29.147300000000001</v>
      </c>
      <c r="I759" s="8">
        <f>27.9069 * CHOOSE(CONTROL!$C$15, $D$11, 100%, $F$11)</f>
        <v>27.9069</v>
      </c>
      <c r="J759" s="4">
        <f>27.7743 * CHOOSE(CONTROL!$C$15, $D$11, 100%, $F$11)</f>
        <v>27.7743</v>
      </c>
      <c r="K759" s="4"/>
      <c r="L759" s="9">
        <v>28.360600000000002</v>
      </c>
      <c r="M759" s="9">
        <v>11.6745</v>
      </c>
      <c r="N759" s="9">
        <v>4.7850000000000001</v>
      </c>
      <c r="O759" s="9">
        <v>0.36199999999999999</v>
      </c>
      <c r="P759" s="9">
        <v>1.2509999999999999</v>
      </c>
      <c r="Q759" s="9">
        <v>19.053000000000001</v>
      </c>
      <c r="R759" s="9"/>
      <c r="S759" s="11"/>
    </row>
    <row r="760" spans="1:19" ht="15.75">
      <c r="A760" s="13">
        <v>64650</v>
      </c>
      <c r="B760" s="8">
        <f>28.709 * CHOOSE(CONTROL!$C$15, $D$11, 100%, $F$11)</f>
        <v>28.709</v>
      </c>
      <c r="C760" s="8">
        <f>28.7141 * CHOOSE(CONTROL!$C$15, $D$11, 100%, $F$11)</f>
        <v>28.714099999999998</v>
      </c>
      <c r="D760" s="8">
        <f>28.6924 * CHOOSE( CONTROL!$C$15, $D$11, 100%, $F$11)</f>
        <v>28.692399999999999</v>
      </c>
      <c r="E760" s="12">
        <f>28.6998 * CHOOSE( CONTROL!$C$15, $D$11, 100%, $F$11)</f>
        <v>28.6998</v>
      </c>
      <c r="F760" s="4">
        <f>29.3539 * CHOOSE(CONTROL!$C$15, $D$11, 100%, $F$11)</f>
        <v>29.353899999999999</v>
      </c>
      <c r="G760" s="8">
        <f>28.2151 * CHOOSE( CONTROL!$C$15, $D$11, 100%, $F$11)</f>
        <v>28.2151</v>
      </c>
      <c r="H760" s="4">
        <f>29.0959 * CHOOSE(CONTROL!$C$15, $D$11, 100%, $F$11)</f>
        <v>29.0959</v>
      </c>
      <c r="I760" s="8">
        <f>27.8607 * CHOOSE(CONTROL!$C$15, $D$11, 100%, $F$11)</f>
        <v>27.860700000000001</v>
      </c>
      <c r="J760" s="4">
        <f>27.7238 * CHOOSE(CONTROL!$C$15, $D$11, 100%, $F$11)</f>
        <v>27.723800000000001</v>
      </c>
      <c r="K760" s="4"/>
      <c r="L760" s="9">
        <v>29.306000000000001</v>
      </c>
      <c r="M760" s="9">
        <v>12.063700000000001</v>
      </c>
      <c r="N760" s="9">
        <v>4.9444999999999997</v>
      </c>
      <c r="O760" s="9">
        <v>0.37409999999999999</v>
      </c>
      <c r="P760" s="9">
        <v>1.2927</v>
      </c>
      <c r="Q760" s="9">
        <v>19.688099999999999</v>
      </c>
      <c r="R760" s="9"/>
      <c r="S760" s="11"/>
    </row>
    <row r="761" spans="1:19" ht="15.75">
      <c r="A761" s="13">
        <v>64681</v>
      </c>
      <c r="B761" s="8">
        <f>29.8051 * CHOOSE(CONTROL!$C$15, $D$11, 100%, $F$11)</f>
        <v>29.805099999999999</v>
      </c>
      <c r="C761" s="8">
        <f>29.8102 * CHOOSE(CONTROL!$C$15, $D$11, 100%, $F$11)</f>
        <v>29.810199999999998</v>
      </c>
      <c r="D761" s="8">
        <f>29.7843 * CHOOSE( CONTROL!$C$15, $D$11, 100%, $F$11)</f>
        <v>29.784300000000002</v>
      </c>
      <c r="E761" s="12">
        <f>29.7932 * CHOOSE( CONTROL!$C$15, $D$11, 100%, $F$11)</f>
        <v>29.793199999999999</v>
      </c>
      <c r="F761" s="4">
        <f>30.4491 * CHOOSE(CONTROL!$C$15, $D$11, 100%, $F$11)</f>
        <v>30.449100000000001</v>
      </c>
      <c r="G761" s="8">
        <f>29.2867 * CHOOSE( CONTROL!$C$15, $D$11, 100%, $F$11)</f>
        <v>29.2867</v>
      </c>
      <c r="H761" s="4">
        <f>30.1729 * CHOOSE(CONTROL!$C$15, $D$11, 100%, $F$11)</f>
        <v>30.172899999999998</v>
      </c>
      <c r="I761" s="8">
        <f>28.8914 * CHOOSE(CONTROL!$C$15, $D$11, 100%, $F$11)</f>
        <v>28.891400000000001</v>
      </c>
      <c r="J761" s="4">
        <f>28.7834 * CHOOSE(CONTROL!$C$15, $D$11, 100%, $F$11)</f>
        <v>28.7834</v>
      </c>
      <c r="K761" s="4"/>
      <c r="L761" s="9">
        <v>29.306000000000001</v>
      </c>
      <c r="M761" s="9">
        <v>12.063700000000001</v>
      </c>
      <c r="N761" s="9">
        <v>4.9444999999999997</v>
      </c>
      <c r="O761" s="9">
        <v>0.37409999999999999</v>
      </c>
      <c r="P761" s="9">
        <v>1.2927</v>
      </c>
      <c r="Q761" s="9">
        <v>19.688099999999999</v>
      </c>
      <c r="R761" s="9"/>
      <c r="S761" s="11"/>
    </row>
    <row r="762" spans="1:19" ht="15.75">
      <c r="A762" s="13">
        <v>64709</v>
      </c>
      <c r="B762" s="8">
        <f>27.8802 * CHOOSE(CONTROL!$C$15, $D$11, 100%, $F$11)</f>
        <v>27.880199999999999</v>
      </c>
      <c r="C762" s="8">
        <f>27.8853 * CHOOSE(CONTROL!$C$15, $D$11, 100%, $F$11)</f>
        <v>27.885300000000001</v>
      </c>
      <c r="D762" s="8">
        <f>27.8597 * CHOOSE( CONTROL!$C$15, $D$11, 100%, $F$11)</f>
        <v>27.8597</v>
      </c>
      <c r="E762" s="12">
        <f>27.8685 * CHOOSE( CONTROL!$C$15, $D$11, 100%, $F$11)</f>
        <v>27.868500000000001</v>
      </c>
      <c r="F762" s="4">
        <f>28.5242 * CHOOSE(CONTROL!$C$15, $D$11, 100%, $F$11)</f>
        <v>28.5242</v>
      </c>
      <c r="G762" s="8">
        <f>27.3939 * CHOOSE( CONTROL!$C$15, $D$11, 100%, $F$11)</f>
        <v>27.393899999999999</v>
      </c>
      <c r="H762" s="4">
        <f>28.28 * CHOOSE(CONTROL!$C$15, $D$11, 100%, $F$11)</f>
        <v>28.28</v>
      </c>
      <c r="I762" s="8">
        <f>27.0304 * CHOOSE(CONTROL!$C$15, $D$11, 100%, $F$11)</f>
        <v>27.0304</v>
      </c>
      <c r="J762" s="4">
        <f>26.9226 * CHOOSE(CONTROL!$C$15, $D$11, 100%, $F$11)</f>
        <v>26.922599999999999</v>
      </c>
      <c r="K762" s="4"/>
      <c r="L762" s="9">
        <v>26.469899999999999</v>
      </c>
      <c r="M762" s="9">
        <v>10.8962</v>
      </c>
      <c r="N762" s="9">
        <v>4.4660000000000002</v>
      </c>
      <c r="O762" s="9">
        <v>0.33789999999999998</v>
      </c>
      <c r="P762" s="9">
        <v>1.1676</v>
      </c>
      <c r="Q762" s="9">
        <v>17.782800000000002</v>
      </c>
      <c r="R762" s="9"/>
      <c r="S762" s="11"/>
    </row>
    <row r="763" spans="1:19" ht="15.75">
      <c r="A763" s="13">
        <v>64740</v>
      </c>
      <c r="B763" s="8">
        <f>27.2873 * CHOOSE(CONTROL!$C$15, $D$11, 100%, $F$11)</f>
        <v>27.287299999999998</v>
      </c>
      <c r="C763" s="8">
        <f>27.2924 * CHOOSE(CONTROL!$C$15, $D$11, 100%, $F$11)</f>
        <v>27.292400000000001</v>
      </c>
      <c r="D763" s="8">
        <f>27.2667 * CHOOSE( CONTROL!$C$15, $D$11, 100%, $F$11)</f>
        <v>27.2667</v>
      </c>
      <c r="E763" s="12">
        <f>27.2756 * CHOOSE( CONTROL!$C$15, $D$11, 100%, $F$11)</f>
        <v>27.275600000000001</v>
      </c>
      <c r="F763" s="4">
        <f>27.9313 * CHOOSE(CONTROL!$C$15, $D$11, 100%, $F$11)</f>
        <v>27.9313</v>
      </c>
      <c r="G763" s="8">
        <f>26.8108 * CHOOSE( CONTROL!$C$15, $D$11, 100%, $F$11)</f>
        <v>26.8108</v>
      </c>
      <c r="H763" s="4">
        <f>27.6969 * CHOOSE(CONTROL!$C$15, $D$11, 100%, $F$11)</f>
        <v>27.696899999999999</v>
      </c>
      <c r="I763" s="8">
        <f>26.4568 * CHOOSE(CONTROL!$C$15, $D$11, 100%, $F$11)</f>
        <v>26.456800000000001</v>
      </c>
      <c r="J763" s="4">
        <f>26.3495 * CHOOSE(CONTROL!$C$15, $D$11, 100%, $F$11)</f>
        <v>26.349499999999999</v>
      </c>
      <c r="K763" s="4"/>
      <c r="L763" s="9">
        <v>29.306000000000001</v>
      </c>
      <c r="M763" s="9">
        <v>12.063700000000001</v>
      </c>
      <c r="N763" s="9">
        <v>4.9444999999999997</v>
      </c>
      <c r="O763" s="9">
        <v>0.37409999999999999</v>
      </c>
      <c r="P763" s="9">
        <v>1.2927</v>
      </c>
      <c r="Q763" s="9">
        <v>19.688099999999999</v>
      </c>
      <c r="R763" s="9"/>
      <c r="S763" s="11"/>
    </row>
    <row r="764" spans="1:19" ht="15.75">
      <c r="A764" s="13">
        <v>64770</v>
      </c>
      <c r="B764" s="8">
        <f>27.7023 * CHOOSE(CONTROL!$C$15, $D$11, 100%, $F$11)</f>
        <v>27.702300000000001</v>
      </c>
      <c r="C764" s="8">
        <f>27.7069 * CHOOSE(CONTROL!$C$15, $D$11, 100%, $F$11)</f>
        <v>27.706900000000001</v>
      </c>
      <c r="D764" s="8">
        <f>27.7179 * CHOOSE( CONTROL!$C$15, $D$11, 100%, $F$11)</f>
        <v>27.7179</v>
      </c>
      <c r="E764" s="12">
        <f>27.7137 * CHOOSE( CONTROL!$C$15, $D$11, 100%, $F$11)</f>
        <v>27.713699999999999</v>
      </c>
      <c r="F764" s="4">
        <f>28.392 * CHOOSE(CONTROL!$C$15, $D$11, 100%, $F$11)</f>
        <v>28.391999999999999</v>
      </c>
      <c r="G764" s="8">
        <f>27.2111 * CHOOSE( CONTROL!$C$15, $D$11, 100%, $F$11)</f>
        <v>27.211099999999998</v>
      </c>
      <c r="H764" s="4">
        <f>28.15 * CHOOSE(CONTROL!$C$15, $D$11, 100%, $F$11)</f>
        <v>28.15</v>
      </c>
      <c r="I764" s="8">
        <f>26.8525 * CHOOSE(CONTROL!$C$15, $D$11, 100%, $F$11)</f>
        <v>26.852499999999999</v>
      </c>
      <c r="J764" s="4">
        <f>26.7499 * CHOOSE(CONTROL!$C$15, $D$11, 100%, $F$11)</f>
        <v>26.7499</v>
      </c>
      <c r="K764" s="4"/>
      <c r="L764" s="9">
        <v>30.092199999999998</v>
      </c>
      <c r="M764" s="9">
        <v>11.6745</v>
      </c>
      <c r="N764" s="9">
        <v>4.7850000000000001</v>
      </c>
      <c r="O764" s="9">
        <v>0.36199999999999999</v>
      </c>
      <c r="P764" s="9">
        <v>1.1791</v>
      </c>
      <c r="Q764" s="9">
        <v>19.053000000000001</v>
      </c>
      <c r="R764" s="9"/>
      <c r="S764" s="11"/>
    </row>
    <row r="765" spans="1:19" ht="15.75">
      <c r="A765" s="13">
        <v>64801</v>
      </c>
      <c r="B765" s="8">
        <f>CHOOSE( CONTROL!$C$32, 28.4446, 28.441) * CHOOSE(CONTROL!$C$15, $D$11, 100%, $F$11)</f>
        <v>28.444600000000001</v>
      </c>
      <c r="C765" s="8">
        <f>CHOOSE( CONTROL!$C$32, 28.4526, 28.449) * CHOOSE(CONTROL!$C$15, $D$11, 100%, $F$11)</f>
        <v>28.4526</v>
      </c>
      <c r="D765" s="8">
        <f>CHOOSE( CONTROL!$C$32, 28.4586, 28.4551) * CHOOSE( CONTROL!$C$15, $D$11, 100%, $F$11)</f>
        <v>28.458600000000001</v>
      </c>
      <c r="E765" s="12">
        <f>CHOOSE( CONTROL!$C$32, 28.4552, 28.4517) * CHOOSE( CONTROL!$C$15, $D$11, 100%, $F$11)</f>
        <v>28.455200000000001</v>
      </c>
      <c r="F765" s="4">
        <f>CHOOSE( CONTROL!$C$32, 29.1329, 29.1293) * CHOOSE(CONTROL!$C$15, $D$11, 100%, $F$11)</f>
        <v>29.132899999999999</v>
      </c>
      <c r="G765" s="8">
        <f>CHOOSE( CONTROL!$C$32, 27.9407, 27.9372) * CHOOSE( CONTROL!$C$15, $D$11, 100%, $F$11)</f>
        <v>27.9407</v>
      </c>
      <c r="H765" s="4">
        <f>CHOOSE( CONTROL!$C$32, 28.8786, 28.875) * CHOOSE(CONTROL!$C$15, $D$11, 100%, $F$11)</f>
        <v>28.878599999999999</v>
      </c>
      <c r="I765" s="8">
        <f>CHOOSE( CONTROL!$C$32, 27.5699, 27.5665) * CHOOSE(CONTROL!$C$15, $D$11, 100%, $F$11)</f>
        <v>27.569900000000001</v>
      </c>
      <c r="J765" s="4">
        <f>CHOOSE( CONTROL!$C$32, 27.4662, 27.4627) * CHOOSE(CONTROL!$C$15, $D$11, 100%, $F$11)</f>
        <v>27.466200000000001</v>
      </c>
      <c r="K765" s="4"/>
      <c r="L765" s="9">
        <v>30.7165</v>
      </c>
      <c r="M765" s="9">
        <v>12.063700000000001</v>
      </c>
      <c r="N765" s="9">
        <v>4.9444999999999997</v>
      </c>
      <c r="O765" s="9">
        <v>0.37409999999999999</v>
      </c>
      <c r="P765" s="9">
        <v>1.2183999999999999</v>
      </c>
      <c r="Q765" s="9">
        <v>19.688099999999999</v>
      </c>
      <c r="R765" s="9"/>
      <c r="S765" s="11"/>
    </row>
    <row r="766" spans="1:19" ht="15.75">
      <c r="A766" s="13">
        <v>64831</v>
      </c>
      <c r="B766" s="8">
        <f>CHOOSE( CONTROL!$C$32, 27.9878, 27.9843) * CHOOSE(CONTROL!$C$15, $D$11, 100%, $F$11)</f>
        <v>27.9878</v>
      </c>
      <c r="C766" s="8">
        <f>CHOOSE( CONTROL!$C$32, 27.9959, 27.9923) * CHOOSE(CONTROL!$C$15, $D$11, 100%, $F$11)</f>
        <v>27.995899999999999</v>
      </c>
      <c r="D766" s="8">
        <f>CHOOSE( CONTROL!$C$32, 28.0022, 27.9986) * CHOOSE( CONTROL!$C$15, $D$11, 100%, $F$11)</f>
        <v>28.002199999999998</v>
      </c>
      <c r="E766" s="12">
        <f>CHOOSE( CONTROL!$C$32, 27.9987, 27.9951) * CHOOSE( CONTROL!$C$15, $D$11, 100%, $F$11)</f>
        <v>27.998699999999999</v>
      </c>
      <c r="F766" s="4">
        <f>CHOOSE( CONTROL!$C$32, 28.6761, 28.6726) * CHOOSE(CONTROL!$C$15, $D$11, 100%, $F$11)</f>
        <v>28.676100000000002</v>
      </c>
      <c r="G766" s="8">
        <f>CHOOSE( CONTROL!$C$32, 27.4919, 27.4884) * CHOOSE( CONTROL!$C$15, $D$11, 100%, $F$11)</f>
        <v>27.491900000000001</v>
      </c>
      <c r="H766" s="4">
        <f>CHOOSE( CONTROL!$C$32, 28.4294, 28.4259) * CHOOSE(CONTROL!$C$15, $D$11, 100%, $F$11)</f>
        <v>28.429400000000001</v>
      </c>
      <c r="I766" s="8">
        <f>CHOOSE( CONTROL!$C$32, 27.1295, 27.1261) * CHOOSE(CONTROL!$C$15, $D$11, 100%, $F$11)</f>
        <v>27.1295</v>
      </c>
      <c r="J766" s="4">
        <f>CHOOSE( CONTROL!$C$32, 27.0246, 27.0212) * CHOOSE(CONTROL!$C$15, $D$11, 100%, $F$11)</f>
        <v>27.0246</v>
      </c>
      <c r="K766" s="4"/>
      <c r="L766" s="9">
        <v>29.7257</v>
      </c>
      <c r="M766" s="9">
        <v>11.6745</v>
      </c>
      <c r="N766" s="9">
        <v>4.7850000000000001</v>
      </c>
      <c r="O766" s="9">
        <v>0.36199999999999999</v>
      </c>
      <c r="P766" s="9">
        <v>1.1791</v>
      </c>
      <c r="Q766" s="9">
        <v>19.053000000000001</v>
      </c>
      <c r="R766" s="9"/>
      <c r="S766" s="11"/>
    </row>
    <row r="767" spans="1:19" ht="15.75">
      <c r="A767" s="13">
        <v>64862</v>
      </c>
      <c r="B767" s="8">
        <f>CHOOSE( CONTROL!$C$32, 29.1906, 29.1871) * CHOOSE(CONTROL!$C$15, $D$11, 100%, $F$11)</f>
        <v>29.1906</v>
      </c>
      <c r="C767" s="8">
        <f>CHOOSE( CONTROL!$C$32, 29.1986, 29.1951) * CHOOSE(CONTROL!$C$15, $D$11, 100%, $F$11)</f>
        <v>29.198599999999999</v>
      </c>
      <c r="D767" s="8">
        <f>CHOOSE( CONTROL!$C$32, 29.2052, 29.2017) * CHOOSE( CONTROL!$C$15, $D$11, 100%, $F$11)</f>
        <v>29.205200000000001</v>
      </c>
      <c r="E767" s="12">
        <f>CHOOSE( CONTROL!$C$32, 29.2016, 29.1981) * CHOOSE( CONTROL!$C$15, $D$11, 100%, $F$11)</f>
        <v>29.201599999999999</v>
      </c>
      <c r="F767" s="4">
        <f>CHOOSE( CONTROL!$C$32, 29.8789, 29.8753) * CHOOSE(CONTROL!$C$15, $D$11, 100%, $F$11)</f>
        <v>29.878900000000002</v>
      </c>
      <c r="G767" s="8">
        <f>CHOOSE( CONTROL!$C$32, 28.6752, 28.6717) * CHOOSE( CONTROL!$C$15, $D$11, 100%, $F$11)</f>
        <v>28.6752</v>
      </c>
      <c r="H767" s="4">
        <f>CHOOSE( CONTROL!$C$32, 29.6122, 29.6087) * CHOOSE(CONTROL!$C$15, $D$11, 100%, $F$11)</f>
        <v>29.612200000000001</v>
      </c>
      <c r="I767" s="8">
        <f>CHOOSE( CONTROL!$C$32, 28.2943, 28.2908) * CHOOSE(CONTROL!$C$15, $D$11, 100%, $F$11)</f>
        <v>28.2943</v>
      </c>
      <c r="J767" s="4">
        <f>CHOOSE( CONTROL!$C$32, 28.1873, 28.1839) * CHOOSE(CONTROL!$C$15, $D$11, 100%, $F$11)</f>
        <v>28.1873</v>
      </c>
      <c r="K767" s="4"/>
      <c r="L767" s="9">
        <v>30.7165</v>
      </c>
      <c r="M767" s="9">
        <v>12.063700000000001</v>
      </c>
      <c r="N767" s="9">
        <v>4.9444999999999997</v>
      </c>
      <c r="O767" s="9">
        <v>0.37409999999999999</v>
      </c>
      <c r="P767" s="9">
        <v>1.2183999999999999</v>
      </c>
      <c r="Q767" s="9">
        <v>19.688099999999999</v>
      </c>
      <c r="R767" s="9"/>
      <c r="S767" s="11"/>
    </row>
    <row r="768" spans="1:19" ht="15.75">
      <c r="A768" s="13">
        <v>64893</v>
      </c>
      <c r="B768" s="8">
        <f>CHOOSE( CONTROL!$C$32, 26.9401, 26.9365) * CHOOSE(CONTROL!$C$15, $D$11, 100%, $F$11)</f>
        <v>26.940100000000001</v>
      </c>
      <c r="C768" s="8">
        <f>CHOOSE( CONTROL!$C$32, 26.9481, 26.9445) * CHOOSE(CONTROL!$C$15, $D$11, 100%, $F$11)</f>
        <v>26.9481</v>
      </c>
      <c r="D768" s="8">
        <f>CHOOSE( CONTROL!$C$32, 26.9548, 26.9512) * CHOOSE( CONTROL!$C$15, $D$11, 100%, $F$11)</f>
        <v>26.954799999999999</v>
      </c>
      <c r="E768" s="12">
        <f>CHOOSE( CONTROL!$C$32, 26.9512, 26.9476) * CHOOSE( CONTROL!$C$15, $D$11, 100%, $F$11)</f>
        <v>26.9512</v>
      </c>
      <c r="F768" s="4">
        <f>CHOOSE( CONTROL!$C$32, 27.6284, 27.6248) * CHOOSE(CONTROL!$C$15, $D$11, 100%, $F$11)</f>
        <v>27.628399999999999</v>
      </c>
      <c r="G768" s="8">
        <f>CHOOSE( CONTROL!$C$32, 26.4622, 26.4587) * CHOOSE( CONTROL!$C$15, $D$11, 100%, $F$11)</f>
        <v>26.462199999999999</v>
      </c>
      <c r="H768" s="4">
        <f>CHOOSE( CONTROL!$C$32, 27.399, 27.3955) * CHOOSE(CONTROL!$C$15, $D$11, 100%, $F$11)</f>
        <v>27.399000000000001</v>
      </c>
      <c r="I768" s="8">
        <f>CHOOSE( CONTROL!$C$32, 26.1181, 26.1146) * CHOOSE(CONTROL!$C$15, $D$11, 100%, $F$11)</f>
        <v>26.118099999999998</v>
      </c>
      <c r="J768" s="4">
        <f>CHOOSE( CONTROL!$C$32, 26.0118, 26.0083) * CHOOSE(CONTROL!$C$15, $D$11, 100%, $F$11)</f>
        <v>26.011800000000001</v>
      </c>
      <c r="K768" s="4"/>
      <c r="L768" s="9">
        <v>30.7165</v>
      </c>
      <c r="M768" s="9">
        <v>12.063700000000001</v>
      </c>
      <c r="N768" s="9">
        <v>4.9444999999999997</v>
      </c>
      <c r="O768" s="9">
        <v>0.37409999999999999</v>
      </c>
      <c r="P768" s="9">
        <v>1.2183999999999999</v>
      </c>
      <c r="Q768" s="9">
        <v>19.688099999999999</v>
      </c>
      <c r="R768" s="9"/>
      <c r="S768" s="11"/>
    </row>
    <row r="769" spans="1:19" ht="15.75">
      <c r="A769" s="13">
        <v>64923</v>
      </c>
      <c r="B769" s="8">
        <f>CHOOSE( CONTROL!$C$32, 26.3765, 26.373) * CHOOSE(CONTROL!$C$15, $D$11, 100%, $F$11)</f>
        <v>26.3765</v>
      </c>
      <c r="C769" s="8">
        <f>CHOOSE( CONTROL!$C$32, 26.3846, 26.381) * CHOOSE(CONTROL!$C$15, $D$11, 100%, $F$11)</f>
        <v>26.384599999999999</v>
      </c>
      <c r="D769" s="8">
        <f>CHOOSE( CONTROL!$C$32, 26.3912, 26.3877) * CHOOSE( CONTROL!$C$15, $D$11, 100%, $F$11)</f>
        <v>26.391200000000001</v>
      </c>
      <c r="E769" s="12">
        <f>CHOOSE( CONTROL!$C$32, 26.3876, 26.3841) * CHOOSE( CONTROL!$C$15, $D$11, 100%, $F$11)</f>
        <v>26.387599999999999</v>
      </c>
      <c r="F769" s="4">
        <f>CHOOSE( CONTROL!$C$32, 27.0648, 27.0612) * CHOOSE(CONTROL!$C$15, $D$11, 100%, $F$11)</f>
        <v>27.064800000000002</v>
      </c>
      <c r="G769" s="8">
        <f>CHOOSE( CONTROL!$C$32, 25.9079, 25.9044) * CHOOSE( CONTROL!$C$15, $D$11, 100%, $F$11)</f>
        <v>25.907900000000001</v>
      </c>
      <c r="H769" s="4">
        <f>CHOOSE( CONTROL!$C$32, 26.8448, 26.8413) * CHOOSE(CONTROL!$C$15, $D$11, 100%, $F$11)</f>
        <v>26.844799999999999</v>
      </c>
      <c r="I769" s="8">
        <f>CHOOSE( CONTROL!$C$32, 25.573, 25.5696) * CHOOSE(CONTROL!$C$15, $D$11, 100%, $F$11)</f>
        <v>25.573</v>
      </c>
      <c r="J769" s="4">
        <f>CHOOSE( CONTROL!$C$32, 25.467, 25.4635) * CHOOSE(CONTROL!$C$15, $D$11, 100%, $F$11)</f>
        <v>25.466999999999999</v>
      </c>
      <c r="K769" s="4"/>
      <c r="L769" s="9">
        <v>29.7257</v>
      </c>
      <c r="M769" s="9">
        <v>11.6745</v>
      </c>
      <c r="N769" s="9">
        <v>4.7850000000000001</v>
      </c>
      <c r="O769" s="9">
        <v>0.36199999999999999</v>
      </c>
      <c r="P769" s="9">
        <v>1.1791</v>
      </c>
      <c r="Q769" s="9">
        <v>19.053000000000001</v>
      </c>
      <c r="R769" s="9"/>
      <c r="S769" s="11"/>
    </row>
    <row r="770" spans="1:19" ht="15.75">
      <c r="A770" s="13">
        <v>64954</v>
      </c>
      <c r="B770" s="8">
        <f>27.5414 * CHOOSE(CONTROL!$C$15, $D$11, 100%, $F$11)</f>
        <v>27.541399999999999</v>
      </c>
      <c r="C770" s="8">
        <f>27.5468 * CHOOSE(CONTROL!$C$15, $D$11, 100%, $F$11)</f>
        <v>27.546800000000001</v>
      </c>
      <c r="D770" s="8">
        <f>27.5583 * CHOOSE( CONTROL!$C$15, $D$11, 100%, $F$11)</f>
        <v>27.558299999999999</v>
      </c>
      <c r="E770" s="12">
        <f>27.5539 * CHOOSE( CONTROL!$C$15, $D$11, 100%, $F$11)</f>
        <v>27.553899999999999</v>
      </c>
      <c r="F770" s="4">
        <f>28.2314 * CHOOSE(CONTROL!$C$15, $D$11, 100%, $F$11)</f>
        <v>28.231400000000001</v>
      </c>
      <c r="G770" s="8">
        <f>27.0547 * CHOOSE( CONTROL!$C$15, $D$11, 100%, $F$11)</f>
        <v>27.0547</v>
      </c>
      <c r="H770" s="4">
        <f>27.992 * CHOOSE(CONTROL!$C$15, $D$11, 100%, $F$11)</f>
        <v>27.992000000000001</v>
      </c>
      <c r="I770" s="8">
        <f>26.702 * CHOOSE(CONTROL!$C$15, $D$11, 100%, $F$11)</f>
        <v>26.702000000000002</v>
      </c>
      <c r="J770" s="4">
        <f>26.5947 * CHOOSE(CONTROL!$C$15, $D$11, 100%, $F$11)</f>
        <v>26.5947</v>
      </c>
      <c r="K770" s="4"/>
      <c r="L770" s="9">
        <v>31.095300000000002</v>
      </c>
      <c r="M770" s="9">
        <v>12.063700000000001</v>
      </c>
      <c r="N770" s="9">
        <v>4.9444999999999997</v>
      </c>
      <c r="O770" s="9">
        <v>0.37409999999999999</v>
      </c>
      <c r="P770" s="9">
        <v>1.2183999999999999</v>
      </c>
      <c r="Q770" s="9">
        <v>19.688099999999999</v>
      </c>
      <c r="R770" s="9"/>
      <c r="S770" s="11"/>
    </row>
    <row r="771" spans="1:19" ht="15.75">
      <c r="A771" s="13">
        <v>64984</v>
      </c>
      <c r="B771" s="8">
        <f>29.7008 * CHOOSE(CONTROL!$C$15, $D$11, 100%, $F$11)</f>
        <v>29.700800000000001</v>
      </c>
      <c r="C771" s="8">
        <f>29.706 * CHOOSE(CONTROL!$C$15, $D$11, 100%, $F$11)</f>
        <v>29.706</v>
      </c>
      <c r="D771" s="8">
        <f>29.6829 * CHOOSE( CONTROL!$C$15, $D$11, 100%, $F$11)</f>
        <v>29.6829</v>
      </c>
      <c r="E771" s="12">
        <f>29.6908 * CHOOSE( CONTROL!$C$15, $D$11, 100%, $F$11)</f>
        <v>29.690799999999999</v>
      </c>
      <c r="F771" s="4">
        <f>30.3457 * CHOOSE(CONTROL!$C$15, $D$11, 100%, $F$11)</f>
        <v>30.345700000000001</v>
      </c>
      <c r="G771" s="8">
        <f>29.1895 * CHOOSE( CONTROL!$C$15, $D$11, 100%, $F$11)</f>
        <v>29.189499999999999</v>
      </c>
      <c r="H771" s="4">
        <f>30.0713 * CHOOSE(CONTROL!$C$15, $D$11, 100%, $F$11)</f>
        <v>30.071300000000001</v>
      </c>
      <c r="I771" s="8">
        <f>28.8157 * CHOOSE(CONTROL!$C$15, $D$11, 100%, $F$11)</f>
        <v>28.8157</v>
      </c>
      <c r="J771" s="4">
        <f>28.6826 * CHOOSE(CONTROL!$C$15, $D$11, 100%, $F$11)</f>
        <v>28.682600000000001</v>
      </c>
      <c r="K771" s="4"/>
      <c r="L771" s="9">
        <v>28.360600000000002</v>
      </c>
      <c r="M771" s="9">
        <v>11.6745</v>
      </c>
      <c r="N771" s="9">
        <v>4.7850000000000001</v>
      </c>
      <c r="O771" s="9">
        <v>0.36199999999999999</v>
      </c>
      <c r="P771" s="9">
        <v>1.2509999999999999</v>
      </c>
      <c r="Q771" s="9">
        <v>19.053000000000001</v>
      </c>
      <c r="R771" s="9"/>
      <c r="S771" s="11"/>
    </row>
    <row r="772" spans="1:19" ht="15.75">
      <c r="A772" s="13">
        <v>65015</v>
      </c>
      <c r="B772" s="8">
        <f>29.6469 * CHOOSE(CONTROL!$C$15, $D$11, 100%, $F$11)</f>
        <v>29.646899999999999</v>
      </c>
      <c r="C772" s="8">
        <f>29.652 * CHOOSE(CONTROL!$C$15, $D$11, 100%, $F$11)</f>
        <v>29.652000000000001</v>
      </c>
      <c r="D772" s="8">
        <f>29.6303 * CHOOSE( CONTROL!$C$15, $D$11, 100%, $F$11)</f>
        <v>29.630299999999998</v>
      </c>
      <c r="E772" s="12">
        <f>29.6377 * CHOOSE( CONTROL!$C$15, $D$11, 100%, $F$11)</f>
        <v>29.637699999999999</v>
      </c>
      <c r="F772" s="4">
        <f>30.2918 * CHOOSE(CONTROL!$C$15, $D$11, 100%, $F$11)</f>
        <v>30.291799999999999</v>
      </c>
      <c r="G772" s="8">
        <f>29.1374 * CHOOSE( CONTROL!$C$15, $D$11, 100%, $F$11)</f>
        <v>29.1374</v>
      </c>
      <c r="H772" s="4">
        <f>30.0182 * CHOOSE(CONTROL!$C$15, $D$11, 100%, $F$11)</f>
        <v>30.0182</v>
      </c>
      <c r="I772" s="8">
        <f>28.7678 * CHOOSE(CONTROL!$C$15, $D$11, 100%, $F$11)</f>
        <v>28.767800000000001</v>
      </c>
      <c r="J772" s="4">
        <f>28.6305 * CHOOSE(CONTROL!$C$15, $D$11, 100%, $F$11)</f>
        <v>28.630500000000001</v>
      </c>
      <c r="K772" s="4"/>
      <c r="L772" s="9">
        <v>29.306000000000001</v>
      </c>
      <c r="M772" s="9">
        <v>12.063700000000001</v>
      </c>
      <c r="N772" s="9">
        <v>4.9444999999999997</v>
      </c>
      <c r="O772" s="9">
        <v>0.37409999999999999</v>
      </c>
      <c r="P772" s="9">
        <v>1.2927</v>
      </c>
      <c r="Q772" s="9">
        <v>19.688099999999999</v>
      </c>
      <c r="R772" s="9"/>
      <c r="S772" s="11"/>
    </row>
    <row r="773" spans="1:19" ht="15.75">
      <c r="A773" s="13">
        <v>65046</v>
      </c>
      <c r="B773" s="8">
        <f>30.7788 * CHOOSE(CONTROL!$C$15, $D$11, 100%, $F$11)</f>
        <v>30.7788</v>
      </c>
      <c r="C773" s="8">
        <f>30.7839 * CHOOSE(CONTROL!$C$15, $D$11, 100%, $F$11)</f>
        <v>30.783899999999999</v>
      </c>
      <c r="D773" s="8">
        <f>30.7581 * CHOOSE( CONTROL!$C$15, $D$11, 100%, $F$11)</f>
        <v>30.758099999999999</v>
      </c>
      <c r="E773" s="12">
        <f>30.767 * CHOOSE( CONTROL!$C$15, $D$11, 100%, $F$11)</f>
        <v>30.766999999999999</v>
      </c>
      <c r="F773" s="4">
        <f>31.4228 * CHOOSE(CONTROL!$C$15, $D$11, 100%, $F$11)</f>
        <v>31.422799999999999</v>
      </c>
      <c r="G773" s="8">
        <f>30.2443 * CHOOSE( CONTROL!$C$15, $D$11, 100%, $F$11)</f>
        <v>30.244299999999999</v>
      </c>
      <c r="H773" s="4">
        <f>31.1305 * CHOOSE(CONTROL!$C$15, $D$11, 100%, $F$11)</f>
        <v>31.130500000000001</v>
      </c>
      <c r="I773" s="8">
        <f>29.8332 * CHOOSE(CONTROL!$C$15, $D$11, 100%, $F$11)</f>
        <v>29.833200000000001</v>
      </c>
      <c r="J773" s="4">
        <f>29.7247 * CHOOSE(CONTROL!$C$15, $D$11, 100%, $F$11)</f>
        <v>29.724699999999999</v>
      </c>
      <c r="K773" s="4"/>
      <c r="L773" s="9">
        <v>29.306000000000001</v>
      </c>
      <c r="M773" s="9">
        <v>12.063700000000001</v>
      </c>
      <c r="N773" s="9">
        <v>4.9444999999999997</v>
      </c>
      <c r="O773" s="9">
        <v>0.37409999999999999</v>
      </c>
      <c r="P773" s="9">
        <v>1.2927</v>
      </c>
      <c r="Q773" s="9">
        <v>19.688099999999999</v>
      </c>
      <c r="R773" s="9"/>
      <c r="S773" s="11"/>
    </row>
    <row r="774" spans="1:19" ht="15.75">
      <c r="A774" s="13">
        <v>65074</v>
      </c>
      <c r="B774" s="8">
        <f>28.791 * CHOOSE(CONTROL!$C$15, $D$11, 100%, $F$11)</f>
        <v>28.791</v>
      </c>
      <c r="C774" s="8">
        <f>28.7961 * CHOOSE(CONTROL!$C$15, $D$11, 100%, $F$11)</f>
        <v>28.796099999999999</v>
      </c>
      <c r="D774" s="8">
        <f>28.7705 * CHOOSE( CONTROL!$C$15, $D$11, 100%, $F$11)</f>
        <v>28.770499999999998</v>
      </c>
      <c r="E774" s="12">
        <f>28.7793 * CHOOSE( CONTROL!$C$15, $D$11, 100%, $F$11)</f>
        <v>28.779299999999999</v>
      </c>
      <c r="F774" s="4">
        <f>29.435 * CHOOSE(CONTROL!$C$15, $D$11, 100%, $F$11)</f>
        <v>29.434999999999999</v>
      </c>
      <c r="G774" s="8">
        <f>28.2896 * CHOOSE( CONTROL!$C$15, $D$11, 100%, $F$11)</f>
        <v>28.2896</v>
      </c>
      <c r="H774" s="4">
        <f>29.1757 * CHOOSE(CONTROL!$C$15, $D$11, 100%, $F$11)</f>
        <v>29.175699999999999</v>
      </c>
      <c r="I774" s="8">
        <f>27.9113 * CHOOSE(CONTROL!$C$15, $D$11, 100%, $F$11)</f>
        <v>27.911300000000001</v>
      </c>
      <c r="J774" s="4">
        <f>27.803 * CHOOSE(CONTROL!$C$15, $D$11, 100%, $F$11)</f>
        <v>27.803000000000001</v>
      </c>
      <c r="K774" s="4"/>
      <c r="L774" s="9">
        <v>26.469899999999999</v>
      </c>
      <c r="M774" s="9">
        <v>10.8962</v>
      </c>
      <c r="N774" s="9">
        <v>4.4660000000000002</v>
      </c>
      <c r="O774" s="9">
        <v>0.33789999999999998</v>
      </c>
      <c r="P774" s="9">
        <v>1.1676</v>
      </c>
      <c r="Q774" s="9">
        <v>17.782800000000002</v>
      </c>
      <c r="R774" s="9"/>
      <c r="S774" s="11"/>
    </row>
    <row r="775" spans="1:19" ht="15.75">
      <c r="A775" s="13">
        <v>65105</v>
      </c>
      <c r="B775" s="8">
        <f>28.1787 * CHOOSE(CONTROL!$C$15, $D$11, 100%, $F$11)</f>
        <v>28.178699999999999</v>
      </c>
      <c r="C775" s="8">
        <f>28.1838 * CHOOSE(CONTROL!$C$15, $D$11, 100%, $F$11)</f>
        <v>28.183800000000002</v>
      </c>
      <c r="D775" s="8">
        <f>28.1581 * CHOOSE( CONTROL!$C$15, $D$11, 100%, $F$11)</f>
        <v>28.158100000000001</v>
      </c>
      <c r="E775" s="12">
        <f>28.167 * CHOOSE( CONTROL!$C$15, $D$11, 100%, $F$11)</f>
        <v>28.167000000000002</v>
      </c>
      <c r="F775" s="4">
        <f>28.8227 * CHOOSE(CONTROL!$C$15, $D$11, 100%, $F$11)</f>
        <v>28.822700000000001</v>
      </c>
      <c r="G775" s="8">
        <f>27.6875 * CHOOSE( CONTROL!$C$15, $D$11, 100%, $F$11)</f>
        <v>27.6875</v>
      </c>
      <c r="H775" s="4">
        <f>28.5736 * CHOOSE(CONTROL!$C$15, $D$11, 100%, $F$11)</f>
        <v>28.573599999999999</v>
      </c>
      <c r="I775" s="8">
        <f>27.3189 * CHOOSE(CONTROL!$C$15, $D$11, 100%, $F$11)</f>
        <v>27.318899999999999</v>
      </c>
      <c r="J775" s="4">
        <f>27.2112 * CHOOSE(CONTROL!$C$15, $D$11, 100%, $F$11)</f>
        <v>27.211200000000002</v>
      </c>
      <c r="K775" s="4"/>
      <c r="L775" s="9">
        <v>29.306000000000001</v>
      </c>
      <c r="M775" s="9">
        <v>12.063700000000001</v>
      </c>
      <c r="N775" s="9">
        <v>4.9444999999999997</v>
      </c>
      <c r="O775" s="9">
        <v>0.37409999999999999</v>
      </c>
      <c r="P775" s="9">
        <v>1.2927</v>
      </c>
      <c r="Q775" s="9">
        <v>19.688099999999999</v>
      </c>
      <c r="R775" s="9"/>
      <c r="S775" s="11"/>
    </row>
    <row r="776" spans="1:19" ht="15.75">
      <c r="A776" s="13">
        <v>65135</v>
      </c>
      <c r="B776" s="8">
        <f>28.6073 * CHOOSE(CONTROL!$C$15, $D$11, 100%, $F$11)</f>
        <v>28.607299999999999</v>
      </c>
      <c r="C776" s="8">
        <f>28.6118 * CHOOSE(CONTROL!$C$15, $D$11, 100%, $F$11)</f>
        <v>28.611799999999999</v>
      </c>
      <c r="D776" s="8">
        <f>28.6229 * CHOOSE( CONTROL!$C$15, $D$11, 100%, $F$11)</f>
        <v>28.622900000000001</v>
      </c>
      <c r="E776" s="12">
        <f>28.6187 * CHOOSE( CONTROL!$C$15, $D$11, 100%, $F$11)</f>
        <v>28.6187</v>
      </c>
      <c r="F776" s="4">
        <f>29.2969 * CHOOSE(CONTROL!$C$15, $D$11, 100%, $F$11)</f>
        <v>29.296900000000001</v>
      </c>
      <c r="G776" s="8">
        <f>28.101 * CHOOSE( CONTROL!$C$15, $D$11, 100%, $F$11)</f>
        <v>28.100999999999999</v>
      </c>
      <c r="H776" s="4">
        <f>29.0399 * CHOOSE(CONTROL!$C$15, $D$11, 100%, $F$11)</f>
        <v>29.039899999999999</v>
      </c>
      <c r="I776" s="8">
        <f>27.7278 * CHOOSE(CONTROL!$C$15, $D$11, 100%, $F$11)</f>
        <v>27.727799999999998</v>
      </c>
      <c r="J776" s="4">
        <f>27.6248 * CHOOSE(CONTROL!$C$15, $D$11, 100%, $F$11)</f>
        <v>27.6248</v>
      </c>
      <c r="K776" s="4"/>
      <c r="L776" s="9">
        <v>30.092199999999998</v>
      </c>
      <c r="M776" s="9">
        <v>11.6745</v>
      </c>
      <c r="N776" s="9">
        <v>4.7850000000000001</v>
      </c>
      <c r="O776" s="9">
        <v>0.36199999999999999</v>
      </c>
      <c r="P776" s="9">
        <v>1.1791</v>
      </c>
      <c r="Q776" s="9">
        <v>19.053000000000001</v>
      </c>
      <c r="R776" s="9"/>
      <c r="S776" s="11"/>
    </row>
    <row r="777" spans="1:19" ht="15.75">
      <c r="A777" s="13">
        <v>65166</v>
      </c>
      <c r="B777" s="8">
        <f>CHOOSE( CONTROL!$C$32, 29.3737, 29.3701) * CHOOSE(CONTROL!$C$15, $D$11, 100%, $F$11)</f>
        <v>29.373699999999999</v>
      </c>
      <c r="C777" s="8">
        <f>CHOOSE( CONTROL!$C$32, 29.3817, 29.3781) * CHOOSE(CONTROL!$C$15, $D$11, 100%, $F$11)</f>
        <v>29.381699999999999</v>
      </c>
      <c r="D777" s="8">
        <f>CHOOSE( CONTROL!$C$32, 29.3877, 29.3841) * CHOOSE( CONTROL!$C$15, $D$11, 100%, $F$11)</f>
        <v>29.387699999999999</v>
      </c>
      <c r="E777" s="12">
        <f>CHOOSE( CONTROL!$C$32, 29.3843, 29.3807) * CHOOSE( CONTROL!$C$15, $D$11, 100%, $F$11)</f>
        <v>29.3843</v>
      </c>
      <c r="F777" s="4">
        <f>CHOOSE( CONTROL!$C$32, 30.0619, 30.0584) * CHOOSE(CONTROL!$C$15, $D$11, 100%, $F$11)</f>
        <v>30.061900000000001</v>
      </c>
      <c r="G777" s="8">
        <f>CHOOSE( CONTROL!$C$32, 28.8544, 28.8509) * CHOOSE( CONTROL!$C$15, $D$11, 100%, $F$11)</f>
        <v>28.854399999999998</v>
      </c>
      <c r="H777" s="4">
        <f>CHOOSE( CONTROL!$C$32, 29.7922, 29.7887) * CHOOSE(CONTROL!$C$15, $D$11, 100%, $F$11)</f>
        <v>29.792200000000001</v>
      </c>
      <c r="I777" s="8">
        <f>CHOOSE( CONTROL!$C$32, 28.4685, 28.4651) * CHOOSE(CONTROL!$C$15, $D$11, 100%, $F$11)</f>
        <v>28.468499999999999</v>
      </c>
      <c r="J777" s="4">
        <f>CHOOSE( CONTROL!$C$32, 28.3643, 28.3608) * CHOOSE(CONTROL!$C$15, $D$11, 100%, $F$11)</f>
        <v>28.3643</v>
      </c>
      <c r="K777" s="4"/>
      <c r="L777" s="9">
        <v>30.7165</v>
      </c>
      <c r="M777" s="9">
        <v>12.063700000000001</v>
      </c>
      <c r="N777" s="9">
        <v>4.9444999999999997</v>
      </c>
      <c r="O777" s="9">
        <v>0.37409999999999999</v>
      </c>
      <c r="P777" s="9">
        <v>1.2183999999999999</v>
      </c>
      <c r="Q777" s="9">
        <v>19.688099999999999</v>
      </c>
      <c r="R777" s="9"/>
      <c r="S777" s="11"/>
    </row>
    <row r="778" spans="1:19" ht="15.75">
      <c r="A778" s="13">
        <v>65196</v>
      </c>
      <c r="B778" s="8">
        <f>CHOOSE( CONTROL!$C$32, 28.902, 28.8984) * CHOOSE(CONTROL!$C$15, $D$11, 100%, $F$11)</f>
        <v>28.902000000000001</v>
      </c>
      <c r="C778" s="8">
        <f>CHOOSE( CONTROL!$C$32, 28.91, 28.9064) * CHOOSE(CONTROL!$C$15, $D$11, 100%, $F$11)</f>
        <v>28.91</v>
      </c>
      <c r="D778" s="8">
        <f>CHOOSE( CONTROL!$C$32, 28.9163, 28.9127) * CHOOSE( CONTROL!$C$15, $D$11, 100%, $F$11)</f>
        <v>28.9163</v>
      </c>
      <c r="E778" s="12">
        <f>CHOOSE( CONTROL!$C$32, 28.9128, 28.9092) * CHOOSE( CONTROL!$C$15, $D$11, 100%, $F$11)</f>
        <v>28.912800000000001</v>
      </c>
      <c r="F778" s="4">
        <f>CHOOSE( CONTROL!$C$32, 29.5903, 29.5867) * CHOOSE(CONTROL!$C$15, $D$11, 100%, $F$11)</f>
        <v>29.590299999999999</v>
      </c>
      <c r="G778" s="8">
        <f>CHOOSE( CONTROL!$C$32, 28.3909, 28.3874) * CHOOSE( CONTROL!$C$15, $D$11, 100%, $F$11)</f>
        <v>28.390899999999998</v>
      </c>
      <c r="H778" s="4">
        <f>CHOOSE( CONTROL!$C$32, 29.3284, 29.3248) * CHOOSE(CONTROL!$C$15, $D$11, 100%, $F$11)</f>
        <v>29.328399999999998</v>
      </c>
      <c r="I778" s="8">
        <f>CHOOSE( CONTROL!$C$32, 28.0136, 28.0102) * CHOOSE(CONTROL!$C$15, $D$11, 100%, $F$11)</f>
        <v>28.0136</v>
      </c>
      <c r="J778" s="4">
        <f>CHOOSE( CONTROL!$C$32, 27.9083, 27.9049) * CHOOSE(CONTROL!$C$15, $D$11, 100%, $F$11)</f>
        <v>27.908300000000001</v>
      </c>
      <c r="K778" s="4"/>
      <c r="L778" s="9">
        <v>29.7257</v>
      </c>
      <c r="M778" s="9">
        <v>11.6745</v>
      </c>
      <c r="N778" s="9">
        <v>4.7850000000000001</v>
      </c>
      <c r="O778" s="9">
        <v>0.36199999999999999</v>
      </c>
      <c r="P778" s="9">
        <v>1.1791</v>
      </c>
      <c r="Q778" s="9">
        <v>19.053000000000001</v>
      </c>
      <c r="R778" s="9"/>
      <c r="S778" s="11"/>
    </row>
    <row r="779" spans="1:19" ht="15.75">
      <c r="A779" s="13">
        <v>65227</v>
      </c>
      <c r="B779" s="8">
        <f>CHOOSE( CONTROL!$C$32, 30.1441, 30.1405) * CHOOSE(CONTROL!$C$15, $D$11, 100%, $F$11)</f>
        <v>30.144100000000002</v>
      </c>
      <c r="C779" s="8">
        <f>CHOOSE( CONTROL!$C$32, 30.1521, 30.1485) * CHOOSE(CONTROL!$C$15, $D$11, 100%, $F$11)</f>
        <v>30.152100000000001</v>
      </c>
      <c r="D779" s="8">
        <f>CHOOSE( CONTROL!$C$32, 30.1587, 30.1551) * CHOOSE( CONTROL!$C$15, $D$11, 100%, $F$11)</f>
        <v>30.1587</v>
      </c>
      <c r="E779" s="12">
        <f>CHOOSE( CONTROL!$C$32, 30.1551, 30.1515) * CHOOSE( CONTROL!$C$15, $D$11, 100%, $F$11)</f>
        <v>30.155100000000001</v>
      </c>
      <c r="F779" s="4">
        <f>CHOOSE( CONTROL!$C$32, 30.8324, 30.8288) * CHOOSE(CONTROL!$C$15, $D$11, 100%, $F$11)</f>
        <v>30.8324</v>
      </c>
      <c r="G779" s="8">
        <f>CHOOSE( CONTROL!$C$32, 29.6129, 29.6094) * CHOOSE( CONTROL!$C$15, $D$11, 100%, $F$11)</f>
        <v>29.6129</v>
      </c>
      <c r="H779" s="4">
        <f>CHOOSE( CONTROL!$C$32, 30.5499, 30.5464) * CHOOSE(CONTROL!$C$15, $D$11, 100%, $F$11)</f>
        <v>30.549900000000001</v>
      </c>
      <c r="I779" s="8">
        <f>CHOOSE( CONTROL!$C$32, 29.2165, 29.213) * CHOOSE(CONTROL!$C$15, $D$11, 100%, $F$11)</f>
        <v>29.2165</v>
      </c>
      <c r="J779" s="4">
        <f>CHOOSE( CONTROL!$C$32, 29.1091, 29.1056) * CHOOSE(CONTROL!$C$15, $D$11, 100%, $F$11)</f>
        <v>29.109100000000002</v>
      </c>
      <c r="K779" s="4"/>
      <c r="L779" s="9">
        <v>30.7165</v>
      </c>
      <c r="M779" s="9">
        <v>12.063700000000001</v>
      </c>
      <c r="N779" s="9">
        <v>4.9444999999999997</v>
      </c>
      <c r="O779" s="9">
        <v>0.37409999999999999</v>
      </c>
      <c r="P779" s="9">
        <v>1.2183999999999999</v>
      </c>
      <c r="Q779" s="9">
        <v>19.688099999999999</v>
      </c>
      <c r="R779" s="9"/>
      <c r="S779" s="11"/>
    </row>
    <row r="780" spans="1:19" ht="15.75">
      <c r="A780" s="13">
        <v>65258</v>
      </c>
      <c r="B780" s="8">
        <f>CHOOSE( CONTROL!$C$32, 27.82, 27.8164) * CHOOSE(CONTROL!$C$15, $D$11, 100%, $F$11)</f>
        <v>27.82</v>
      </c>
      <c r="C780" s="8">
        <f>CHOOSE( CONTROL!$C$32, 27.828, 27.8244) * CHOOSE(CONTROL!$C$15, $D$11, 100%, $F$11)</f>
        <v>27.827999999999999</v>
      </c>
      <c r="D780" s="8">
        <f>CHOOSE( CONTROL!$C$32, 27.8347, 27.8311) * CHOOSE( CONTROL!$C$15, $D$11, 100%, $F$11)</f>
        <v>27.834700000000002</v>
      </c>
      <c r="E780" s="12">
        <f>CHOOSE( CONTROL!$C$32, 27.8311, 27.8275) * CHOOSE( CONTROL!$C$15, $D$11, 100%, $F$11)</f>
        <v>27.831099999999999</v>
      </c>
      <c r="F780" s="4">
        <f>CHOOSE( CONTROL!$C$32, 28.5082, 28.5047) * CHOOSE(CONTROL!$C$15, $D$11, 100%, $F$11)</f>
        <v>28.508199999999999</v>
      </c>
      <c r="G780" s="8">
        <f>CHOOSE( CONTROL!$C$32, 27.3274, 27.3239) * CHOOSE( CONTROL!$C$15, $D$11, 100%, $F$11)</f>
        <v>27.327400000000001</v>
      </c>
      <c r="H780" s="4">
        <f>CHOOSE( CONTROL!$C$32, 28.2643, 28.2608) * CHOOSE(CONTROL!$C$15, $D$11, 100%, $F$11)</f>
        <v>28.264299999999999</v>
      </c>
      <c r="I780" s="8">
        <f>CHOOSE( CONTROL!$C$32, 26.9691, 26.9656) * CHOOSE(CONTROL!$C$15, $D$11, 100%, $F$11)</f>
        <v>26.969100000000001</v>
      </c>
      <c r="J780" s="4">
        <f>CHOOSE( CONTROL!$C$32, 26.8623, 26.8589) * CHOOSE(CONTROL!$C$15, $D$11, 100%, $F$11)</f>
        <v>26.862300000000001</v>
      </c>
      <c r="K780" s="4"/>
      <c r="L780" s="9">
        <v>30.7165</v>
      </c>
      <c r="M780" s="9">
        <v>12.063700000000001</v>
      </c>
      <c r="N780" s="9">
        <v>4.9444999999999997</v>
      </c>
      <c r="O780" s="9">
        <v>0.37409999999999999</v>
      </c>
      <c r="P780" s="9">
        <v>1.2183999999999999</v>
      </c>
      <c r="Q780" s="9">
        <v>19.688099999999999</v>
      </c>
      <c r="R780" s="9"/>
      <c r="S780" s="11"/>
    </row>
    <row r="781" spans="1:19" ht="15.75">
      <c r="A781" s="13">
        <v>65288</v>
      </c>
      <c r="B781" s="8">
        <f>CHOOSE( CONTROL!$C$32, 27.238, 27.2344) * CHOOSE(CONTROL!$C$15, $D$11, 100%, $F$11)</f>
        <v>27.238</v>
      </c>
      <c r="C781" s="8">
        <f>CHOOSE( CONTROL!$C$32, 27.246, 27.2424) * CHOOSE(CONTROL!$C$15, $D$11, 100%, $F$11)</f>
        <v>27.245999999999999</v>
      </c>
      <c r="D781" s="8">
        <f>CHOOSE( CONTROL!$C$32, 27.2527, 27.2491) * CHOOSE( CONTROL!$C$15, $D$11, 100%, $F$11)</f>
        <v>27.252700000000001</v>
      </c>
      <c r="E781" s="12">
        <f>CHOOSE( CONTROL!$C$32, 27.2491, 27.2455) * CHOOSE( CONTROL!$C$15, $D$11, 100%, $F$11)</f>
        <v>27.249099999999999</v>
      </c>
      <c r="F781" s="4">
        <f>CHOOSE( CONTROL!$C$32, 27.9262, 27.9227) * CHOOSE(CONTROL!$C$15, $D$11, 100%, $F$11)</f>
        <v>27.926200000000001</v>
      </c>
      <c r="G781" s="8">
        <f>CHOOSE( CONTROL!$C$32, 26.7551, 26.7516) * CHOOSE( CONTROL!$C$15, $D$11, 100%, $F$11)</f>
        <v>26.755099999999999</v>
      </c>
      <c r="H781" s="4">
        <f>CHOOSE( CONTROL!$C$32, 27.6919, 27.6884) * CHOOSE(CONTROL!$C$15, $D$11, 100%, $F$11)</f>
        <v>27.6919</v>
      </c>
      <c r="I781" s="8">
        <f>CHOOSE( CONTROL!$C$32, 26.4062, 26.4027) * CHOOSE(CONTROL!$C$15, $D$11, 100%, $F$11)</f>
        <v>26.406199999999998</v>
      </c>
      <c r="J781" s="4">
        <f>CHOOSE( CONTROL!$C$32, 26.2997, 26.2963) * CHOOSE(CONTROL!$C$15, $D$11, 100%, $F$11)</f>
        <v>26.299700000000001</v>
      </c>
      <c r="K781" s="4"/>
      <c r="L781" s="9">
        <v>29.7257</v>
      </c>
      <c r="M781" s="9">
        <v>11.6745</v>
      </c>
      <c r="N781" s="9">
        <v>4.7850000000000001</v>
      </c>
      <c r="O781" s="9">
        <v>0.36199999999999999</v>
      </c>
      <c r="P781" s="9">
        <v>1.1791</v>
      </c>
      <c r="Q781" s="9">
        <v>19.053000000000001</v>
      </c>
      <c r="R781" s="9"/>
      <c r="S781" s="11"/>
    </row>
    <row r="782" spans="1:19" ht="15.75">
      <c r="A782" s="13">
        <v>65319</v>
      </c>
      <c r="B782" s="8">
        <f>28.4411 * CHOOSE(CONTROL!$C$15, $D$11, 100%, $F$11)</f>
        <v>28.441099999999999</v>
      </c>
      <c r="C782" s="8">
        <f>28.4465 * CHOOSE(CONTROL!$C$15, $D$11, 100%, $F$11)</f>
        <v>28.4465</v>
      </c>
      <c r="D782" s="8">
        <f>28.458 * CHOOSE( CONTROL!$C$15, $D$11, 100%, $F$11)</f>
        <v>28.457999999999998</v>
      </c>
      <c r="E782" s="12">
        <f>28.4536 * CHOOSE( CONTROL!$C$15, $D$11, 100%, $F$11)</f>
        <v>28.453600000000002</v>
      </c>
      <c r="F782" s="4">
        <f>29.1311 * CHOOSE(CONTROL!$C$15, $D$11, 100%, $F$11)</f>
        <v>29.1311</v>
      </c>
      <c r="G782" s="8">
        <f>27.9395 * CHOOSE( CONTROL!$C$15, $D$11, 100%, $F$11)</f>
        <v>27.939499999999999</v>
      </c>
      <c r="H782" s="4">
        <f>28.8768 * CHOOSE(CONTROL!$C$15, $D$11, 100%, $F$11)</f>
        <v>28.876799999999999</v>
      </c>
      <c r="I782" s="8">
        <f>27.5722 * CHOOSE(CONTROL!$C$15, $D$11, 100%, $F$11)</f>
        <v>27.572199999999999</v>
      </c>
      <c r="J782" s="4">
        <f>27.4644 * CHOOSE(CONTROL!$C$15, $D$11, 100%, $F$11)</f>
        <v>27.464400000000001</v>
      </c>
      <c r="K782" s="4"/>
      <c r="L782" s="9">
        <v>31.095300000000002</v>
      </c>
      <c r="M782" s="9">
        <v>12.063700000000001</v>
      </c>
      <c r="N782" s="9">
        <v>4.9444999999999997</v>
      </c>
      <c r="O782" s="9">
        <v>0.37409999999999999</v>
      </c>
      <c r="P782" s="9">
        <v>1.2183999999999999</v>
      </c>
      <c r="Q782" s="9">
        <v>19.688099999999999</v>
      </c>
      <c r="R782" s="9"/>
      <c r="S782" s="11"/>
    </row>
    <row r="783" spans="1:19" ht="15.75">
      <c r="A783" s="13">
        <v>65349</v>
      </c>
      <c r="B783" s="8">
        <f>30.6712 * CHOOSE(CONTROL!$C$15, $D$11, 100%, $F$11)</f>
        <v>30.671199999999999</v>
      </c>
      <c r="C783" s="8">
        <f>30.6763 * CHOOSE(CONTROL!$C$15, $D$11, 100%, $F$11)</f>
        <v>30.676300000000001</v>
      </c>
      <c r="D783" s="8">
        <f>30.6532 * CHOOSE( CONTROL!$C$15, $D$11, 100%, $F$11)</f>
        <v>30.653199999999998</v>
      </c>
      <c r="E783" s="12">
        <f>30.6611 * CHOOSE( CONTROL!$C$15, $D$11, 100%, $F$11)</f>
        <v>30.661100000000001</v>
      </c>
      <c r="F783" s="4">
        <f>31.3161 * CHOOSE(CONTROL!$C$15, $D$11, 100%, $F$11)</f>
        <v>31.316099999999999</v>
      </c>
      <c r="G783" s="8">
        <f>30.1437 * CHOOSE( CONTROL!$C$15, $D$11, 100%, $F$11)</f>
        <v>30.143699999999999</v>
      </c>
      <c r="H783" s="4">
        <f>31.0255 * CHOOSE(CONTROL!$C$15, $D$11, 100%, $F$11)</f>
        <v>31.025500000000001</v>
      </c>
      <c r="I783" s="8">
        <f>29.7542 * CHOOSE(CONTROL!$C$15, $D$11, 100%, $F$11)</f>
        <v>29.754200000000001</v>
      </c>
      <c r="J783" s="4">
        <f>29.6207 * CHOOSE(CONTROL!$C$15, $D$11, 100%, $F$11)</f>
        <v>29.620699999999999</v>
      </c>
      <c r="K783" s="4"/>
      <c r="L783" s="9">
        <v>28.360600000000002</v>
      </c>
      <c r="M783" s="9">
        <v>11.6745</v>
      </c>
      <c r="N783" s="9">
        <v>4.7850000000000001</v>
      </c>
      <c r="O783" s="9">
        <v>0.36199999999999999</v>
      </c>
      <c r="P783" s="9">
        <v>1.2509999999999999</v>
      </c>
      <c r="Q783" s="9">
        <v>19.053000000000001</v>
      </c>
      <c r="R783" s="9"/>
      <c r="S783" s="11"/>
    </row>
    <row r="784" spans="1:19" ht="15.75">
      <c r="A784" s="13">
        <v>65380</v>
      </c>
      <c r="B784" s="8">
        <f>30.6154 * CHOOSE(CONTROL!$C$15, $D$11, 100%, $F$11)</f>
        <v>30.615400000000001</v>
      </c>
      <c r="C784" s="8">
        <f>30.6206 * CHOOSE(CONTROL!$C$15, $D$11, 100%, $F$11)</f>
        <v>30.6206</v>
      </c>
      <c r="D784" s="8">
        <f>30.5989 * CHOOSE( CONTROL!$C$15, $D$11, 100%, $F$11)</f>
        <v>30.5989</v>
      </c>
      <c r="E784" s="12">
        <f>30.6063 * CHOOSE( CONTROL!$C$15, $D$11, 100%, $F$11)</f>
        <v>30.606300000000001</v>
      </c>
      <c r="F784" s="4">
        <f>31.2603 * CHOOSE(CONTROL!$C$15, $D$11, 100%, $F$11)</f>
        <v>31.260300000000001</v>
      </c>
      <c r="G784" s="8">
        <f>30.0899 * CHOOSE( CONTROL!$C$15, $D$11, 100%, $F$11)</f>
        <v>30.0899</v>
      </c>
      <c r="H784" s="4">
        <f>30.9707 * CHOOSE(CONTROL!$C$15, $D$11, 100%, $F$11)</f>
        <v>30.970700000000001</v>
      </c>
      <c r="I784" s="8">
        <f>29.7046 * CHOOSE(CONTROL!$C$15, $D$11, 100%, $F$11)</f>
        <v>29.704599999999999</v>
      </c>
      <c r="J784" s="4">
        <f>29.5668 * CHOOSE(CONTROL!$C$15, $D$11, 100%, $F$11)</f>
        <v>29.566800000000001</v>
      </c>
      <c r="K784" s="4"/>
      <c r="L784" s="9">
        <v>29.306000000000001</v>
      </c>
      <c r="M784" s="9">
        <v>12.063700000000001</v>
      </c>
      <c r="N784" s="9">
        <v>4.9444999999999997</v>
      </c>
      <c r="O784" s="9">
        <v>0.37409999999999999</v>
      </c>
      <c r="P784" s="9">
        <v>1.2927</v>
      </c>
      <c r="Q784" s="9">
        <v>19.688099999999999</v>
      </c>
      <c r="R784" s="9"/>
      <c r="S784" s="11"/>
    </row>
    <row r="785" spans="1:19" ht="15.75">
      <c r="A785" s="13">
        <v>65411</v>
      </c>
      <c r="B785" s="8">
        <f>31.7844 * CHOOSE(CONTROL!$C$15, $D$11, 100%, $F$11)</f>
        <v>31.784400000000002</v>
      </c>
      <c r="C785" s="8">
        <f>31.7895 * CHOOSE(CONTROL!$C$15, $D$11, 100%, $F$11)</f>
        <v>31.7895</v>
      </c>
      <c r="D785" s="8">
        <f>31.7637 * CHOOSE( CONTROL!$C$15, $D$11, 100%, $F$11)</f>
        <v>31.7637</v>
      </c>
      <c r="E785" s="12">
        <f>31.7726 * CHOOSE( CONTROL!$C$15, $D$11, 100%, $F$11)</f>
        <v>31.772600000000001</v>
      </c>
      <c r="F785" s="4">
        <f>32.4284 * CHOOSE(CONTROL!$C$15, $D$11, 100%, $F$11)</f>
        <v>32.428400000000003</v>
      </c>
      <c r="G785" s="8">
        <f>31.2332 * CHOOSE( CONTROL!$C$15, $D$11, 100%, $F$11)</f>
        <v>31.2332</v>
      </c>
      <c r="H785" s="4">
        <f>32.1195 * CHOOSE(CONTROL!$C$15, $D$11, 100%, $F$11)</f>
        <v>32.119500000000002</v>
      </c>
      <c r="I785" s="8">
        <f>30.8058 * CHOOSE(CONTROL!$C$15, $D$11, 100%, $F$11)</f>
        <v>30.805800000000001</v>
      </c>
      <c r="J785" s="4">
        <f>30.6968 * CHOOSE(CONTROL!$C$15, $D$11, 100%, $F$11)</f>
        <v>30.6968</v>
      </c>
      <c r="K785" s="4"/>
      <c r="L785" s="9">
        <v>29.306000000000001</v>
      </c>
      <c r="M785" s="9">
        <v>12.063700000000001</v>
      </c>
      <c r="N785" s="9">
        <v>4.9444999999999997</v>
      </c>
      <c r="O785" s="9">
        <v>0.37409999999999999</v>
      </c>
      <c r="P785" s="9">
        <v>1.2927</v>
      </c>
      <c r="Q785" s="9">
        <v>19.688099999999999</v>
      </c>
      <c r="R785" s="9"/>
      <c r="S785" s="11"/>
    </row>
    <row r="786" spans="1:19" ht="15.75">
      <c r="A786" s="13">
        <v>65439</v>
      </c>
      <c r="B786" s="8">
        <f>29.7315 * CHOOSE(CONTROL!$C$15, $D$11, 100%, $F$11)</f>
        <v>29.7315</v>
      </c>
      <c r="C786" s="8">
        <f>29.7367 * CHOOSE(CONTROL!$C$15, $D$11, 100%, $F$11)</f>
        <v>29.736699999999999</v>
      </c>
      <c r="D786" s="8">
        <f>29.7111 * CHOOSE( CONTROL!$C$15, $D$11, 100%, $F$11)</f>
        <v>29.711099999999998</v>
      </c>
      <c r="E786" s="12">
        <f>29.7199 * CHOOSE( CONTROL!$C$15, $D$11, 100%, $F$11)</f>
        <v>29.719899999999999</v>
      </c>
      <c r="F786" s="4">
        <f>30.3756 * CHOOSE(CONTROL!$C$15, $D$11, 100%, $F$11)</f>
        <v>30.375599999999999</v>
      </c>
      <c r="G786" s="8">
        <f>29.2146 * CHOOSE( CONTROL!$C$15, $D$11, 100%, $F$11)</f>
        <v>29.214600000000001</v>
      </c>
      <c r="H786" s="4">
        <f>30.1006 * CHOOSE(CONTROL!$C$15, $D$11, 100%, $F$11)</f>
        <v>30.1006</v>
      </c>
      <c r="I786" s="8">
        <f>28.821 * CHOOSE(CONTROL!$C$15, $D$11, 100%, $F$11)</f>
        <v>28.821000000000002</v>
      </c>
      <c r="J786" s="4">
        <f>28.7123 * CHOOSE(CONTROL!$C$15, $D$11, 100%, $F$11)</f>
        <v>28.712299999999999</v>
      </c>
      <c r="K786" s="4"/>
      <c r="L786" s="9">
        <v>26.469899999999999</v>
      </c>
      <c r="M786" s="9">
        <v>10.8962</v>
      </c>
      <c r="N786" s="9">
        <v>4.4660000000000002</v>
      </c>
      <c r="O786" s="9">
        <v>0.33789999999999998</v>
      </c>
      <c r="P786" s="9">
        <v>1.1676</v>
      </c>
      <c r="Q786" s="9">
        <v>17.782800000000002</v>
      </c>
      <c r="R786" s="9"/>
      <c r="S786" s="11"/>
    </row>
    <row r="787" spans="1:19" ht="15.75">
      <c r="A787" s="13">
        <v>65470</v>
      </c>
      <c r="B787" s="8">
        <f>29.0993 * CHOOSE(CONTROL!$C$15, $D$11, 100%, $F$11)</f>
        <v>29.099299999999999</v>
      </c>
      <c r="C787" s="8">
        <f>29.1044 * CHOOSE(CONTROL!$C$15, $D$11, 100%, $F$11)</f>
        <v>29.104399999999998</v>
      </c>
      <c r="D787" s="8">
        <f>29.0787 * CHOOSE( CONTROL!$C$15, $D$11, 100%, $F$11)</f>
        <v>29.078700000000001</v>
      </c>
      <c r="E787" s="12">
        <f>29.0876 * CHOOSE( CONTROL!$C$15, $D$11, 100%, $F$11)</f>
        <v>29.087599999999998</v>
      </c>
      <c r="F787" s="4">
        <f>29.7433 * CHOOSE(CONTROL!$C$15, $D$11, 100%, $F$11)</f>
        <v>29.743300000000001</v>
      </c>
      <c r="G787" s="8">
        <f>28.5927 * CHOOSE( CONTROL!$C$15, $D$11, 100%, $F$11)</f>
        <v>28.592700000000001</v>
      </c>
      <c r="H787" s="4">
        <f>29.4789 * CHOOSE(CONTROL!$C$15, $D$11, 100%, $F$11)</f>
        <v>29.478899999999999</v>
      </c>
      <c r="I787" s="8">
        <f>28.2093 * CHOOSE(CONTROL!$C$15, $D$11, 100%, $F$11)</f>
        <v>28.209299999999999</v>
      </c>
      <c r="J787" s="4">
        <f>28.1011 * CHOOSE(CONTROL!$C$15, $D$11, 100%, $F$11)</f>
        <v>28.101099999999999</v>
      </c>
      <c r="K787" s="4"/>
      <c r="L787" s="9">
        <v>29.306000000000001</v>
      </c>
      <c r="M787" s="9">
        <v>12.063700000000001</v>
      </c>
      <c r="N787" s="9">
        <v>4.9444999999999997</v>
      </c>
      <c r="O787" s="9">
        <v>0.37409999999999999</v>
      </c>
      <c r="P787" s="9">
        <v>1.2927</v>
      </c>
      <c r="Q787" s="9">
        <v>19.688099999999999</v>
      </c>
      <c r="R787" s="9"/>
      <c r="S787" s="11"/>
    </row>
    <row r="788" spans="1:19" ht="15.75">
      <c r="A788" s="13">
        <v>65500</v>
      </c>
      <c r="B788" s="8">
        <f>29.5419 * CHOOSE(CONTROL!$C$15, $D$11, 100%, $F$11)</f>
        <v>29.541899999999998</v>
      </c>
      <c r="C788" s="8">
        <f>29.5464 * CHOOSE(CONTROL!$C$15, $D$11, 100%, $F$11)</f>
        <v>29.546399999999998</v>
      </c>
      <c r="D788" s="8">
        <f>29.5574 * CHOOSE( CONTROL!$C$15, $D$11, 100%, $F$11)</f>
        <v>29.557400000000001</v>
      </c>
      <c r="E788" s="12">
        <f>29.5533 * CHOOSE( CONTROL!$C$15, $D$11, 100%, $F$11)</f>
        <v>29.5533</v>
      </c>
      <c r="F788" s="4">
        <f>30.2315 * CHOOSE(CONTROL!$C$15, $D$11, 100%, $F$11)</f>
        <v>30.2315</v>
      </c>
      <c r="G788" s="8">
        <f>29.0201 * CHOOSE( CONTROL!$C$15, $D$11, 100%, $F$11)</f>
        <v>29.020099999999999</v>
      </c>
      <c r="H788" s="4">
        <f>29.959 * CHOOSE(CONTROL!$C$15, $D$11, 100%, $F$11)</f>
        <v>29.959</v>
      </c>
      <c r="I788" s="8">
        <f>28.6317 * CHOOSE(CONTROL!$C$15, $D$11, 100%, $F$11)</f>
        <v>28.631699999999999</v>
      </c>
      <c r="J788" s="4">
        <f>28.5282 * CHOOSE(CONTROL!$C$15, $D$11, 100%, $F$11)</f>
        <v>28.528199999999998</v>
      </c>
      <c r="K788" s="4"/>
      <c r="L788" s="9">
        <v>30.092199999999998</v>
      </c>
      <c r="M788" s="9">
        <v>11.6745</v>
      </c>
      <c r="N788" s="9">
        <v>4.7850000000000001</v>
      </c>
      <c r="O788" s="9">
        <v>0.36199999999999999</v>
      </c>
      <c r="P788" s="9">
        <v>1.1791</v>
      </c>
      <c r="Q788" s="9">
        <v>19.053000000000001</v>
      </c>
      <c r="R788" s="9"/>
      <c r="S788" s="11"/>
    </row>
    <row r="789" spans="1:19" ht="15.75">
      <c r="A789" s="13">
        <v>65531</v>
      </c>
      <c r="B789" s="8">
        <f>CHOOSE( CONTROL!$C$32, 30.3331, 30.3296) * CHOOSE(CONTROL!$C$15, $D$11, 100%, $F$11)</f>
        <v>30.333100000000002</v>
      </c>
      <c r="C789" s="8">
        <f>CHOOSE( CONTROL!$C$32, 30.3411, 30.3376) * CHOOSE(CONTROL!$C$15, $D$11, 100%, $F$11)</f>
        <v>30.341100000000001</v>
      </c>
      <c r="D789" s="8">
        <f>CHOOSE( CONTROL!$C$32, 30.3471, 30.3436) * CHOOSE( CONTROL!$C$15, $D$11, 100%, $F$11)</f>
        <v>30.347100000000001</v>
      </c>
      <c r="E789" s="12">
        <f>CHOOSE( CONTROL!$C$32, 30.3437, 30.3402) * CHOOSE( CONTROL!$C$15, $D$11, 100%, $F$11)</f>
        <v>30.343699999999998</v>
      </c>
      <c r="F789" s="4">
        <f>CHOOSE( CONTROL!$C$32, 31.0214, 31.0178) * CHOOSE(CONTROL!$C$15, $D$11, 100%, $F$11)</f>
        <v>31.0214</v>
      </c>
      <c r="G789" s="8">
        <f>CHOOSE( CONTROL!$C$32, 29.7979, 29.7944) * CHOOSE( CONTROL!$C$15, $D$11, 100%, $F$11)</f>
        <v>29.797899999999998</v>
      </c>
      <c r="H789" s="4">
        <f>CHOOSE( CONTROL!$C$32, 30.7358, 30.7323) * CHOOSE(CONTROL!$C$15, $D$11, 100%, $F$11)</f>
        <v>30.735800000000001</v>
      </c>
      <c r="I789" s="8">
        <f>CHOOSE( CONTROL!$C$32, 29.3965, 29.393) * CHOOSE(CONTROL!$C$15, $D$11, 100%, $F$11)</f>
        <v>29.3965</v>
      </c>
      <c r="J789" s="4">
        <f>CHOOSE( CONTROL!$C$32, 29.2918, 29.2883) * CHOOSE(CONTROL!$C$15, $D$11, 100%, $F$11)</f>
        <v>29.291799999999999</v>
      </c>
      <c r="K789" s="4"/>
      <c r="L789" s="9">
        <v>30.7165</v>
      </c>
      <c r="M789" s="9">
        <v>12.063700000000001</v>
      </c>
      <c r="N789" s="9">
        <v>4.9444999999999997</v>
      </c>
      <c r="O789" s="9">
        <v>0.37409999999999999</v>
      </c>
      <c r="P789" s="9">
        <v>1.2183999999999999</v>
      </c>
      <c r="Q789" s="9">
        <v>19.688099999999999</v>
      </c>
      <c r="R789" s="9"/>
      <c r="S789" s="11"/>
    </row>
    <row r="790" spans="1:19" ht="15.75">
      <c r="A790" s="13">
        <v>65561</v>
      </c>
      <c r="B790" s="8">
        <f>CHOOSE( CONTROL!$C$32, 29.846, 29.8424) * CHOOSE(CONTROL!$C$15, $D$11, 100%, $F$11)</f>
        <v>29.846</v>
      </c>
      <c r="C790" s="8">
        <f>CHOOSE( CONTROL!$C$32, 29.854, 29.8505) * CHOOSE(CONTROL!$C$15, $D$11, 100%, $F$11)</f>
        <v>29.853999999999999</v>
      </c>
      <c r="D790" s="8">
        <f>CHOOSE( CONTROL!$C$32, 29.8603, 29.8567) * CHOOSE( CONTROL!$C$15, $D$11, 100%, $F$11)</f>
        <v>29.860299999999999</v>
      </c>
      <c r="E790" s="12">
        <f>CHOOSE( CONTROL!$C$32, 29.8568, 29.8532) * CHOOSE( CONTROL!$C$15, $D$11, 100%, $F$11)</f>
        <v>29.8568</v>
      </c>
      <c r="F790" s="4">
        <f>CHOOSE( CONTROL!$C$32, 30.5343, 30.5307) * CHOOSE(CONTROL!$C$15, $D$11, 100%, $F$11)</f>
        <v>30.534300000000002</v>
      </c>
      <c r="G790" s="8">
        <f>CHOOSE( CONTROL!$C$32, 29.3193, 29.3158) * CHOOSE( CONTROL!$C$15, $D$11, 100%, $F$11)</f>
        <v>29.319299999999998</v>
      </c>
      <c r="H790" s="4">
        <f>CHOOSE( CONTROL!$C$32, 30.2567, 30.2532) * CHOOSE(CONTROL!$C$15, $D$11, 100%, $F$11)</f>
        <v>30.256699999999999</v>
      </c>
      <c r="I790" s="8">
        <f>CHOOSE( CONTROL!$C$32, 28.9267, 28.9232) * CHOOSE(CONTROL!$C$15, $D$11, 100%, $F$11)</f>
        <v>28.9267</v>
      </c>
      <c r="J790" s="4">
        <f>CHOOSE( CONTROL!$C$32, 28.8209, 28.8175) * CHOOSE(CONTROL!$C$15, $D$11, 100%, $F$11)</f>
        <v>28.820900000000002</v>
      </c>
      <c r="K790" s="4"/>
      <c r="L790" s="9">
        <v>29.7257</v>
      </c>
      <c r="M790" s="9">
        <v>11.6745</v>
      </c>
      <c r="N790" s="9">
        <v>4.7850000000000001</v>
      </c>
      <c r="O790" s="9">
        <v>0.36199999999999999</v>
      </c>
      <c r="P790" s="9">
        <v>1.1791</v>
      </c>
      <c r="Q790" s="9">
        <v>19.053000000000001</v>
      </c>
      <c r="R790" s="9"/>
      <c r="S790" s="11"/>
    </row>
    <row r="791" spans="1:19" ht="15.75">
      <c r="A791" s="13">
        <v>65592</v>
      </c>
      <c r="B791" s="8">
        <f>CHOOSE( CONTROL!$C$32, 31.1287, 31.1252) * CHOOSE(CONTROL!$C$15, $D$11, 100%, $F$11)</f>
        <v>31.128699999999998</v>
      </c>
      <c r="C791" s="8">
        <f>CHOOSE( CONTROL!$C$32, 31.1368, 31.1332) * CHOOSE(CONTROL!$C$15, $D$11, 100%, $F$11)</f>
        <v>31.136800000000001</v>
      </c>
      <c r="D791" s="8">
        <f>CHOOSE( CONTROL!$C$32, 31.1434, 31.1398) * CHOOSE( CONTROL!$C$15, $D$11, 100%, $F$11)</f>
        <v>31.1434</v>
      </c>
      <c r="E791" s="12">
        <f>CHOOSE( CONTROL!$C$32, 31.1398, 31.1362) * CHOOSE( CONTROL!$C$15, $D$11, 100%, $F$11)</f>
        <v>31.139800000000001</v>
      </c>
      <c r="F791" s="4">
        <f>CHOOSE( CONTROL!$C$32, 31.817, 31.8135) * CHOOSE(CONTROL!$C$15, $D$11, 100%, $F$11)</f>
        <v>31.817</v>
      </c>
      <c r="G791" s="8">
        <f>CHOOSE( CONTROL!$C$32, 30.5812, 30.5777) * CHOOSE( CONTROL!$C$15, $D$11, 100%, $F$11)</f>
        <v>30.581199999999999</v>
      </c>
      <c r="H791" s="4">
        <f>CHOOSE( CONTROL!$C$32, 31.5182, 31.5147) * CHOOSE(CONTROL!$C$15, $D$11, 100%, $F$11)</f>
        <v>31.5182</v>
      </c>
      <c r="I791" s="8">
        <f>CHOOSE( CONTROL!$C$32, 30.1688, 30.1654) * CHOOSE(CONTROL!$C$15, $D$11, 100%, $F$11)</f>
        <v>30.168800000000001</v>
      </c>
      <c r="J791" s="4">
        <f>CHOOSE( CONTROL!$C$32, 30.0609, 30.0575) * CHOOSE(CONTROL!$C$15, $D$11, 100%, $F$11)</f>
        <v>30.0609</v>
      </c>
      <c r="K791" s="4"/>
      <c r="L791" s="9">
        <v>30.7165</v>
      </c>
      <c r="M791" s="9">
        <v>12.063700000000001</v>
      </c>
      <c r="N791" s="9">
        <v>4.9444999999999997</v>
      </c>
      <c r="O791" s="9">
        <v>0.37409999999999999</v>
      </c>
      <c r="P791" s="9">
        <v>1.2183999999999999</v>
      </c>
      <c r="Q791" s="9">
        <v>19.688099999999999</v>
      </c>
      <c r="R791" s="9"/>
      <c r="S791" s="11"/>
    </row>
    <row r="792" spans="1:19" ht="15.75">
      <c r="A792" s="13">
        <v>65623</v>
      </c>
      <c r="B792" s="8">
        <f>CHOOSE( CONTROL!$C$32, 28.7286, 28.725) * CHOOSE(CONTROL!$C$15, $D$11, 100%, $F$11)</f>
        <v>28.7286</v>
      </c>
      <c r="C792" s="8">
        <f>CHOOSE( CONTROL!$C$32, 28.7366, 28.7331) * CHOOSE(CONTROL!$C$15, $D$11, 100%, $F$11)</f>
        <v>28.736599999999999</v>
      </c>
      <c r="D792" s="8">
        <f>CHOOSE( CONTROL!$C$32, 28.7433, 28.7397) * CHOOSE( CONTROL!$C$15, $D$11, 100%, $F$11)</f>
        <v>28.743300000000001</v>
      </c>
      <c r="E792" s="12">
        <f>CHOOSE( CONTROL!$C$32, 28.7397, 28.7361) * CHOOSE( CONTROL!$C$15, $D$11, 100%, $F$11)</f>
        <v>28.739699999999999</v>
      </c>
      <c r="F792" s="4">
        <f>CHOOSE( CONTROL!$C$32, 29.4169, 29.4133) * CHOOSE(CONTROL!$C$15, $D$11, 100%, $F$11)</f>
        <v>29.416899999999998</v>
      </c>
      <c r="G792" s="8">
        <f>CHOOSE( CONTROL!$C$32, 28.221, 28.2175) * CHOOSE( CONTROL!$C$15, $D$11, 100%, $F$11)</f>
        <v>28.221</v>
      </c>
      <c r="H792" s="4">
        <f>CHOOSE( CONTROL!$C$32, 29.1579, 29.1543) * CHOOSE(CONTROL!$C$15, $D$11, 100%, $F$11)</f>
        <v>29.157900000000001</v>
      </c>
      <c r="I792" s="8">
        <f>CHOOSE( CONTROL!$C$32, 27.8479, 27.8444) * CHOOSE(CONTROL!$C$15, $D$11, 100%, $F$11)</f>
        <v>27.847899999999999</v>
      </c>
      <c r="J792" s="4">
        <f>CHOOSE( CONTROL!$C$32, 27.7407, 27.7373) * CHOOSE(CONTROL!$C$15, $D$11, 100%, $F$11)</f>
        <v>27.7407</v>
      </c>
      <c r="K792" s="4"/>
      <c r="L792" s="9">
        <v>30.7165</v>
      </c>
      <c r="M792" s="9">
        <v>12.063700000000001</v>
      </c>
      <c r="N792" s="9">
        <v>4.9444999999999997</v>
      </c>
      <c r="O792" s="9">
        <v>0.37409999999999999</v>
      </c>
      <c r="P792" s="9">
        <v>1.2183999999999999</v>
      </c>
      <c r="Q792" s="9">
        <v>19.688099999999999</v>
      </c>
      <c r="R792" s="9"/>
      <c r="S792" s="11"/>
    </row>
    <row r="793" spans="1:19" ht="15.75">
      <c r="A793" s="13">
        <v>65653</v>
      </c>
      <c r="B793" s="8">
        <f>CHOOSE( CONTROL!$C$32, 28.1276, 28.124) * CHOOSE(CONTROL!$C$15, $D$11, 100%, $F$11)</f>
        <v>28.127600000000001</v>
      </c>
      <c r="C793" s="8">
        <f>CHOOSE( CONTROL!$C$32, 28.1356, 28.132) * CHOOSE(CONTROL!$C$15, $D$11, 100%, $F$11)</f>
        <v>28.1356</v>
      </c>
      <c r="D793" s="8">
        <f>CHOOSE( CONTROL!$C$32, 28.1423, 28.1387) * CHOOSE( CONTROL!$C$15, $D$11, 100%, $F$11)</f>
        <v>28.142299999999999</v>
      </c>
      <c r="E793" s="12">
        <f>CHOOSE( CONTROL!$C$32, 28.1387, 28.1351) * CHOOSE( CONTROL!$C$15, $D$11, 100%, $F$11)</f>
        <v>28.1387</v>
      </c>
      <c r="F793" s="4">
        <f>CHOOSE( CONTROL!$C$32, 28.8159, 28.8123) * CHOOSE(CONTROL!$C$15, $D$11, 100%, $F$11)</f>
        <v>28.815899999999999</v>
      </c>
      <c r="G793" s="8">
        <f>CHOOSE( CONTROL!$C$32, 27.63, 27.6264) * CHOOSE( CONTROL!$C$15, $D$11, 100%, $F$11)</f>
        <v>27.63</v>
      </c>
      <c r="H793" s="4">
        <f>CHOOSE( CONTROL!$C$32, 28.5668, 28.5633) * CHOOSE(CONTROL!$C$15, $D$11, 100%, $F$11)</f>
        <v>28.566800000000001</v>
      </c>
      <c r="I793" s="8">
        <f>CHOOSE( CONTROL!$C$32, 27.2666, 27.2631) * CHOOSE(CONTROL!$C$15, $D$11, 100%, $F$11)</f>
        <v>27.2666</v>
      </c>
      <c r="J793" s="4">
        <f>CHOOSE( CONTROL!$C$32, 27.1597, 27.1563) * CHOOSE(CONTROL!$C$15, $D$11, 100%, $F$11)</f>
        <v>27.159700000000001</v>
      </c>
      <c r="K793" s="4"/>
      <c r="L793" s="9">
        <v>29.7257</v>
      </c>
      <c r="M793" s="9">
        <v>11.6745</v>
      </c>
      <c r="N793" s="9">
        <v>4.7850000000000001</v>
      </c>
      <c r="O793" s="9">
        <v>0.36199999999999999</v>
      </c>
      <c r="P793" s="9">
        <v>1.1791</v>
      </c>
      <c r="Q793" s="9">
        <v>19.053000000000001</v>
      </c>
      <c r="R793" s="9"/>
      <c r="S793" s="11"/>
    </row>
    <row r="794" spans="1:19" ht="15.75">
      <c r="A794" s="13">
        <v>65684</v>
      </c>
      <c r="B794" s="8">
        <f>29.3702 * CHOOSE(CONTROL!$C$15, $D$11, 100%, $F$11)</f>
        <v>29.370200000000001</v>
      </c>
      <c r="C794" s="8">
        <f>29.3756 * CHOOSE(CONTROL!$C$15, $D$11, 100%, $F$11)</f>
        <v>29.375599999999999</v>
      </c>
      <c r="D794" s="8">
        <f>29.3871 * CHOOSE( CONTROL!$C$15, $D$11, 100%, $F$11)</f>
        <v>29.3871</v>
      </c>
      <c r="E794" s="12">
        <f>29.3827 * CHOOSE( CONTROL!$C$15, $D$11, 100%, $F$11)</f>
        <v>29.3827</v>
      </c>
      <c r="F794" s="4">
        <f>30.0602 * CHOOSE(CONTROL!$C$15, $D$11, 100%, $F$11)</f>
        <v>30.060199999999998</v>
      </c>
      <c r="G794" s="8">
        <f>28.8532 * CHOOSE( CONTROL!$C$15, $D$11, 100%, $F$11)</f>
        <v>28.853200000000001</v>
      </c>
      <c r="H794" s="4">
        <f>29.7905 * CHOOSE(CONTROL!$C$15, $D$11, 100%, $F$11)</f>
        <v>29.790500000000002</v>
      </c>
      <c r="I794" s="8">
        <f>28.4708 * CHOOSE(CONTROL!$C$15, $D$11, 100%, $F$11)</f>
        <v>28.470800000000001</v>
      </c>
      <c r="J794" s="4">
        <f>28.3626 * CHOOSE(CONTROL!$C$15, $D$11, 100%, $F$11)</f>
        <v>28.3626</v>
      </c>
      <c r="K794" s="4"/>
      <c r="L794" s="9">
        <v>31.095300000000002</v>
      </c>
      <c r="M794" s="9">
        <v>12.063700000000001</v>
      </c>
      <c r="N794" s="9">
        <v>4.9444999999999997</v>
      </c>
      <c r="O794" s="9">
        <v>0.37409999999999999</v>
      </c>
      <c r="P794" s="9">
        <v>1.2183999999999999</v>
      </c>
      <c r="Q794" s="9">
        <v>19.688099999999999</v>
      </c>
      <c r="R794" s="9"/>
      <c r="S794" s="11"/>
    </row>
    <row r="795" spans="1:19" ht="15.75">
      <c r="A795" s="13">
        <v>65714</v>
      </c>
      <c r="B795" s="8">
        <f>31.6733 * CHOOSE(CONTROL!$C$15, $D$11, 100%, $F$11)</f>
        <v>31.673300000000001</v>
      </c>
      <c r="C795" s="8">
        <f>31.6784 * CHOOSE(CONTROL!$C$15, $D$11, 100%, $F$11)</f>
        <v>31.6784</v>
      </c>
      <c r="D795" s="8">
        <f>31.6553 * CHOOSE( CONTROL!$C$15, $D$11, 100%, $F$11)</f>
        <v>31.6553</v>
      </c>
      <c r="E795" s="12">
        <f>31.6632 * CHOOSE( CONTROL!$C$15, $D$11, 100%, $F$11)</f>
        <v>31.6632</v>
      </c>
      <c r="F795" s="4">
        <f>32.3181 * CHOOSE(CONTROL!$C$15, $D$11, 100%, $F$11)</f>
        <v>32.318100000000001</v>
      </c>
      <c r="G795" s="8">
        <f>31.1292 * CHOOSE( CONTROL!$C$15, $D$11, 100%, $F$11)</f>
        <v>31.129200000000001</v>
      </c>
      <c r="H795" s="4">
        <f>32.011 * CHOOSE(CONTROL!$C$15, $D$11, 100%, $F$11)</f>
        <v>32.011000000000003</v>
      </c>
      <c r="I795" s="8">
        <f>30.7234 * CHOOSE(CONTROL!$C$15, $D$11, 100%, $F$11)</f>
        <v>30.723400000000002</v>
      </c>
      <c r="J795" s="4">
        <f>30.5894 * CHOOSE(CONTROL!$C$15, $D$11, 100%, $F$11)</f>
        <v>30.589400000000001</v>
      </c>
      <c r="K795" s="4"/>
      <c r="L795" s="9">
        <v>28.360600000000002</v>
      </c>
      <c r="M795" s="9">
        <v>11.6745</v>
      </c>
      <c r="N795" s="9">
        <v>4.7850000000000001</v>
      </c>
      <c r="O795" s="9">
        <v>0.36199999999999999</v>
      </c>
      <c r="P795" s="9">
        <v>1.2509999999999999</v>
      </c>
      <c r="Q795" s="9">
        <v>19.053000000000001</v>
      </c>
      <c r="R795" s="9"/>
      <c r="S795" s="11"/>
    </row>
    <row r="796" spans="1:19" ht="15.75">
      <c r="A796" s="13">
        <v>65745</v>
      </c>
      <c r="B796" s="8">
        <f>31.6157 * CHOOSE(CONTROL!$C$15, $D$11, 100%, $F$11)</f>
        <v>31.6157</v>
      </c>
      <c r="C796" s="8">
        <f>31.6208 * CHOOSE(CONTROL!$C$15, $D$11, 100%, $F$11)</f>
        <v>31.620799999999999</v>
      </c>
      <c r="D796" s="8">
        <f>31.5991 * CHOOSE( CONTROL!$C$15, $D$11, 100%, $F$11)</f>
        <v>31.5991</v>
      </c>
      <c r="E796" s="12">
        <f>31.6065 * CHOOSE( CONTROL!$C$15, $D$11, 100%, $F$11)</f>
        <v>31.6065</v>
      </c>
      <c r="F796" s="4">
        <f>32.2606 * CHOOSE(CONTROL!$C$15, $D$11, 100%, $F$11)</f>
        <v>32.260599999999997</v>
      </c>
      <c r="G796" s="8">
        <f>31.0736 * CHOOSE( CONTROL!$C$15, $D$11, 100%, $F$11)</f>
        <v>31.073599999999999</v>
      </c>
      <c r="H796" s="4">
        <f>31.9544 * CHOOSE(CONTROL!$C$15, $D$11, 100%, $F$11)</f>
        <v>31.9544</v>
      </c>
      <c r="I796" s="8">
        <f>30.672 * CHOOSE(CONTROL!$C$15, $D$11, 100%, $F$11)</f>
        <v>30.672000000000001</v>
      </c>
      <c r="J796" s="4">
        <f>30.5337 * CHOOSE(CONTROL!$C$15, $D$11, 100%, $F$11)</f>
        <v>30.5337</v>
      </c>
      <c r="K796" s="4"/>
      <c r="L796" s="9">
        <v>29.306000000000001</v>
      </c>
      <c r="M796" s="9">
        <v>12.063700000000001</v>
      </c>
      <c r="N796" s="9">
        <v>4.9444999999999997</v>
      </c>
      <c r="O796" s="9">
        <v>0.37409999999999999</v>
      </c>
      <c r="P796" s="9">
        <v>1.2927</v>
      </c>
      <c r="Q796" s="9">
        <v>19.688099999999999</v>
      </c>
      <c r="R796" s="9"/>
      <c r="S796" s="11"/>
    </row>
    <row r="797" spans="1:19" ht="15.75">
      <c r="A797" s="13">
        <v>65776</v>
      </c>
      <c r="B797" s="8">
        <f>32.8229 * CHOOSE(CONTROL!$C$15, $D$11, 100%, $F$11)</f>
        <v>32.822899999999997</v>
      </c>
      <c r="C797" s="8">
        <f>32.828 * CHOOSE(CONTROL!$C$15, $D$11, 100%, $F$11)</f>
        <v>32.828000000000003</v>
      </c>
      <c r="D797" s="8">
        <f>32.8022 * CHOOSE( CONTROL!$C$15, $D$11, 100%, $F$11)</f>
        <v>32.802199999999999</v>
      </c>
      <c r="E797" s="12">
        <f>32.8111 * CHOOSE( CONTROL!$C$15, $D$11, 100%, $F$11)</f>
        <v>32.811100000000003</v>
      </c>
      <c r="F797" s="4">
        <f>33.4669 * CHOOSE(CONTROL!$C$15, $D$11, 100%, $F$11)</f>
        <v>33.466900000000003</v>
      </c>
      <c r="G797" s="8">
        <f>32.2545 * CHOOSE( CONTROL!$C$15, $D$11, 100%, $F$11)</f>
        <v>32.2545</v>
      </c>
      <c r="H797" s="4">
        <f>33.1407 * CHOOSE(CONTROL!$C$15, $D$11, 100%, $F$11)</f>
        <v>33.140700000000002</v>
      </c>
      <c r="I797" s="8">
        <f>31.8102 * CHOOSE(CONTROL!$C$15, $D$11, 100%, $F$11)</f>
        <v>31.810199999999998</v>
      </c>
      <c r="J797" s="4">
        <f>31.7007 * CHOOSE(CONTROL!$C$15, $D$11, 100%, $F$11)</f>
        <v>31.700700000000001</v>
      </c>
      <c r="K797" s="4"/>
      <c r="L797" s="9">
        <v>29.306000000000001</v>
      </c>
      <c r="M797" s="9">
        <v>12.063700000000001</v>
      </c>
      <c r="N797" s="9">
        <v>4.9444999999999997</v>
      </c>
      <c r="O797" s="9">
        <v>0.37409999999999999</v>
      </c>
      <c r="P797" s="9">
        <v>1.2927</v>
      </c>
      <c r="Q797" s="9">
        <v>19.688099999999999</v>
      </c>
      <c r="R797" s="9"/>
      <c r="S797" s="11"/>
    </row>
    <row r="798" spans="1:19" ht="15.75">
      <c r="A798" s="13">
        <v>65805</v>
      </c>
      <c r="B798" s="8">
        <f>30.7029 * CHOOSE(CONTROL!$C$15, $D$11, 100%, $F$11)</f>
        <v>30.7029</v>
      </c>
      <c r="C798" s="8">
        <f>30.708 * CHOOSE(CONTROL!$C$15, $D$11, 100%, $F$11)</f>
        <v>30.707999999999998</v>
      </c>
      <c r="D798" s="8">
        <f>30.6824 * CHOOSE( CONTROL!$C$15, $D$11, 100%, $F$11)</f>
        <v>30.682400000000001</v>
      </c>
      <c r="E798" s="12">
        <f>30.6912 * CHOOSE( CONTROL!$C$15, $D$11, 100%, $F$11)</f>
        <v>30.691199999999998</v>
      </c>
      <c r="F798" s="4">
        <f>31.3469 * CHOOSE(CONTROL!$C$15, $D$11, 100%, $F$11)</f>
        <v>31.346900000000002</v>
      </c>
      <c r="G798" s="8">
        <f>30.1698 * CHOOSE( CONTROL!$C$15, $D$11, 100%, $F$11)</f>
        <v>30.169799999999999</v>
      </c>
      <c r="H798" s="4">
        <f>31.0559 * CHOOSE(CONTROL!$C$15, $D$11, 100%, $F$11)</f>
        <v>31.055900000000001</v>
      </c>
      <c r="I798" s="8">
        <f>29.7605 * CHOOSE(CONTROL!$C$15, $D$11, 100%, $F$11)</f>
        <v>29.7605</v>
      </c>
      <c r="J798" s="4">
        <f>29.6513 * CHOOSE(CONTROL!$C$15, $D$11, 100%, $F$11)</f>
        <v>29.651299999999999</v>
      </c>
      <c r="K798" s="4"/>
      <c r="L798" s="9">
        <v>27.415299999999998</v>
      </c>
      <c r="M798" s="9">
        <v>11.285299999999999</v>
      </c>
      <c r="N798" s="9">
        <v>4.6254999999999997</v>
      </c>
      <c r="O798" s="9">
        <v>0.34989999999999999</v>
      </c>
      <c r="P798" s="9">
        <v>1.2093</v>
      </c>
      <c r="Q798" s="9">
        <v>18.417899999999999</v>
      </c>
      <c r="R798" s="9"/>
      <c r="S798" s="11"/>
    </row>
    <row r="799" spans="1:19" ht="15.75">
      <c r="A799" s="13">
        <v>65836</v>
      </c>
      <c r="B799" s="8">
        <f>30.0499 * CHOOSE(CONTROL!$C$15, $D$11, 100%, $F$11)</f>
        <v>30.049900000000001</v>
      </c>
      <c r="C799" s="8">
        <f>30.0551 * CHOOSE(CONTROL!$C$15, $D$11, 100%, $F$11)</f>
        <v>30.055099999999999</v>
      </c>
      <c r="D799" s="8">
        <f>30.0294 * CHOOSE( CONTROL!$C$15, $D$11, 100%, $F$11)</f>
        <v>30.029399999999999</v>
      </c>
      <c r="E799" s="12">
        <f>30.0382 * CHOOSE( CONTROL!$C$15, $D$11, 100%, $F$11)</f>
        <v>30.0382</v>
      </c>
      <c r="F799" s="4">
        <f>30.694 * CHOOSE(CONTROL!$C$15, $D$11, 100%, $F$11)</f>
        <v>30.693999999999999</v>
      </c>
      <c r="G799" s="8">
        <f>29.5277 * CHOOSE( CONTROL!$C$15, $D$11, 100%, $F$11)</f>
        <v>29.527699999999999</v>
      </c>
      <c r="H799" s="4">
        <f>30.4138 * CHOOSE(CONTROL!$C$15, $D$11, 100%, $F$11)</f>
        <v>30.413799999999998</v>
      </c>
      <c r="I799" s="8">
        <f>29.1288 * CHOOSE(CONTROL!$C$15, $D$11, 100%, $F$11)</f>
        <v>29.128799999999998</v>
      </c>
      <c r="J799" s="4">
        <f>29.0201 * CHOOSE(CONTROL!$C$15, $D$11, 100%, $F$11)</f>
        <v>29.020099999999999</v>
      </c>
      <c r="K799" s="4"/>
      <c r="L799" s="9">
        <v>29.306000000000001</v>
      </c>
      <c r="M799" s="9">
        <v>12.063700000000001</v>
      </c>
      <c r="N799" s="9">
        <v>4.9444999999999997</v>
      </c>
      <c r="O799" s="9">
        <v>0.37409999999999999</v>
      </c>
      <c r="P799" s="9">
        <v>1.2927</v>
      </c>
      <c r="Q799" s="9">
        <v>19.688099999999999</v>
      </c>
      <c r="R799" s="9"/>
      <c r="S799" s="11"/>
    </row>
    <row r="800" spans="1:19" ht="15.75">
      <c r="A800" s="13">
        <v>65866</v>
      </c>
      <c r="B800" s="8">
        <f>30.507 * CHOOSE(CONTROL!$C$15, $D$11, 100%, $F$11)</f>
        <v>30.507000000000001</v>
      </c>
      <c r="C800" s="8">
        <f>30.5115 * CHOOSE(CONTROL!$C$15, $D$11, 100%, $F$11)</f>
        <v>30.511500000000002</v>
      </c>
      <c r="D800" s="8">
        <f>30.5225 * CHOOSE( CONTROL!$C$15, $D$11, 100%, $F$11)</f>
        <v>30.522500000000001</v>
      </c>
      <c r="E800" s="12">
        <f>30.5184 * CHOOSE( CONTROL!$C$15, $D$11, 100%, $F$11)</f>
        <v>30.5184</v>
      </c>
      <c r="F800" s="4">
        <f>31.1966 * CHOOSE(CONTROL!$C$15, $D$11, 100%, $F$11)</f>
        <v>31.1966</v>
      </c>
      <c r="G800" s="8">
        <f>29.9692 * CHOOSE( CONTROL!$C$15, $D$11, 100%, $F$11)</f>
        <v>29.969200000000001</v>
      </c>
      <c r="H800" s="4">
        <f>30.9081 * CHOOSE(CONTROL!$C$15, $D$11, 100%, $F$11)</f>
        <v>30.908100000000001</v>
      </c>
      <c r="I800" s="8">
        <f>29.5651 * CHOOSE(CONTROL!$C$15, $D$11, 100%, $F$11)</f>
        <v>29.565100000000001</v>
      </c>
      <c r="J800" s="4">
        <f>29.4612 * CHOOSE(CONTROL!$C$15, $D$11, 100%, $F$11)</f>
        <v>29.461200000000002</v>
      </c>
      <c r="K800" s="4"/>
      <c r="L800" s="9">
        <v>30.092199999999998</v>
      </c>
      <c r="M800" s="9">
        <v>11.6745</v>
      </c>
      <c r="N800" s="9">
        <v>4.7850000000000001</v>
      </c>
      <c r="O800" s="9">
        <v>0.36199999999999999</v>
      </c>
      <c r="P800" s="9">
        <v>1.1791</v>
      </c>
      <c r="Q800" s="9">
        <v>19.053000000000001</v>
      </c>
      <c r="R800" s="9"/>
      <c r="S800" s="11"/>
    </row>
    <row r="801" spans="1:19" ht="15.75">
      <c r="A801" s="13">
        <v>65897</v>
      </c>
      <c r="B801" s="8">
        <f>CHOOSE( CONTROL!$C$32, 31.324, 31.3204) * CHOOSE(CONTROL!$C$15, $D$11, 100%, $F$11)</f>
        <v>31.324000000000002</v>
      </c>
      <c r="C801" s="8">
        <f>CHOOSE( CONTROL!$C$32, 31.332, 31.3284) * CHOOSE(CONTROL!$C$15, $D$11, 100%, $F$11)</f>
        <v>31.332000000000001</v>
      </c>
      <c r="D801" s="8">
        <f>CHOOSE( CONTROL!$C$32, 31.338, 31.3344) * CHOOSE( CONTROL!$C$15, $D$11, 100%, $F$11)</f>
        <v>31.338000000000001</v>
      </c>
      <c r="E801" s="12">
        <f>CHOOSE( CONTROL!$C$32, 31.3346, 31.331) * CHOOSE( CONTROL!$C$15, $D$11, 100%, $F$11)</f>
        <v>31.334599999999998</v>
      </c>
      <c r="F801" s="4">
        <f>CHOOSE( CONTROL!$C$32, 32.0122, 32.0087) * CHOOSE(CONTROL!$C$15, $D$11, 100%, $F$11)</f>
        <v>32.0122</v>
      </c>
      <c r="G801" s="8">
        <f>CHOOSE( CONTROL!$C$32, 30.7723, 30.7688) * CHOOSE( CONTROL!$C$15, $D$11, 100%, $F$11)</f>
        <v>30.772300000000001</v>
      </c>
      <c r="H801" s="4">
        <f>CHOOSE( CONTROL!$C$32, 31.7102, 31.7067) * CHOOSE(CONTROL!$C$15, $D$11, 100%, $F$11)</f>
        <v>31.7102</v>
      </c>
      <c r="I801" s="8">
        <f>CHOOSE( CONTROL!$C$32, 30.3548, 30.3514) * CHOOSE(CONTROL!$C$15, $D$11, 100%, $F$11)</f>
        <v>30.354800000000001</v>
      </c>
      <c r="J801" s="4">
        <f>CHOOSE( CONTROL!$C$32, 30.2496, 30.2462) * CHOOSE(CONTROL!$C$15, $D$11, 100%, $F$11)</f>
        <v>30.249600000000001</v>
      </c>
      <c r="K801" s="4"/>
      <c r="L801" s="9">
        <v>30.7165</v>
      </c>
      <c r="M801" s="9">
        <v>12.063700000000001</v>
      </c>
      <c r="N801" s="9">
        <v>4.9444999999999997</v>
      </c>
      <c r="O801" s="9">
        <v>0.37409999999999999</v>
      </c>
      <c r="P801" s="9">
        <v>1.2183999999999999</v>
      </c>
      <c r="Q801" s="9">
        <v>19.688099999999999</v>
      </c>
      <c r="R801" s="9"/>
      <c r="S801" s="11"/>
    </row>
    <row r="802" spans="1:19" ht="15.75">
      <c r="A802" s="13">
        <v>65927</v>
      </c>
      <c r="B802" s="8">
        <f>CHOOSE( CONTROL!$C$32, 30.8209, 30.8173) * CHOOSE(CONTROL!$C$15, $D$11, 100%, $F$11)</f>
        <v>30.820900000000002</v>
      </c>
      <c r="C802" s="8">
        <f>CHOOSE( CONTROL!$C$32, 30.8289, 30.8254) * CHOOSE(CONTROL!$C$15, $D$11, 100%, $F$11)</f>
        <v>30.828900000000001</v>
      </c>
      <c r="D802" s="8">
        <f>CHOOSE( CONTROL!$C$32, 30.8352, 30.8316) * CHOOSE( CONTROL!$C$15, $D$11, 100%, $F$11)</f>
        <v>30.8352</v>
      </c>
      <c r="E802" s="12">
        <f>CHOOSE( CONTROL!$C$32, 30.8317, 30.8281) * CHOOSE( CONTROL!$C$15, $D$11, 100%, $F$11)</f>
        <v>30.831700000000001</v>
      </c>
      <c r="F802" s="4">
        <f>CHOOSE( CONTROL!$C$32, 31.5092, 31.5056) * CHOOSE(CONTROL!$C$15, $D$11, 100%, $F$11)</f>
        <v>31.5092</v>
      </c>
      <c r="G802" s="8">
        <f>CHOOSE( CONTROL!$C$32, 30.278, 30.2745) * CHOOSE( CONTROL!$C$15, $D$11, 100%, $F$11)</f>
        <v>30.277999999999999</v>
      </c>
      <c r="H802" s="4">
        <f>CHOOSE( CONTROL!$C$32, 31.2155, 31.212) * CHOOSE(CONTROL!$C$15, $D$11, 100%, $F$11)</f>
        <v>31.215499999999999</v>
      </c>
      <c r="I802" s="8">
        <f>CHOOSE( CONTROL!$C$32, 29.8696, 29.8662) * CHOOSE(CONTROL!$C$15, $D$11, 100%, $F$11)</f>
        <v>29.869599999999998</v>
      </c>
      <c r="J802" s="4">
        <f>CHOOSE( CONTROL!$C$32, 29.7633, 29.7599) * CHOOSE(CONTROL!$C$15, $D$11, 100%, $F$11)</f>
        <v>29.763300000000001</v>
      </c>
      <c r="K802" s="4"/>
      <c r="L802" s="9">
        <v>29.7257</v>
      </c>
      <c r="M802" s="9">
        <v>11.6745</v>
      </c>
      <c r="N802" s="9">
        <v>4.7850000000000001</v>
      </c>
      <c r="O802" s="9">
        <v>0.36199999999999999</v>
      </c>
      <c r="P802" s="9">
        <v>1.1791</v>
      </c>
      <c r="Q802" s="9">
        <v>19.053000000000001</v>
      </c>
      <c r="R802" s="9"/>
      <c r="S802" s="11"/>
    </row>
    <row r="803" spans="1:19" ht="15.75">
      <c r="A803" s="13">
        <v>65958</v>
      </c>
      <c r="B803" s="8">
        <f>CHOOSE( CONTROL!$C$32, 32.1456, 32.142) * CHOOSE(CONTROL!$C$15, $D$11, 100%, $F$11)</f>
        <v>32.145600000000002</v>
      </c>
      <c r="C803" s="8">
        <f>CHOOSE( CONTROL!$C$32, 32.1536, 32.1501) * CHOOSE(CONTROL!$C$15, $D$11, 100%, $F$11)</f>
        <v>32.153599999999997</v>
      </c>
      <c r="D803" s="8">
        <f>CHOOSE( CONTROL!$C$32, 32.1602, 32.1566) * CHOOSE( CONTROL!$C$15, $D$11, 100%, $F$11)</f>
        <v>32.160200000000003</v>
      </c>
      <c r="E803" s="12">
        <f>CHOOSE( CONTROL!$C$32, 32.1566, 32.153) * CHOOSE( CONTROL!$C$15, $D$11, 100%, $F$11)</f>
        <v>32.156599999999997</v>
      </c>
      <c r="F803" s="4">
        <f>CHOOSE( CONTROL!$C$32, 32.8339, 32.8303) * CHOOSE(CONTROL!$C$15, $D$11, 100%, $F$11)</f>
        <v>32.8339</v>
      </c>
      <c r="G803" s="8">
        <f>CHOOSE( CONTROL!$C$32, 31.5812, 31.5777) * CHOOSE( CONTROL!$C$15, $D$11, 100%, $F$11)</f>
        <v>31.581199999999999</v>
      </c>
      <c r="H803" s="4">
        <f>CHOOSE( CONTROL!$C$32, 32.5182, 32.5147) * CHOOSE(CONTROL!$C$15, $D$11, 100%, $F$11)</f>
        <v>32.5182</v>
      </c>
      <c r="I803" s="8">
        <f>CHOOSE( CONTROL!$C$32, 31.1523, 31.1488) * CHOOSE(CONTROL!$C$15, $D$11, 100%, $F$11)</f>
        <v>31.1523</v>
      </c>
      <c r="J803" s="4">
        <f>CHOOSE( CONTROL!$C$32, 31.0439, 31.0405) * CHOOSE(CONTROL!$C$15, $D$11, 100%, $F$11)</f>
        <v>31.043900000000001</v>
      </c>
      <c r="K803" s="4"/>
      <c r="L803" s="9">
        <v>30.7165</v>
      </c>
      <c r="M803" s="9">
        <v>12.063700000000001</v>
      </c>
      <c r="N803" s="9">
        <v>4.9444999999999997</v>
      </c>
      <c r="O803" s="9">
        <v>0.37409999999999999</v>
      </c>
      <c r="P803" s="9">
        <v>1.2183999999999999</v>
      </c>
      <c r="Q803" s="9">
        <v>19.688099999999999</v>
      </c>
      <c r="R803" s="9"/>
      <c r="S803" s="11"/>
    </row>
    <row r="804" spans="1:19" ht="15.75">
      <c r="A804" s="13">
        <v>65989</v>
      </c>
      <c r="B804" s="8">
        <f>CHOOSE( CONTROL!$C$32, 29.667, 29.6634) * CHOOSE(CONTROL!$C$15, $D$11, 100%, $F$11)</f>
        <v>29.667000000000002</v>
      </c>
      <c r="C804" s="8">
        <f>CHOOSE( CONTROL!$C$32, 29.675, 29.6714) * CHOOSE(CONTROL!$C$15, $D$11, 100%, $F$11)</f>
        <v>29.675000000000001</v>
      </c>
      <c r="D804" s="8">
        <f>CHOOSE( CONTROL!$C$32, 29.6817, 29.6781) * CHOOSE( CONTROL!$C$15, $D$11, 100%, $F$11)</f>
        <v>29.681699999999999</v>
      </c>
      <c r="E804" s="12">
        <f>CHOOSE( CONTROL!$C$32, 29.6781, 29.6745) * CHOOSE( CONTROL!$C$15, $D$11, 100%, $F$11)</f>
        <v>29.678100000000001</v>
      </c>
      <c r="F804" s="4">
        <f>CHOOSE( CONTROL!$C$32, 30.3552, 30.3517) * CHOOSE(CONTROL!$C$15, $D$11, 100%, $F$11)</f>
        <v>30.3552</v>
      </c>
      <c r="G804" s="8">
        <f>CHOOSE( CONTROL!$C$32, 29.1438, 29.1403) * CHOOSE( CONTROL!$C$15, $D$11, 100%, $F$11)</f>
        <v>29.143799999999999</v>
      </c>
      <c r="H804" s="4">
        <f>CHOOSE( CONTROL!$C$32, 30.0807, 30.0771) * CHOOSE(CONTROL!$C$15, $D$11, 100%, $F$11)</f>
        <v>30.0807</v>
      </c>
      <c r="I804" s="8">
        <f>CHOOSE( CONTROL!$C$32, 28.7555, 28.752) * CHOOSE(CONTROL!$C$15, $D$11, 100%, $F$11)</f>
        <v>28.755500000000001</v>
      </c>
      <c r="J804" s="4">
        <f>CHOOSE( CONTROL!$C$32, 28.6478, 28.6444) * CHOOSE(CONTROL!$C$15, $D$11, 100%, $F$11)</f>
        <v>28.6478</v>
      </c>
      <c r="K804" s="4"/>
      <c r="L804" s="9">
        <v>30.7165</v>
      </c>
      <c r="M804" s="9">
        <v>12.063700000000001</v>
      </c>
      <c r="N804" s="9">
        <v>4.9444999999999997</v>
      </c>
      <c r="O804" s="9">
        <v>0.37409999999999999</v>
      </c>
      <c r="P804" s="9">
        <v>1.2183999999999999</v>
      </c>
      <c r="Q804" s="9">
        <v>19.688099999999999</v>
      </c>
      <c r="R804" s="9"/>
      <c r="S804" s="11"/>
    </row>
    <row r="805" spans="1:19" ht="15.75">
      <c r="A805" s="13">
        <v>66019</v>
      </c>
      <c r="B805" s="8">
        <f>CHOOSE( CONTROL!$C$32, 29.0463, 29.0427) * CHOOSE(CONTROL!$C$15, $D$11, 100%, $F$11)</f>
        <v>29.046299999999999</v>
      </c>
      <c r="C805" s="8">
        <f>CHOOSE( CONTROL!$C$32, 29.0543, 29.0507) * CHOOSE(CONTROL!$C$15, $D$11, 100%, $F$11)</f>
        <v>29.054300000000001</v>
      </c>
      <c r="D805" s="8">
        <f>CHOOSE( CONTROL!$C$32, 29.061, 29.0574) * CHOOSE( CONTROL!$C$15, $D$11, 100%, $F$11)</f>
        <v>29.061</v>
      </c>
      <c r="E805" s="12">
        <f>CHOOSE( CONTROL!$C$32, 29.0574, 29.0538) * CHOOSE( CONTROL!$C$15, $D$11, 100%, $F$11)</f>
        <v>29.057400000000001</v>
      </c>
      <c r="F805" s="4">
        <f>CHOOSE( CONTROL!$C$32, 29.7346, 29.731) * CHOOSE(CONTROL!$C$15, $D$11, 100%, $F$11)</f>
        <v>29.7346</v>
      </c>
      <c r="G805" s="8">
        <f>CHOOSE( CONTROL!$C$32, 28.5334, 28.5299) * CHOOSE( CONTROL!$C$15, $D$11, 100%, $F$11)</f>
        <v>28.5334</v>
      </c>
      <c r="H805" s="4">
        <f>CHOOSE( CONTROL!$C$32, 29.4703, 29.4668) * CHOOSE(CONTROL!$C$15, $D$11, 100%, $F$11)</f>
        <v>29.470300000000002</v>
      </c>
      <c r="I805" s="8">
        <f>CHOOSE( CONTROL!$C$32, 28.1551, 28.1517) * CHOOSE(CONTROL!$C$15, $D$11, 100%, $F$11)</f>
        <v>28.155100000000001</v>
      </c>
      <c r="J805" s="4">
        <f>CHOOSE( CONTROL!$C$32, 28.0478, 28.0444) * CHOOSE(CONTROL!$C$15, $D$11, 100%, $F$11)</f>
        <v>28.047799999999999</v>
      </c>
      <c r="K805" s="4"/>
      <c r="L805" s="9">
        <v>29.7257</v>
      </c>
      <c r="M805" s="9">
        <v>11.6745</v>
      </c>
      <c r="N805" s="9">
        <v>4.7850000000000001</v>
      </c>
      <c r="O805" s="9">
        <v>0.36199999999999999</v>
      </c>
      <c r="P805" s="9">
        <v>1.1791</v>
      </c>
      <c r="Q805" s="9">
        <v>19.053000000000001</v>
      </c>
      <c r="R805" s="9"/>
      <c r="S805" s="11"/>
    </row>
    <row r="806" spans="1:19" ht="15.75">
      <c r="A806" s="13">
        <v>66050</v>
      </c>
      <c r="B806" s="8">
        <f>30.3297 * CHOOSE(CONTROL!$C$15, $D$11, 100%, $F$11)</f>
        <v>30.329699999999999</v>
      </c>
      <c r="C806" s="8">
        <f>30.3351 * CHOOSE(CONTROL!$C$15, $D$11, 100%, $F$11)</f>
        <v>30.335100000000001</v>
      </c>
      <c r="D806" s="8">
        <f>30.3466 * CHOOSE( CONTROL!$C$15, $D$11, 100%, $F$11)</f>
        <v>30.346599999999999</v>
      </c>
      <c r="E806" s="12">
        <f>30.3422 * CHOOSE( CONTROL!$C$15, $D$11, 100%, $F$11)</f>
        <v>30.342199999999998</v>
      </c>
      <c r="F806" s="4">
        <f>31.0197 * CHOOSE(CONTROL!$C$15, $D$11, 100%, $F$11)</f>
        <v>31.0197</v>
      </c>
      <c r="G806" s="8">
        <f>29.7968 * CHOOSE( CONTROL!$C$15, $D$11, 100%, $F$11)</f>
        <v>29.796800000000001</v>
      </c>
      <c r="H806" s="4">
        <f>30.7341 * CHOOSE(CONTROL!$C$15, $D$11, 100%, $F$11)</f>
        <v>30.734100000000002</v>
      </c>
      <c r="I806" s="8">
        <f>29.3989 * CHOOSE(CONTROL!$C$15, $D$11, 100%, $F$11)</f>
        <v>29.398900000000001</v>
      </c>
      <c r="J806" s="4">
        <f>29.2902 * CHOOSE(CONTROL!$C$15, $D$11, 100%, $F$11)</f>
        <v>29.290199999999999</v>
      </c>
      <c r="K806" s="4"/>
      <c r="L806" s="9">
        <v>31.095300000000002</v>
      </c>
      <c r="M806" s="9">
        <v>12.063700000000001</v>
      </c>
      <c r="N806" s="9">
        <v>4.9444999999999997</v>
      </c>
      <c r="O806" s="9">
        <v>0.37409999999999999</v>
      </c>
      <c r="P806" s="9">
        <v>1.2183999999999999</v>
      </c>
      <c r="Q806" s="9">
        <v>19.688099999999999</v>
      </c>
      <c r="R806" s="9"/>
      <c r="S806" s="11"/>
    </row>
    <row r="807" spans="1:19" ht="15.75">
      <c r="A807" s="13">
        <v>66080</v>
      </c>
      <c r="B807" s="8">
        <f>32.7081 * CHOOSE(CONTROL!$C$15, $D$11, 100%, $F$11)</f>
        <v>32.708100000000002</v>
      </c>
      <c r="C807" s="8">
        <f>32.7132 * CHOOSE(CONTROL!$C$15, $D$11, 100%, $F$11)</f>
        <v>32.713200000000001</v>
      </c>
      <c r="D807" s="8">
        <f>32.6902 * CHOOSE( CONTROL!$C$15, $D$11, 100%, $F$11)</f>
        <v>32.690199999999997</v>
      </c>
      <c r="E807" s="12">
        <f>32.6981 * CHOOSE( CONTROL!$C$15, $D$11, 100%, $F$11)</f>
        <v>32.698099999999997</v>
      </c>
      <c r="F807" s="4">
        <f>33.353 * CHOOSE(CONTROL!$C$15, $D$11, 100%, $F$11)</f>
        <v>33.353000000000002</v>
      </c>
      <c r="G807" s="8">
        <f>32.1469 * CHOOSE( CONTROL!$C$15, $D$11, 100%, $F$11)</f>
        <v>32.146900000000002</v>
      </c>
      <c r="H807" s="4">
        <f>33.0287 * CHOOSE(CONTROL!$C$15, $D$11, 100%, $F$11)</f>
        <v>33.028700000000001</v>
      </c>
      <c r="I807" s="8">
        <f>31.7242 * CHOOSE(CONTROL!$C$15, $D$11, 100%, $F$11)</f>
        <v>31.7242</v>
      </c>
      <c r="J807" s="4">
        <f>31.5897 * CHOOSE(CONTROL!$C$15, $D$11, 100%, $F$11)</f>
        <v>31.589700000000001</v>
      </c>
      <c r="K807" s="4"/>
      <c r="L807" s="9">
        <v>28.360600000000002</v>
      </c>
      <c r="M807" s="9">
        <v>11.6745</v>
      </c>
      <c r="N807" s="9">
        <v>4.7850000000000001</v>
      </c>
      <c r="O807" s="9">
        <v>0.36199999999999999</v>
      </c>
      <c r="P807" s="9">
        <v>1.2509999999999999</v>
      </c>
      <c r="Q807" s="9">
        <v>19.053000000000001</v>
      </c>
      <c r="R807" s="9"/>
      <c r="S807" s="11"/>
    </row>
    <row r="808" spans="1:19" ht="15.75">
      <c r="A808" s="13">
        <v>66111</v>
      </c>
      <c r="B808" s="8">
        <f>32.6487 * CHOOSE(CONTROL!$C$15, $D$11, 100%, $F$11)</f>
        <v>32.648699999999998</v>
      </c>
      <c r="C808" s="8">
        <f>32.6538 * CHOOSE(CONTROL!$C$15, $D$11, 100%, $F$11)</f>
        <v>32.653799999999997</v>
      </c>
      <c r="D808" s="8">
        <f>32.6321 * CHOOSE( CONTROL!$C$15, $D$11, 100%, $F$11)</f>
        <v>32.632100000000001</v>
      </c>
      <c r="E808" s="12">
        <f>32.6395 * CHOOSE( CONTROL!$C$15, $D$11, 100%, $F$11)</f>
        <v>32.639499999999998</v>
      </c>
      <c r="F808" s="4">
        <f>33.2935 * CHOOSE(CONTROL!$C$15, $D$11, 100%, $F$11)</f>
        <v>33.293500000000002</v>
      </c>
      <c r="G808" s="8">
        <f>32.0894 * CHOOSE( CONTROL!$C$15, $D$11, 100%, $F$11)</f>
        <v>32.089399999999998</v>
      </c>
      <c r="H808" s="4">
        <f>32.9702 * CHOOSE(CONTROL!$C$15, $D$11, 100%, $F$11)</f>
        <v>32.970199999999998</v>
      </c>
      <c r="I808" s="8">
        <f>31.6711 * CHOOSE(CONTROL!$C$15, $D$11, 100%, $F$11)</f>
        <v>31.671099999999999</v>
      </c>
      <c r="J808" s="4">
        <f>31.5323 * CHOOSE(CONTROL!$C$15, $D$11, 100%, $F$11)</f>
        <v>31.532299999999999</v>
      </c>
      <c r="K808" s="4"/>
      <c r="L808" s="9">
        <v>29.306000000000001</v>
      </c>
      <c r="M808" s="9">
        <v>12.063700000000001</v>
      </c>
      <c r="N808" s="9">
        <v>4.9444999999999997</v>
      </c>
      <c r="O808" s="9">
        <v>0.37409999999999999</v>
      </c>
      <c r="P808" s="9">
        <v>1.2927</v>
      </c>
      <c r="Q808" s="9">
        <v>19.688099999999999</v>
      </c>
      <c r="R808" s="9"/>
      <c r="S808" s="11"/>
    </row>
    <row r="809" spans="1:19" ht="15.75">
      <c r="A809" s="13">
        <v>66142</v>
      </c>
      <c r="B809" s="8">
        <f>33.8953 * CHOOSE(CONTROL!$C$15, $D$11, 100%, $F$11)</f>
        <v>33.895299999999999</v>
      </c>
      <c r="C809" s="8">
        <f>33.9004 * CHOOSE(CONTROL!$C$15, $D$11, 100%, $F$11)</f>
        <v>33.900399999999998</v>
      </c>
      <c r="D809" s="8">
        <f>33.8746 * CHOOSE( CONTROL!$C$15, $D$11, 100%, $F$11)</f>
        <v>33.874600000000001</v>
      </c>
      <c r="E809" s="12">
        <f>33.8835 * CHOOSE( CONTROL!$C$15, $D$11, 100%, $F$11)</f>
        <v>33.883499999999998</v>
      </c>
      <c r="F809" s="4">
        <f>34.5393 * CHOOSE(CONTROL!$C$15, $D$11, 100%, $F$11)</f>
        <v>34.539299999999997</v>
      </c>
      <c r="G809" s="8">
        <f>33.3092 * CHOOSE( CONTROL!$C$15, $D$11, 100%, $F$11)</f>
        <v>33.309199999999997</v>
      </c>
      <c r="H809" s="4">
        <f>34.1954 * CHOOSE(CONTROL!$C$15, $D$11, 100%, $F$11)</f>
        <v>34.195399999999999</v>
      </c>
      <c r="I809" s="8">
        <f>32.8474 * CHOOSE(CONTROL!$C$15, $D$11, 100%, $F$11)</f>
        <v>32.8474</v>
      </c>
      <c r="J809" s="4">
        <f>32.7374 * CHOOSE(CONTROL!$C$15, $D$11, 100%, $F$11)</f>
        <v>32.737400000000001</v>
      </c>
      <c r="K809" s="4"/>
      <c r="L809" s="9">
        <v>29.306000000000001</v>
      </c>
      <c r="M809" s="9">
        <v>12.063700000000001</v>
      </c>
      <c r="N809" s="9">
        <v>4.9444999999999997</v>
      </c>
      <c r="O809" s="9">
        <v>0.37409999999999999</v>
      </c>
      <c r="P809" s="9">
        <v>1.2927</v>
      </c>
      <c r="Q809" s="9">
        <v>19.688099999999999</v>
      </c>
      <c r="R809" s="9"/>
      <c r="S809" s="11"/>
    </row>
    <row r="810" spans="1:19" ht="15.75">
      <c r="A810" s="13">
        <v>66170</v>
      </c>
      <c r="B810" s="8">
        <f>31.706 * CHOOSE(CONTROL!$C$15, $D$11, 100%, $F$11)</f>
        <v>31.706</v>
      </c>
      <c r="C810" s="8">
        <f>31.7111 * CHOOSE(CONTROL!$C$15, $D$11, 100%, $F$11)</f>
        <v>31.711099999999998</v>
      </c>
      <c r="D810" s="8">
        <f>31.6855 * CHOOSE( CONTROL!$C$15, $D$11, 100%, $F$11)</f>
        <v>31.685500000000001</v>
      </c>
      <c r="E810" s="12">
        <f>31.6943 * CHOOSE( CONTROL!$C$15, $D$11, 100%, $F$11)</f>
        <v>31.694299999999998</v>
      </c>
      <c r="F810" s="4">
        <f>32.35 * CHOOSE(CONTROL!$C$15, $D$11, 100%, $F$11)</f>
        <v>32.35</v>
      </c>
      <c r="G810" s="8">
        <f>31.1563 * CHOOSE( CONTROL!$C$15, $D$11, 100%, $F$11)</f>
        <v>31.156300000000002</v>
      </c>
      <c r="H810" s="4">
        <f>32.0424 * CHOOSE(CONTROL!$C$15, $D$11, 100%, $F$11)</f>
        <v>32.042400000000001</v>
      </c>
      <c r="I810" s="8">
        <f>30.7307 * CHOOSE(CONTROL!$C$15, $D$11, 100%, $F$11)</f>
        <v>30.730699999999999</v>
      </c>
      <c r="J810" s="4">
        <f>30.621 * CHOOSE(CONTROL!$C$15, $D$11, 100%, $F$11)</f>
        <v>30.620999999999999</v>
      </c>
      <c r="K810" s="4"/>
      <c r="L810" s="9">
        <v>26.469899999999999</v>
      </c>
      <c r="M810" s="9">
        <v>10.8962</v>
      </c>
      <c r="N810" s="9">
        <v>4.4660000000000002</v>
      </c>
      <c r="O810" s="9">
        <v>0.33789999999999998</v>
      </c>
      <c r="P810" s="9">
        <v>1.1676</v>
      </c>
      <c r="Q810" s="9">
        <v>17.782800000000002</v>
      </c>
      <c r="R810" s="9"/>
      <c r="S810" s="11"/>
    </row>
    <row r="811" spans="1:19" ht="15.75">
      <c r="A811" s="13">
        <v>66201</v>
      </c>
      <c r="B811" s="8">
        <f>31.0317 * CHOOSE(CONTROL!$C$15, $D$11, 100%, $F$11)</f>
        <v>31.031700000000001</v>
      </c>
      <c r="C811" s="8">
        <f>31.0368 * CHOOSE(CONTROL!$C$15, $D$11, 100%, $F$11)</f>
        <v>31.036799999999999</v>
      </c>
      <c r="D811" s="8">
        <f>31.0111 * CHOOSE( CONTROL!$C$15, $D$11, 100%, $F$11)</f>
        <v>31.011099999999999</v>
      </c>
      <c r="E811" s="12">
        <f>31.02 * CHOOSE( CONTROL!$C$15, $D$11, 100%, $F$11)</f>
        <v>31.02</v>
      </c>
      <c r="F811" s="4">
        <f>31.6757 * CHOOSE(CONTROL!$C$15, $D$11, 100%, $F$11)</f>
        <v>31.675699999999999</v>
      </c>
      <c r="G811" s="8">
        <f>30.4931 * CHOOSE( CONTROL!$C$15, $D$11, 100%, $F$11)</f>
        <v>30.493099999999998</v>
      </c>
      <c r="H811" s="4">
        <f>31.3792 * CHOOSE(CONTROL!$C$15, $D$11, 100%, $F$11)</f>
        <v>31.379200000000001</v>
      </c>
      <c r="I811" s="8">
        <f>30.0783 * CHOOSE(CONTROL!$C$15, $D$11, 100%, $F$11)</f>
        <v>30.078299999999999</v>
      </c>
      <c r="J811" s="4">
        <f>29.9692 * CHOOSE(CONTROL!$C$15, $D$11, 100%, $F$11)</f>
        <v>29.969200000000001</v>
      </c>
      <c r="K811" s="4"/>
      <c r="L811" s="9">
        <v>29.306000000000001</v>
      </c>
      <c r="M811" s="9">
        <v>12.063700000000001</v>
      </c>
      <c r="N811" s="9">
        <v>4.9444999999999997</v>
      </c>
      <c r="O811" s="9">
        <v>0.37409999999999999</v>
      </c>
      <c r="P811" s="9">
        <v>1.2927</v>
      </c>
      <c r="Q811" s="9">
        <v>19.688099999999999</v>
      </c>
      <c r="R811" s="9"/>
      <c r="S811" s="11"/>
    </row>
    <row r="812" spans="1:19" ht="15.75">
      <c r="A812" s="13">
        <v>66231</v>
      </c>
      <c r="B812" s="8">
        <f>31.5036 * CHOOSE(CONTROL!$C$15, $D$11, 100%, $F$11)</f>
        <v>31.503599999999999</v>
      </c>
      <c r="C812" s="8">
        <f>31.5082 * CHOOSE(CONTROL!$C$15, $D$11, 100%, $F$11)</f>
        <v>31.508199999999999</v>
      </c>
      <c r="D812" s="8">
        <f>31.5192 * CHOOSE( CONTROL!$C$15, $D$11, 100%, $F$11)</f>
        <v>31.519200000000001</v>
      </c>
      <c r="E812" s="12">
        <f>31.515 * CHOOSE( CONTROL!$C$15, $D$11, 100%, $F$11)</f>
        <v>31.515000000000001</v>
      </c>
      <c r="F812" s="4">
        <f>32.1933 * CHOOSE(CONTROL!$C$15, $D$11, 100%, $F$11)</f>
        <v>32.193300000000001</v>
      </c>
      <c r="G812" s="8">
        <f>30.9494 * CHOOSE( CONTROL!$C$15, $D$11, 100%, $F$11)</f>
        <v>30.949400000000001</v>
      </c>
      <c r="H812" s="4">
        <f>31.8882 * CHOOSE(CONTROL!$C$15, $D$11, 100%, $F$11)</f>
        <v>31.888200000000001</v>
      </c>
      <c r="I812" s="8">
        <f>30.5291 * CHOOSE(CONTROL!$C$15, $D$11, 100%, $F$11)</f>
        <v>30.5291</v>
      </c>
      <c r="J812" s="4">
        <f>30.4247 * CHOOSE(CONTROL!$C$15, $D$11, 100%, $F$11)</f>
        <v>30.424700000000001</v>
      </c>
      <c r="K812" s="4"/>
      <c r="L812" s="9">
        <v>30.092199999999998</v>
      </c>
      <c r="M812" s="9">
        <v>11.6745</v>
      </c>
      <c r="N812" s="9">
        <v>4.7850000000000001</v>
      </c>
      <c r="O812" s="9">
        <v>0.36199999999999999</v>
      </c>
      <c r="P812" s="9">
        <v>1.1791</v>
      </c>
      <c r="Q812" s="9">
        <v>19.053000000000001</v>
      </c>
      <c r="R812" s="9"/>
      <c r="S812" s="11"/>
    </row>
    <row r="813" spans="1:19" ht="15.75">
      <c r="A813" s="13">
        <v>66262</v>
      </c>
      <c r="B813" s="8">
        <f>CHOOSE( CONTROL!$C$32, 32.3472, 32.3436) * CHOOSE(CONTROL!$C$15, $D$11, 100%, $F$11)</f>
        <v>32.347200000000001</v>
      </c>
      <c r="C813" s="8">
        <f>CHOOSE( CONTROL!$C$32, 32.3552, 32.3516) * CHOOSE(CONTROL!$C$15, $D$11, 100%, $F$11)</f>
        <v>32.355200000000004</v>
      </c>
      <c r="D813" s="8">
        <f>CHOOSE( CONTROL!$C$32, 32.3612, 32.3576) * CHOOSE( CONTROL!$C$15, $D$11, 100%, $F$11)</f>
        <v>32.361199999999997</v>
      </c>
      <c r="E813" s="12">
        <f>CHOOSE( CONTROL!$C$32, 32.3578, 32.3542) * CHOOSE( CONTROL!$C$15, $D$11, 100%, $F$11)</f>
        <v>32.357799999999997</v>
      </c>
      <c r="F813" s="4">
        <f>CHOOSE( CONTROL!$C$32, 33.0355, 33.0319) * CHOOSE(CONTROL!$C$15, $D$11, 100%, $F$11)</f>
        <v>33.035499999999999</v>
      </c>
      <c r="G813" s="8">
        <f>CHOOSE( CONTROL!$C$32, 31.7786, 31.7751) * CHOOSE( CONTROL!$C$15, $D$11, 100%, $F$11)</f>
        <v>31.778600000000001</v>
      </c>
      <c r="H813" s="4">
        <f>CHOOSE( CONTROL!$C$32, 32.7164, 32.7129) * CHOOSE(CONTROL!$C$15, $D$11, 100%, $F$11)</f>
        <v>32.7164</v>
      </c>
      <c r="I813" s="8">
        <f>CHOOSE( CONTROL!$C$32, 31.3445, 31.341) * CHOOSE(CONTROL!$C$15, $D$11, 100%, $F$11)</f>
        <v>31.3445</v>
      </c>
      <c r="J813" s="4">
        <f>CHOOSE( CONTROL!$C$32, 31.2388, 31.2353) * CHOOSE(CONTROL!$C$15, $D$11, 100%, $F$11)</f>
        <v>31.238800000000001</v>
      </c>
      <c r="K813" s="4"/>
      <c r="L813" s="9">
        <v>30.7165</v>
      </c>
      <c r="M813" s="9">
        <v>12.063700000000001</v>
      </c>
      <c r="N813" s="9">
        <v>4.9444999999999997</v>
      </c>
      <c r="O813" s="9">
        <v>0.37409999999999999</v>
      </c>
      <c r="P813" s="9">
        <v>1.2183999999999999</v>
      </c>
      <c r="Q813" s="9">
        <v>19.688099999999999</v>
      </c>
      <c r="R813" s="9"/>
      <c r="S813" s="11"/>
    </row>
    <row r="814" spans="1:19" ht="15.75">
      <c r="A814" s="13">
        <v>66292</v>
      </c>
      <c r="B814" s="8">
        <f>CHOOSE( CONTROL!$C$32, 31.8277, 31.8241) * CHOOSE(CONTROL!$C$15, $D$11, 100%, $F$11)</f>
        <v>31.8277</v>
      </c>
      <c r="C814" s="8">
        <f>CHOOSE( CONTROL!$C$32, 31.8357, 31.8321) * CHOOSE(CONTROL!$C$15, $D$11, 100%, $F$11)</f>
        <v>31.835699999999999</v>
      </c>
      <c r="D814" s="8">
        <f>CHOOSE( CONTROL!$C$32, 31.842, 31.8384) * CHOOSE( CONTROL!$C$15, $D$11, 100%, $F$11)</f>
        <v>31.841999999999999</v>
      </c>
      <c r="E814" s="12">
        <f>CHOOSE( CONTROL!$C$32, 31.8385, 31.8349) * CHOOSE( CONTROL!$C$15, $D$11, 100%, $F$11)</f>
        <v>31.8385</v>
      </c>
      <c r="F814" s="4">
        <f>CHOOSE( CONTROL!$C$32, 32.516, 32.5124) * CHOOSE(CONTROL!$C$15, $D$11, 100%, $F$11)</f>
        <v>32.515999999999998</v>
      </c>
      <c r="G814" s="8">
        <f>CHOOSE( CONTROL!$C$32, 31.2681, 31.2646) * CHOOSE( CONTROL!$C$15, $D$11, 100%, $F$11)</f>
        <v>31.2681</v>
      </c>
      <c r="H814" s="4">
        <f>CHOOSE( CONTROL!$C$32, 32.2056, 32.2021) * CHOOSE(CONTROL!$C$15, $D$11, 100%, $F$11)</f>
        <v>32.205599999999997</v>
      </c>
      <c r="I814" s="8">
        <f>CHOOSE( CONTROL!$C$32, 30.8434, 30.8399) * CHOOSE(CONTROL!$C$15, $D$11, 100%, $F$11)</f>
        <v>30.843399999999999</v>
      </c>
      <c r="J814" s="4">
        <f>CHOOSE( CONTROL!$C$32, 30.7366, 30.7332) * CHOOSE(CONTROL!$C$15, $D$11, 100%, $F$11)</f>
        <v>30.736599999999999</v>
      </c>
      <c r="K814" s="4"/>
      <c r="L814" s="9">
        <v>29.7257</v>
      </c>
      <c r="M814" s="9">
        <v>11.6745</v>
      </c>
      <c r="N814" s="9">
        <v>4.7850000000000001</v>
      </c>
      <c r="O814" s="9">
        <v>0.36199999999999999</v>
      </c>
      <c r="P814" s="9">
        <v>1.1791</v>
      </c>
      <c r="Q814" s="9">
        <v>19.053000000000001</v>
      </c>
      <c r="R814" s="9"/>
      <c r="S814" s="11"/>
    </row>
    <row r="815" spans="1:19" ht="15.75">
      <c r="A815" s="13">
        <v>66323</v>
      </c>
      <c r="B815" s="8">
        <f>CHOOSE( CONTROL!$C$32, 33.1957, 33.1921) * CHOOSE(CONTROL!$C$15, $D$11, 100%, $F$11)</f>
        <v>33.195700000000002</v>
      </c>
      <c r="C815" s="8">
        <f>CHOOSE( CONTROL!$C$32, 33.2037, 33.2002) * CHOOSE(CONTROL!$C$15, $D$11, 100%, $F$11)</f>
        <v>33.203699999999998</v>
      </c>
      <c r="D815" s="8">
        <f>CHOOSE( CONTROL!$C$32, 33.2103, 33.2068) * CHOOSE( CONTROL!$C$15, $D$11, 100%, $F$11)</f>
        <v>33.210299999999997</v>
      </c>
      <c r="E815" s="12">
        <f>CHOOSE( CONTROL!$C$32, 33.2067, 33.2032) * CHOOSE( CONTROL!$C$15, $D$11, 100%, $F$11)</f>
        <v>33.206699999999998</v>
      </c>
      <c r="F815" s="4">
        <f>CHOOSE( CONTROL!$C$32, 33.884, 33.8804) * CHOOSE(CONTROL!$C$15, $D$11, 100%, $F$11)</f>
        <v>33.884</v>
      </c>
      <c r="G815" s="8">
        <f>CHOOSE( CONTROL!$C$32, 32.6139, 32.6104) * CHOOSE( CONTROL!$C$15, $D$11, 100%, $F$11)</f>
        <v>32.613900000000001</v>
      </c>
      <c r="H815" s="4">
        <f>CHOOSE( CONTROL!$C$32, 33.5509, 33.5474) * CHOOSE(CONTROL!$C$15, $D$11, 100%, $F$11)</f>
        <v>33.550899999999999</v>
      </c>
      <c r="I815" s="8">
        <f>CHOOSE( CONTROL!$C$32, 32.1679, 32.1645) * CHOOSE(CONTROL!$C$15, $D$11, 100%, $F$11)</f>
        <v>32.167900000000003</v>
      </c>
      <c r="J815" s="4">
        <f>CHOOSE( CONTROL!$C$32, 32.0591, 32.0556) * CHOOSE(CONTROL!$C$15, $D$11, 100%, $F$11)</f>
        <v>32.059100000000001</v>
      </c>
      <c r="K815" s="4"/>
      <c r="L815" s="9">
        <v>30.7165</v>
      </c>
      <c r="M815" s="9">
        <v>12.063700000000001</v>
      </c>
      <c r="N815" s="9">
        <v>4.9444999999999997</v>
      </c>
      <c r="O815" s="9">
        <v>0.37409999999999999</v>
      </c>
      <c r="P815" s="9">
        <v>1.2183999999999999</v>
      </c>
      <c r="Q815" s="9">
        <v>19.688099999999999</v>
      </c>
      <c r="R815" s="9"/>
      <c r="S815" s="11"/>
    </row>
    <row r="816" spans="1:19" ht="15.75">
      <c r="A816" s="13">
        <v>66354</v>
      </c>
      <c r="B816" s="8">
        <f>CHOOSE( CONTROL!$C$32, 30.636, 30.6324) * CHOOSE(CONTROL!$C$15, $D$11, 100%, $F$11)</f>
        <v>30.635999999999999</v>
      </c>
      <c r="C816" s="8">
        <f>CHOOSE( CONTROL!$C$32, 30.644, 30.6405) * CHOOSE(CONTROL!$C$15, $D$11, 100%, $F$11)</f>
        <v>30.643999999999998</v>
      </c>
      <c r="D816" s="8">
        <f>CHOOSE( CONTROL!$C$32, 30.6507, 30.6472) * CHOOSE( CONTROL!$C$15, $D$11, 100%, $F$11)</f>
        <v>30.650700000000001</v>
      </c>
      <c r="E816" s="12">
        <f>CHOOSE( CONTROL!$C$32, 30.6471, 30.6435) * CHOOSE( CONTROL!$C$15, $D$11, 100%, $F$11)</f>
        <v>30.647099999999998</v>
      </c>
      <c r="F816" s="4">
        <f>CHOOSE( CONTROL!$C$32, 31.3243, 31.3207) * CHOOSE(CONTROL!$C$15, $D$11, 100%, $F$11)</f>
        <v>31.324300000000001</v>
      </c>
      <c r="G816" s="8">
        <f>CHOOSE( CONTROL!$C$32, 30.0968, 30.0933) * CHOOSE( CONTROL!$C$15, $D$11, 100%, $F$11)</f>
        <v>30.096800000000002</v>
      </c>
      <c r="H816" s="4">
        <f>CHOOSE( CONTROL!$C$32, 31.0336, 31.0301) * CHOOSE(CONTROL!$C$15, $D$11, 100%, $F$11)</f>
        <v>31.0336</v>
      </c>
      <c r="I816" s="8">
        <f>CHOOSE( CONTROL!$C$32, 29.6927, 29.6893) * CHOOSE(CONTROL!$C$15, $D$11, 100%, $F$11)</f>
        <v>29.692699999999999</v>
      </c>
      <c r="J816" s="4">
        <f>CHOOSE( CONTROL!$C$32, 29.5846, 29.5812) * CHOOSE(CONTROL!$C$15, $D$11, 100%, $F$11)</f>
        <v>29.584599999999998</v>
      </c>
      <c r="K816" s="4"/>
      <c r="L816" s="9">
        <v>30.7165</v>
      </c>
      <c r="M816" s="9">
        <v>12.063700000000001</v>
      </c>
      <c r="N816" s="9">
        <v>4.9444999999999997</v>
      </c>
      <c r="O816" s="9">
        <v>0.37409999999999999</v>
      </c>
      <c r="P816" s="9">
        <v>1.2183999999999999</v>
      </c>
      <c r="Q816" s="9">
        <v>19.688099999999999</v>
      </c>
      <c r="R816" s="9"/>
      <c r="S816" s="11"/>
    </row>
    <row r="817" spans="1:19" ht="15.75">
      <c r="A817" s="13">
        <v>66384</v>
      </c>
      <c r="B817" s="8">
        <f>CHOOSE( CONTROL!$C$32, 29.995, 29.9915) * CHOOSE(CONTROL!$C$15, $D$11, 100%, $F$11)</f>
        <v>29.995000000000001</v>
      </c>
      <c r="C817" s="8">
        <f>CHOOSE( CONTROL!$C$32, 30.003, 29.9995) * CHOOSE(CONTROL!$C$15, $D$11, 100%, $F$11)</f>
        <v>30.003</v>
      </c>
      <c r="D817" s="8">
        <f>CHOOSE( CONTROL!$C$32, 30.0097, 30.0062) * CHOOSE( CONTROL!$C$15, $D$11, 100%, $F$11)</f>
        <v>30.009699999999999</v>
      </c>
      <c r="E817" s="12">
        <f>CHOOSE( CONTROL!$C$32, 30.0061, 30.0026) * CHOOSE( CONTROL!$C$15, $D$11, 100%, $F$11)</f>
        <v>30.0061</v>
      </c>
      <c r="F817" s="4">
        <f>CHOOSE( CONTROL!$C$32, 30.6833, 30.6797) * CHOOSE(CONTROL!$C$15, $D$11, 100%, $F$11)</f>
        <v>30.683299999999999</v>
      </c>
      <c r="G817" s="8">
        <f>CHOOSE( CONTROL!$C$32, 29.4664, 29.4629) * CHOOSE( CONTROL!$C$15, $D$11, 100%, $F$11)</f>
        <v>29.4664</v>
      </c>
      <c r="H817" s="4">
        <f>CHOOSE( CONTROL!$C$32, 30.4033, 30.3998) * CHOOSE(CONTROL!$C$15, $D$11, 100%, $F$11)</f>
        <v>30.403300000000002</v>
      </c>
      <c r="I817" s="8">
        <f>CHOOSE( CONTROL!$C$32, 29.0728, 29.0693) * CHOOSE(CONTROL!$C$15, $D$11, 100%, $F$11)</f>
        <v>29.072800000000001</v>
      </c>
      <c r="J817" s="4">
        <f>CHOOSE( CONTROL!$C$32, 28.965, 28.9615) * CHOOSE(CONTROL!$C$15, $D$11, 100%, $F$11)</f>
        <v>28.965</v>
      </c>
      <c r="K817" s="4"/>
      <c r="L817" s="9">
        <v>29.7257</v>
      </c>
      <c r="M817" s="9">
        <v>11.6745</v>
      </c>
      <c r="N817" s="9">
        <v>4.7850000000000001</v>
      </c>
      <c r="O817" s="9">
        <v>0.36199999999999999</v>
      </c>
      <c r="P817" s="9">
        <v>1.1791</v>
      </c>
      <c r="Q817" s="9">
        <v>19.053000000000001</v>
      </c>
      <c r="R817" s="9"/>
      <c r="S817" s="11"/>
    </row>
    <row r="818" spans="1:19" ht="15.75">
      <c r="A818" s="13">
        <v>66415</v>
      </c>
      <c r="B818" s="8">
        <f>31.3206 * CHOOSE(CONTROL!$C$15, $D$11, 100%, $F$11)</f>
        <v>31.320599999999999</v>
      </c>
      <c r="C818" s="8">
        <f>31.326 * CHOOSE(CONTROL!$C$15, $D$11, 100%, $F$11)</f>
        <v>31.326000000000001</v>
      </c>
      <c r="D818" s="8">
        <f>31.3375 * CHOOSE( CONTROL!$C$15, $D$11, 100%, $F$11)</f>
        <v>31.337499999999999</v>
      </c>
      <c r="E818" s="12">
        <f>31.3331 * CHOOSE( CONTROL!$C$15, $D$11, 100%, $F$11)</f>
        <v>31.333100000000002</v>
      </c>
      <c r="F818" s="4">
        <f>32.0106 * CHOOSE(CONTROL!$C$15, $D$11, 100%, $F$11)</f>
        <v>32.010599999999997</v>
      </c>
      <c r="G818" s="8">
        <f>30.7713 * CHOOSE( CONTROL!$C$15, $D$11, 100%, $F$11)</f>
        <v>30.7713</v>
      </c>
      <c r="H818" s="4">
        <f>31.7086 * CHOOSE(CONTROL!$C$15, $D$11, 100%, $F$11)</f>
        <v>31.708600000000001</v>
      </c>
      <c r="I818" s="8">
        <f>30.3572 * CHOOSE(CONTROL!$C$15, $D$11, 100%, $F$11)</f>
        <v>30.357199999999999</v>
      </c>
      <c r="J818" s="4">
        <f>30.2481 * CHOOSE(CONTROL!$C$15, $D$11, 100%, $F$11)</f>
        <v>30.248100000000001</v>
      </c>
      <c r="K818" s="4"/>
      <c r="L818" s="9">
        <v>31.095300000000002</v>
      </c>
      <c r="M818" s="9">
        <v>12.063700000000001</v>
      </c>
      <c r="N818" s="9">
        <v>4.9444999999999997</v>
      </c>
      <c r="O818" s="9">
        <v>0.37409999999999999</v>
      </c>
      <c r="P818" s="9">
        <v>1.2183999999999999</v>
      </c>
      <c r="Q818" s="9">
        <v>19.688099999999999</v>
      </c>
      <c r="R818" s="9"/>
      <c r="S818" s="11"/>
    </row>
    <row r="819" spans="1:19" ht="15.75">
      <c r="A819" s="13">
        <v>66445</v>
      </c>
      <c r="B819" s="8">
        <f>33.7768 * CHOOSE(CONTROL!$C$15, $D$11, 100%, $F$11)</f>
        <v>33.776800000000001</v>
      </c>
      <c r="C819" s="8">
        <f>33.7819 * CHOOSE(CONTROL!$C$15, $D$11, 100%, $F$11)</f>
        <v>33.7819</v>
      </c>
      <c r="D819" s="8">
        <f>33.7589 * CHOOSE( CONTROL!$C$15, $D$11, 100%, $F$11)</f>
        <v>33.758899999999997</v>
      </c>
      <c r="E819" s="12">
        <f>33.7668 * CHOOSE( CONTROL!$C$15, $D$11, 100%, $F$11)</f>
        <v>33.766800000000003</v>
      </c>
      <c r="F819" s="4">
        <f>34.4217 * CHOOSE(CONTROL!$C$15, $D$11, 100%, $F$11)</f>
        <v>34.421700000000001</v>
      </c>
      <c r="G819" s="8">
        <f>33.1979 * CHOOSE( CONTROL!$C$15, $D$11, 100%, $F$11)</f>
        <v>33.197899999999997</v>
      </c>
      <c r="H819" s="4">
        <f>34.0797 * CHOOSE(CONTROL!$C$15, $D$11, 100%, $F$11)</f>
        <v>34.079700000000003</v>
      </c>
      <c r="I819" s="8">
        <f>32.7579 * CHOOSE(CONTROL!$C$15, $D$11, 100%, $F$11)</f>
        <v>32.757899999999999</v>
      </c>
      <c r="J819" s="4">
        <f>32.6228 * CHOOSE(CONTROL!$C$15, $D$11, 100%, $F$11)</f>
        <v>32.622799999999998</v>
      </c>
      <c r="K819" s="4"/>
      <c r="L819" s="9">
        <v>28.360600000000002</v>
      </c>
      <c r="M819" s="9">
        <v>11.6745</v>
      </c>
      <c r="N819" s="9">
        <v>4.7850000000000001</v>
      </c>
      <c r="O819" s="9">
        <v>0.36199999999999999</v>
      </c>
      <c r="P819" s="9">
        <v>1.2509999999999999</v>
      </c>
      <c r="Q819" s="9">
        <v>19.053000000000001</v>
      </c>
      <c r="R819" s="9"/>
      <c r="S819" s="11"/>
    </row>
    <row r="820" spans="1:19" ht="15.75">
      <c r="A820" s="13">
        <v>66476</v>
      </c>
      <c r="B820" s="8">
        <f>33.7154 * CHOOSE(CONTROL!$C$15, $D$11, 100%, $F$11)</f>
        <v>33.715400000000002</v>
      </c>
      <c r="C820" s="8">
        <f>33.7205 * CHOOSE(CONTROL!$C$15, $D$11, 100%, $F$11)</f>
        <v>33.720500000000001</v>
      </c>
      <c r="D820" s="8">
        <f>33.6988 * CHOOSE( CONTROL!$C$15, $D$11, 100%, $F$11)</f>
        <v>33.698799999999999</v>
      </c>
      <c r="E820" s="12">
        <f>33.7062 * CHOOSE( CONTROL!$C$15, $D$11, 100%, $F$11)</f>
        <v>33.706200000000003</v>
      </c>
      <c r="F820" s="4">
        <f>34.3603 * CHOOSE(CONTROL!$C$15, $D$11, 100%, $F$11)</f>
        <v>34.360300000000002</v>
      </c>
      <c r="G820" s="8">
        <f>33.1385 * CHOOSE( CONTROL!$C$15, $D$11, 100%, $F$11)</f>
        <v>33.138500000000001</v>
      </c>
      <c r="H820" s="4">
        <f>34.0193 * CHOOSE(CONTROL!$C$15, $D$11, 100%, $F$11)</f>
        <v>34.019300000000001</v>
      </c>
      <c r="I820" s="8">
        <f>32.7028 * CHOOSE(CONTROL!$C$15, $D$11, 100%, $F$11)</f>
        <v>32.702800000000003</v>
      </c>
      <c r="J820" s="4">
        <f>32.5635 * CHOOSE(CONTROL!$C$15, $D$11, 100%, $F$11)</f>
        <v>32.563499999999998</v>
      </c>
      <c r="K820" s="4"/>
      <c r="L820" s="9">
        <v>29.306000000000001</v>
      </c>
      <c r="M820" s="9">
        <v>12.063700000000001</v>
      </c>
      <c r="N820" s="9">
        <v>4.9444999999999997</v>
      </c>
      <c r="O820" s="9">
        <v>0.37409999999999999</v>
      </c>
      <c r="P820" s="9">
        <v>1.2927</v>
      </c>
      <c r="Q820" s="9">
        <v>19.688099999999999</v>
      </c>
      <c r="R820" s="9"/>
      <c r="S820" s="11"/>
    </row>
    <row r="821" spans="1:19" ht="15.75">
      <c r="A821" s="13">
        <v>66507</v>
      </c>
      <c r="B821" s="8">
        <f>35.0028 * CHOOSE(CONTROL!$C$15, $D$11, 100%, $F$11)</f>
        <v>35.002800000000001</v>
      </c>
      <c r="C821" s="8">
        <f>35.008 * CHOOSE(CONTROL!$C$15, $D$11, 100%, $F$11)</f>
        <v>35.008000000000003</v>
      </c>
      <c r="D821" s="8">
        <f>34.9821 * CHOOSE( CONTROL!$C$15, $D$11, 100%, $F$11)</f>
        <v>34.982100000000003</v>
      </c>
      <c r="E821" s="12">
        <f>34.991 * CHOOSE( CONTROL!$C$15, $D$11, 100%, $F$11)</f>
        <v>34.991</v>
      </c>
      <c r="F821" s="4">
        <f>35.6469 * CHOOSE(CONTROL!$C$15, $D$11, 100%, $F$11)</f>
        <v>35.646900000000002</v>
      </c>
      <c r="G821" s="8">
        <f>34.3983 * CHOOSE( CONTROL!$C$15, $D$11, 100%, $F$11)</f>
        <v>34.398299999999999</v>
      </c>
      <c r="H821" s="4">
        <f>35.2845 * CHOOSE(CONTROL!$C$15, $D$11, 100%, $F$11)</f>
        <v>35.284500000000001</v>
      </c>
      <c r="I821" s="8">
        <f>33.9186 * CHOOSE(CONTROL!$C$15, $D$11, 100%, $F$11)</f>
        <v>33.918599999999998</v>
      </c>
      <c r="J821" s="4">
        <f>33.8081 * CHOOSE(CONTROL!$C$15, $D$11, 100%, $F$11)</f>
        <v>33.808100000000003</v>
      </c>
      <c r="K821" s="4"/>
      <c r="L821" s="9">
        <v>29.306000000000001</v>
      </c>
      <c r="M821" s="9">
        <v>12.063700000000001</v>
      </c>
      <c r="N821" s="9">
        <v>4.9444999999999997</v>
      </c>
      <c r="O821" s="9">
        <v>0.37409999999999999</v>
      </c>
      <c r="P821" s="9">
        <v>1.2927</v>
      </c>
      <c r="Q821" s="9">
        <v>19.688099999999999</v>
      </c>
      <c r="R821" s="9"/>
      <c r="S821" s="11"/>
    </row>
    <row r="822" spans="1:19" ht="15.75">
      <c r="A822" s="13">
        <v>66535</v>
      </c>
      <c r="B822" s="8">
        <f>32.7419 * CHOOSE(CONTROL!$C$15, $D$11, 100%, $F$11)</f>
        <v>32.741900000000001</v>
      </c>
      <c r="C822" s="8">
        <f>32.747 * CHOOSE(CONTROL!$C$15, $D$11, 100%, $F$11)</f>
        <v>32.747</v>
      </c>
      <c r="D822" s="8">
        <f>32.7214 * CHOOSE( CONTROL!$C$15, $D$11, 100%, $F$11)</f>
        <v>32.721400000000003</v>
      </c>
      <c r="E822" s="12">
        <f>32.7302 * CHOOSE( CONTROL!$C$15, $D$11, 100%, $F$11)</f>
        <v>32.730200000000004</v>
      </c>
      <c r="F822" s="4">
        <f>33.3859 * CHOOSE(CONTROL!$C$15, $D$11, 100%, $F$11)</f>
        <v>33.385899999999999</v>
      </c>
      <c r="G822" s="8">
        <f>32.175 * CHOOSE( CONTROL!$C$15, $D$11, 100%, $F$11)</f>
        <v>32.174999999999997</v>
      </c>
      <c r="H822" s="4">
        <f>33.0611 * CHOOSE(CONTROL!$C$15, $D$11, 100%, $F$11)</f>
        <v>33.061100000000003</v>
      </c>
      <c r="I822" s="8">
        <f>31.7326 * CHOOSE(CONTROL!$C$15, $D$11, 100%, $F$11)</f>
        <v>31.732600000000001</v>
      </c>
      <c r="J822" s="4">
        <f>31.6224 * CHOOSE(CONTROL!$C$15, $D$11, 100%, $F$11)</f>
        <v>31.622399999999999</v>
      </c>
      <c r="K822" s="4"/>
      <c r="L822" s="9">
        <v>26.469899999999999</v>
      </c>
      <c r="M822" s="9">
        <v>10.8962</v>
      </c>
      <c r="N822" s="9">
        <v>4.4660000000000002</v>
      </c>
      <c r="O822" s="9">
        <v>0.33789999999999998</v>
      </c>
      <c r="P822" s="9">
        <v>1.1676</v>
      </c>
      <c r="Q822" s="9">
        <v>17.782800000000002</v>
      </c>
      <c r="R822" s="9"/>
      <c r="S822" s="11"/>
    </row>
    <row r="823" spans="1:19" ht="15.75">
      <c r="A823" s="13">
        <v>66566</v>
      </c>
      <c r="B823" s="8">
        <f>32.0456 * CHOOSE(CONTROL!$C$15, $D$11, 100%, $F$11)</f>
        <v>32.0456</v>
      </c>
      <c r="C823" s="8">
        <f>32.0507 * CHOOSE(CONTROL!$C$15, $D$11, 100%, $F$11)</f>
        <v>32.050699999999999</v>
      </c>
      <c r="D823" s="8">
        <f>32.025 * CHOOSE( CONTROL!$C$15, $D$11, 100%, $F$11)</f>
        <v>32.024999999999999</v>
      </c>
      <c r="E823" s="12">
        <f>32.0339 * CHOOSE( CONTROL!$C$15, $D$11, 100%, $F$11)</f>
        <v>32.033900000000003</v>
      </c>
      <c r="F823" s="4">
        <f>32.6896 * CHOOSE(CONTROL!$C$15, $D$11, 100%, $F$11)</f>
        <v>32.689599999999999</v>
      </c>
      <c r="G823" s="8">
        <f>31.4902 * CHOOSE( CONTROL!$C$15, $D$11, 100%, $F$11)</f>
        <v>31.490200000000002</v>
      </c>
      <c r="H823" s="4">
        <f>32.3763 * CHOOSE(CONTROL!$C$15, $D$11, 100%, $F$11)</f>
        <v>32.376300000000001</v>
      </c>
      <c r="I823" s="8">
        <f>31.0589 * CHOOSE(CONTROL!$C$15, $D$11, 100%, $F$11)</f>
        <v>31.058900000000001</v>
      </c>
      <c r="J823" s="4">
        <f>30.9493 * CHOOSE(CONTROL!$C$15, $D$11, 100%, $F$11)</f>
        <v>30.949300000000001</v>
      </c>
      <c r="K823" s="4"/>
      <c r="L823" s="9">
        <v>29.306000000000001</v>
      </c>
      <c r="M823" s="9">
        <v>12.063700000000001</v>
      </c>
      <c r="N823" s="9">
        <v>4.9444999999999997</v>
      </c>
      <c r="O823" s="9">
        <v>0.37409999999999999</v>
      </c>
      <c r="P823" s="9">
        <v>1.2927</v>
      </c>
      <c r="Q823" s="9">
        <v>19.688099999999999</v>
      </c>
      <c r="R823" s="9"/>
      <c r="S823" s="11"/>
    </row>
    <row r="824" spans="1:19" ht="15.75">
      <c r="A824" s="13">
        <v>66596</v>
      </c>
      <c r="B824" s="8">
        <f>32.5329 * CHOOSE(CONTROL!$C$15, $D$11, 100%, $F$11)</f>
        <v>32.532899999999998</v>
      </c>
      <c r="C824" s="8">
        <f>32.5375 * CHOOSE(CONTROL!$C$15, $D$11, 100%, $F$11)</f>
        <v>32.537500000000001</v>
      </c>
      <c r="D824" s="8">
        <f>32.5485 * CHOOSE( CONTROL!$C$15, $D$11, 100%, $F$11)</f>
        <v>32.548499999999997</v>
      </c>
      <c r="E824" s="12">
        <f>32.5443 * CHOOSE( CONTROL!$C$15, $D$11, 100%, $F$11)</f>
        <v>32.5443</v>
      </c>
      <c r="F824" s="4">
        <f>33.2226 * CHOOSE(CONTROL!$C$15, $D$11, 100%, $F$11)</f>
        <v>33.2226</v>
      </c>
      <c r="G824" s="8">
        <f>31.9616 * CHOOSE( CONTROL!$C$15, $D$11, 100%, $F$11)</f>
        <v>31.961600000000001</v>
      </c>
      <c r="H824" s="4">
        <f>32.9004 * CHOOSE(CONTROL!$C$15, $D$11, 100%, $F$11)</f>
        <v>32.900399999999998</v>
      </c>
      <c r="I824" s="8">
        <f>31.5246 * CHOOSE(CONTROL!$C$15, $D$11, 100%, $F$11)</f>
        <v>31.5246</v>
      </c>
      <c r="J824" s="4">
        <f>31.4197 * CHOOSE(CONTROL!$C$15, $D$11, 100%, $F$11)</f>
        <v>31.419699999999999</v>
      </c>
      <c r="K824" s="4"/>
      <c r="L824" s="9">
        <v>30.092199999999998</v>
      </c>
      <c r="M824" s="9">
        <v>11.6745</v>
      </c>
      <c r="N824" s="9">
        <v>4.7850000000000001</v>
      </c>
      <c r="O824" s="9">
        <v>0.36199999999999999</v>
      </c>
      <c r="P824" s="9">
        <v>1.1791</v>
      </c>
      <c r="Q824" s="9">
        <v>19.053000000000001</v>
      </c>
      <c r="R824" s="9"/>
      <c r="S824" s="11"/>
    </row>
    <row r="825" spans="1:19" ht="15.75">
      <c r="A825" s="13">
        <v>66627</v>
      </c>
      <c r="B825" s="8">
        <f>CHOOSE( CONTROL!$C$32, 33.4039, 33.4003) * CHOOSE(CONTROL!$C$15, $D$11, 100%, $F$11)</f>
        <v>33.4039</v>
      </c>
      <c r="C825" s="8">
        <f>CHOOSE( CONTROL!$C$32, 33.4119, 33.4083) * CHOOSE(CONTROL!$C$15, $D$11, 100%, $F$11)</f>
        <v>33.411900000000003</v>
      </c>
      <c r="D825" s="8">
        <f>CHOOSE( CONTROL!$C$32, 33.4179, 33.4143) * CHOOSE( CONTROL!$C$15, $D$11, 100%, $F$11)</f>
        <v>33.417900000000003</v>
      </c>
      <c r="E825" s="12">
        <f>CHOOSE( CONTROL!$C$32, 33.4145, 33.4109) * CHOOSE( CONTROL!$C$15, $D$11, 100%, $F$11)</f>
        <v>33.414499999999997</v>
      </c>
      <c r="F825" s="4">
        <f>CHOOSE( CONTROL!$C$32, 34.0922, 34.0886) * CHOOSE(CONTROL!$C$15, $D$11, 100%, $F$11)</f>
        <v>34.092199999999998</v>
      </c>
      <c r="G825" s="8">
        <f>CHOOSE( CONTROL!$C$32, 32.8178, 32.8142) * CHOOSE( CONTROL!$C$15, $D$11, 100%, $F$11)</f>
        <v>32.817799999999998</v>
      </c>
      <c r="H825" s="4">
        <f>CHOOSE( CONTROL!$C$32, 33.7556, 33.7521) * CHOOSE(CONTROL!$C$15, $D$11, 100%, $F$11)</f>
        <v>33.755600000000001</v>
      </c>
      <c r="I825" s="8">
        <f>CHOOSE( CONTROL!$C$32, 32.3665, 32.363) * CHOOSE(CONTROL!$C$15, $D$11, 100%, $F$11)</f>
        <v>32.366500000000002</v>
      </c>
      <c r="J825" s="4">
        <f>CHOOSE( CONTROL!$C$32, 32.2603, 32.2569) * CHOOSE(CONTROL!$C$15, $D$11, 100%, $F$11)</f>
        <v>32.260300000000001</v>
      </c>
      <c r="K825" s="4"/>
      <c r="L825" s="9">
        <v>30.7165</v>
      </c>
      <c r="M825" s="9">
        <v>12.063700000000001</v>
      </c>
      <c r="N825" s="9">
        <v>4.9444999999999997</v>
      </c>
      <c r="O825" s="9">
        <v>0.37409999999999999</v>
      </c>
      <c r="P825" s="9">
        <v>1.2183999999999999</v>
      </c>
      <c r="Q825" s="9">
        <v>19.688099999999999</v>
      </c>
      <c r="R825" s="9"/>
      <c r="S825" s="11"/>
    </row>
    <row r="826" spans="1:19" ht="15.75">
      <c r="A826" s="13">
        <v>66657</v>
      </c>
      <c r="B826" s="8">
        <f>CHOOSE( CONTROL!$C$32, 32.8674, 32.8638) * CHOOSE(CONTROL!$C$15, $D$11, 100%, $F$11)</f>
        <v>32.867400000000004</v>
      </c>
      <c r="C826" s="8">
        <f>CHOOSE( CONTROL!$C$32, 32.8754, 32.8719) * CHOOSE(CONTROL!$C$15, $D$11, 100%, $F$11)</f>
        <v>32.875399999999999</v>
      </c>
      <c r="D826" s="8">
        <f>CHOOSE( CONTROL!$C$32, 32.8817, 32.8781) * CHOOSE( CONTROL!$C$15, $D$11, 100%, $F$11)</f>
        <v>32.881700000000002</v>
      </c>
      <c r="E826" s="12">
        <f>CHOOSE( CONTROL!$C$32, 32.8782, 32.8746) * CHOOSE( CONTROL!$C$15, $D$11, 100%, $F$11)</f>
        <v>32.8782</v>
      </c>
      <c r="F826" s="4">
        <f>CHOOSE( CONTROL!$C$32, 33.5557, 33.5521) * CHOOSE(CONTROL!$C$15, $D$11, 100%, $F$11)</f>
        <v>33.555700000000002</v>
      </c>
      <c r="G826" s="8">
        <f>CHOOSE( CONTROL!$C$32, 32.2906, 32.2871) * CHOOSE( CONTROL!$C$15, $D$11, 100%, $F$11)</f>
        <v>32.290599999999998</v>
      </c>
      <c r="H826" s="4">
        <f>CHOOSE( CONTROL!$C$32, 33.228, 33.2245) * CHOOSE(CONTROL!$C$15, $D$11, 100%, $F$11)</f>
        <v>33.228000000000002</v>
      </c>
      <c r="I826" s="8">
        <f>CHOOSE( CONTROL!$C$32, 31.8489, 31.8455) * CHOOSE(CONTROL!$C$15, $D$11, 100%, $F$11)</f>
        <v>31.8489</v>
      </c>
      <c r="J826" s="4">
        <f>CHOOSE( CONTROL!$C$32, 31.7417, 31.7382) * CHOOSE(CONTROL!$C$15, $D$11, 100%, $F$11)</f>
        <v>31.741700000000002</v>
      </c>
      <c r="K826" s="4"/>
      <c r="L826" s="9">
        <v>29.7257</v>
      </c>
      <c r="M826" s="9">
        <v>11.6745</v>
      </c>
      <c r="N826" s="9">
        <v>4.7850000000000001</v>
      </c>
      <c r="O826" s="9">
        <v>0.36199999999999999</v>
      </c>
      <c r="P826" s="9">
        <v>1.1791</v>
      </c>
      <c r="Q826" s="9">
        <v>19.053000000000001</v>
      </c>
      <c r="R826" s="9"/>
      <c r="S826" s="11"/>
    </row>
    <row r="827" spans="1:19" ht="15.75">
      <c r="A827" s="13">
        <v>66688</v>
      </c>
      <c r="B827" s="8">
        <f>CHOOSE( CONTROL!$C$32, 34.2802, 34.2766) * CHOOSE(CONTROL!$C$15, $D$11, 100%, $F$11)</f>
        <v>34.280200000000001</v>
      </c>
      <c r="C827" s="8">
        <f>CHOOSE( CONTROL!$C$32, 34.2882, 34.2846) * CHOOSE(CONTROL!$C$15, $D$11, 100%, $F$11)</f>
        <v>34.288200000000003</v>
      </c>
      <c r="D827" s="8">
        <f>CHOOSE( CONTROL!$C$32, 34.2948, 34.2912) * CHOOSE( CONTROL!$C$15, $D$11, 100%, $F$11)</f>
        <v>34.294800000000002</v>
      </c>
      <c r="E827" s="12">
        <f>CHOOSE( CONTROL!$C$32, 34.2912, 34.2876) * CHOOSE( CONTROL!$C$15, $D$11, 100%, $F$11)</f>
        <v>34.291200000000003</v>
      </c>
      <c r="F827" s="4">
        <f>CHOOSE( CONTROL!$C$32, 34.9684, 34.9649) * CHOOSE(CONTROL!$C$15, $D$11, 100%, $F$11)</f>
        <v>34.968400000000003</v>
      </c>
      <c r="G827" s="8">
        <f>CHOOSE( CONTROL!$C$32, 33.6804, 33.6769) * CHOOSE( CONTROL!$C$15, $D$11, 100%, $F$11)</f>
        <v>33.680399999999999</v>
      </c>
      <c r="H827" s="4">
        <f>CHOOSE( CONTROL!$C$32, 34.6174, 34.6138) * CHOOSE(CONTROL!$C$15, $D$11, 100%, $F$11)</f>
        <v>34.617400000000004</v>
      </c>
      <c r="I827" s="8">
        <f>CHOOSE( CONTROL!$C$32, 33.2168, 33.2134) * CHOOSE(CONTROL!$C$15, $D$11, 100%, $F$11)</f>
        <v>33.216799999999999</v>
      </c>
      <c r="J827" s="4">
        <f>CHOOSE( CONTROL!$C$32, 33.1074, 33.104) * CHOOSE(CONTROL!$C$15, $D$11, 100%, $F$11)</f>
        <v>33.107399999999998</v>
      </c>
      <c r="K827" s="4"/>
      <c r="L827" s="9">
        <v>30.7165</v>
      </c>
      <c r="M827" s="9">
        <v>12.063700000000001</v>
      </c>
      <c r="N827" s="9">
        <v>4.9444999999999997</v>
      </c>
      <c r="O827" s="9">
        <v>0.37409999999999999</v>
      </c>
      <c r="P827" s="9">
        <v>1.2183999999999999</v>
      </c>
      <c r="Q827" s="9">
        <v>19.688099999999999</v>
      </c>
      <c r="R827" s="9"/>
      <c r="S827" s="11"/>
    </row>
    <row r="828" spans="1:19" ht="15.75">
      <c r="A828" s="13">
        <v>66719</v>
      </c>
      <c r="B828" s="8">
        <f>CHOOSE( CONTROL!$C$32, 31.6368, 31.6332) * CHOOSE(CONTROL!$C$15, $D$11, 100%, $F$11)</f>
        <v>31.636800000000001</v>
      </c>
      <c r="C828" s="8">
        <f>CHOOSE( CONTROL!$C$32, 31.6448, 31.6412) * CHOOSE(CONTROL!$C$15, $D$11, 100%, $F$11)</f>
        <v>31.6448</v>
      </c>
      <c r="D828" s="8">
        <f>CHOOSE( CONTROL!$C$32, 31.6515, 31.6479) * CHOOSE( CONTROL!$C$15, $D$11, 100%, $F$11)</f>
        <v>31.651499999999999</v>
      </c>
      <c r="E828" s="12">
        <f>CHOOSE( CONTROL!$C$32, 31.6479, 31.6443) * CHOOSE( CONTROL!$C$15, $D$11, 100%, $F$11)</f>
        <v>31.6479</v>
      </c>
      <c r="F828" s="4">
        <f>CHOOSE( CONTROL!$C$32, 32.325, 32.3215) * CHOOSE(CONTROL!$C$15, $D$11, 100%, $F$11)</f>
        <v>32.325000000000003</v>
      </c>
      <c r="G828" s="8">
        <f>CHOOSE( CONTROL!$C$32, 31.0809, 31.0774) * CHOOSE( CONTROL!$C$15, $D$11, 100%, $F$11)</f>
        <v>31.0809</v>
      </c>
      <c r="H828" s="4">
        <f>CHOOSE( CONTROL!$C$32, 32.0178, 32.0143) * CHOOSE(CONTROL!$C$15, $D$11, 100%, $F$11)</f>
        <v>32.017800000000001</v>
      </c>
      <c r="I828" s="8">
        <f>CHOOSE( CONTROL!$C$32, 30.6606, 30.6572) * CHOOSE(CONTROL!$C$15, $D$11, 100%, $F$11)</f>
        <v>30.660599999999999</v>
      </c>
      <c r="J828" s="4">
        <f>CHOOSE( CONTROL!$C$32, 30.552, 30.5486) * CHOOSE(CONTROL!$C$15, $D$11, 100%, $F$11)</f>
        <v>30.552</v>
      </c>
      <c r="K828" s="4"/>
      <c r="L828" s="9">
        <v>30.7165</v>
      </c>
      <c r="M828" s="9">
        <v>12.063700000000001</v>
      </c>
      <c r="N828" s="9">
        <v>4.9444999999999997</v>
      </c>
      <c r="O828" s="9">
        <v>0.37409999999999999</v>
      </c>
      <c r="P828" s="9">
        <v>1.2183999999999999</v>
      </c>
      <c r="Q828" s="9">
        <v>19.688099999999999</v>
      </c>
      <c r="R828" s="9"/>
      <c r="S828" s="11"/>
    </row>
    <row r="829" spans="1:19" ht="15.75">
      <c r="A829" s="13">
        <v>66749</v>
      </c>
      <c r="B829" s="8">
        <f>CHOOSE( CONTROL!$C$32, 30.9748, 30.9712) * CHOOSE(CONTROL!$C$15, $D$11, 100%, $F$11)</f>
        <v>30.974799999999998</v>
      </c>
      <c r="C829" s="8">
        <f>CHOOSE( CONTROL!$C$32, 30.9828, 30.9793) * CHOOSE(CONTROL!$C$15, $D$11, 100%, $F$11)</f>
        <v>30.982800000000001</v>
      </c>
      <c r="D829" s="8">
        <f>CHOOSE( CONTROL!$C$32, 30.9895, 30.9859) * CHOOSE( CONTROL!$C$15, $D$11, 100%, $F$11)</f>
        <v>30.9895</v>
      </c>
      <c r="E829" s="12">
        <f>CHOOSE( CONTROL!$C$32, 30.9859, 30.9823) * CHOOSE( CONTROL!$C$15, $D$11, 100%, $F$11)</f>
        <v>30.985900000000001</v>
      </c>
      <c r="F829" s="4">
        <f>CHOOSE( CONTROL!$C$32, 31.6631, 31.6595) * CHOOSE(CONTROL!$C$15, $D$11, 100%, $F$11)</f>
        <v>31.6631</v>
      </c>
      <c r="G829" s="8">
        <f>CHOOSE( CONTROL!$C$32, 30.43, 30.4265) * CHOOSE( CONTROL!$C$15, $D$11, 100%, $F$11)</f>
        <v>30.43</v>
      </c>
      <c r="H829" s="4">
        <f>CHOOSE( CONTROL!$C$32, 31.3668, 31.3633) * CHOOSE(CONTROL!$C$15, $D$11, 100%, $F$11)</f>
        <v>31.366800000000001</v>
      </c>
      <c r="I829" s="8">
        <f>CHOOSE( CONTROL!$C$32, 30.0204, 30.0169) * CHOOSE(CONTROL!$C$15, $D$11, 100%, $F$11)</f>
        <v>30.020399999999999</v>
      </c>
      <c r="J829" s="4">
        <f>CHOOSE( CONTROL!$C$32, 29.9121, 29.9087) * CHOOSE(CONTROL!$C$15, $D$11, 100%, $F$11)</f>
        <v>29.912099999999999</v>
      </c>
      <c r="K829" s="4"/>
      <c r="L829" s="9">
        <v>29.7257</v>
      </c>
      <c r="M829" s="9">
        <v>11.6745</v>
      </c>
      <c r="N829" s="9">
        <v>4.7850000000000001</v>
      </c>
      <c r="O829" s="9">
        <v>0.36199999999999999</v>
      </c>
      <c r="P829" s="9">
        <v>1.1791</v>
      </c>
      <c r="Q829" s="9">
        <v>19.053000000000001</v>
      </c>
      <c r="R829" s="9"/>
      <c r="S829" s="11"/>
    </row>
    <row r="830" spans="1:19" ht="15.75">
      <c r="A830" s="13">
        <v>66780</v>
      </c>
      <c r="B830" s="8">
        <f>32.3439 * CHOOSE(CONTROL!$C$15, $D$11, 100%, $F$11)</f>
        <v>32.343899999999998</v>
      </c>
      <c r="C830" s="8">
        <f>32.3493 * CHOOSE(CONTROL!$C$15, $D$11, 100%, $F$11)</f>
        <v>32.349299999999999</v>
      </c>
      <c r="D830" s="8">
        <f>32.3608 * CHOOSE( CONTROL!$C$15, $D$11, 100%, $F$11)</f>
        <v>32.360799999999998</v>
      </c>
      <c r="E830" s="12">
        <f>32.3564 * CHOOSE( CONTROL!$C$15, $D$11, 100%, $F$11)</f>
        <v>32.356400000000001</v>
      </c>
      <c r="F830" s="4">
        <f>33.0339 * CHOOSE(CONTROL!$C$15, $D$11, 100%, $F$11)</f>
        <v>33.033900000000003</v>
      </c>
      <c r="G830" s="8">
        <f>31.7776 * CHOOSE( CONTROL!$C$15, $D$11, 100%, $F$11)</f>
        <v>31.7776</v>
      </c>
      <c r="H830" s="4">
        <f>32.7149 * CHOOSE(CONTROL!$C$15, $D$11, 100%, $F$11)</f>
        <v>32.7149</v>
      </c>
      <c r="I830" s="8">
        <f>31.347 * CHOOSE(CONTROL!$C$15, $D$11, 100%, $F$11)</f>
        <v>31.347000000000001</v>
      </c>
      <c r="J830" s="4">
        <f>31.2373 * CHOOSE(CONTROL!$C$15, $D$11, 100%, $F$11)</f>
        <v>31.237300000000001</v>
      </c>
      <c r="K830" s="4"/>
      <c r="L830" s="9">
        <v>31.095300000000002</v>
      </c>
      <c r="M830" s="9">
        <v>12.063700000000001</v>
      </c>
      <c r="N830" s="9">
        <v>4.9444999999999997</v>
      </c>
      <c r="O830" s="9">
        <v>0.37409999999999999</v>
      </c>
      <c r="P830" s="9">
        <v>1.2183999999999999</v>
      </c>
      <c r="Q830" s="9">
        <v>19.688099999999999</v>
      </c>
      <c r="R830" s="9"/>
      <c r="S830" s="11"/>
    </row>
    <row r="831" spans="1:19" ht="15.75">
      <c r="A831" s="13">
        <v>66810</v>
      </c>
      <c r="B831" s="8">
        <f>34.8804 * CHOOSE(CONTROL!$C$15, $D$11, 100%, $F$11)</f>
        <v>34.880400000000002</v>
      </c>
      <c r="C831" s="8">
        <f>34.8855 * CHOOSE(CONTROL!$C$15, $D$11, 100%, $F$11)</f>
        <v>34.8855</v>
      </c>
      <c r="D831" s="8">
        <f>34.8625 * CHOOSE( CONTROL!$C$15, $D$11, 100%, $F$11)</f>
        <v>34.862499999999997</v>
      </c>
      <c r="E831" s="12">
        <f>34.8704 * CHOOSE( CONTROL!$C$15, $D$11, 100%, $F$11)</f>
        <v>34.870399999999997</v>
      </c>
      <c r="F831" s="4">
        <f>35.5253 * CHOOSE(CONTROL!$C$15, $D$11, 100%, $F$11)</f>
        <v>35.525300000000001</v>
      </c>
      <c r="G831" s="8">
        <f>34.2832 * CHOOSE( CONTROL!$C$15, $D$11, 100%, $F$11)</f>
        <v>34.283200000000001</v>
      </c>
      <c r="H831" s="4">
        <f>35.165 * CHOOSE(CONTROL!$C$15, $D$11, 100%, $F$11)</f>
        <v>35.164999999999999</v>
      </c>
      <c r="I831" s="8">
        <f>33.8253 * CHOOSE(CONTROL!$C$15, $D$11, 100%, $F$11)</f>
        <v>33.825299999999999</v>
      </c>
      <c r="J831" s="4">
        <f>33.6897 * CHOOSE(CONTROL!$C$15, $D$11, 100%, $F$11)</f>
        <v>33.689700000000002</v>
      </c>
      <c r="K831" s="4"/>
      <c r="L831" s="9">
        <v>28.360600000000002</v>
      </c>
      <c r="M831" s="9">
        <v>11.6745</v>
      </c>
      <c r="N831" s="9">
        <v>4.7850000000000001</v>
      </c>
      <c r="O831" s="9">
        <v>0.36199999999999999</v>
      </c>
      <c r="P831" s="9">
        <v>1.2509999999999999</v>
      </c>
      <c r="Q831" s="9">
        <v>19.053000000000001</v>
      </c>
      <c r="R831" s="9"/>
      <c r="S831" s="11"/>
    </row>
    <row r="832" spans="1:19" ht="15.75">
      <c r="A832" s="13">
        <v>66841</v>
      </c>
      <c r="B832" s="8">
        <f>34.817 * CHOOSE(CONTROL!$C$15, $D$11, 100%, $F$11)</f>
        <v>34.817</v>
      </c>
      <c r="C832" s="8">
        <f>34.8222 * CHOOSE(CONTROL!$C$15, $D$11, 100%, $F$11)</f>
        <v>34.822200000000002</v>
      </c>
      <c r="D832" s="8">
        <f>34.8005 * CHOOSE( CONTROL!$C$15, $D$11, 100%, $F$11)</f>
        <v>34.8005</v>
      </c>
      <c r="E832" s="12">
        <f>34.8079 * CHOOSE( CONTROL!$C$15, $D$11, 100%, $F$11)</f>
        <v>34.807899999999997</v>
      </c>
      <c r="F832" s="4">
        <f>35.4619 * CHOOSE(CONTROL!$C$15, $D$11, 100%, $F$11)</f>
        <v>35.4619</v>
      </c>
      <c r="G832" s="8">
        <f>34.2219 * CHOOSE( CONTROL!$C$15, $D$11, 100%, $F$11)</f>
        <v>34.221899999999998</v>
      </c>
      <c r="H832" s="4">
        <f>35.1027 * CHOOSE(CONTROL!$C$15, $D$11, 100%, $F$11)</f>
        <v>35.102699999999999</v>
      </c>
      <c r="I832" s="8">
        <f>33.7683 * CHOOSE(CONTROL!$C$15, $D$11, 100%, $F$11)</f>
        <v>33.768300000000004</v>
      </c>
      <c r="J832" s="4">
        <f>33.6285 * CHOOSE(CONTROL!$C$15, $D$11, 100%, $F$11)</f>
        <v>33.628500000000003</v>
      </c>
      <c r="K832" s="4"/>
      <c r="L832" s="9">
        <v>29.306000000000001</v>
      </c>
      <c r="M832" s="9">
        <v>12.063700000000001</v>
      </c>
      <c r="N832" s="9">
        <v>4.9444999999999997</v>
      </c>
      <c r="O832" s="9">
        <v>0.37409999999999999</v>
      </c>
      <c r="P832" s="9">
        <v>1.2927</v>
      </c>
      <c r="Q832" s="9">
        <v>19.688099999999999</v>
      </c>
      <c r="R832" s="9"/>
      <c r="S832" s="11"/>
    </row>
    <row r="833" spans="1:19" ht="15.75">
      <c r="A833" s="13">
        <v>66872</v>
      </c>
      <c r="B833" s="8">
        <f>36.1466 * CHOOSE(CONTROL!$C$15, $D$11, 100%, $F$11)</f>
        <v>36.146599999999999</v>
      </c>
      <c r="C833" s="8">
        <f>36.1517 * CHOOSE(CONTROL!$C$15, $D$11, 100%, $F$11)</f>
        <v>36.151699999999998</v>
      </c>
      <c r="D833" s="8">
        <f>36.1259 * CHOOSE( CONTROL!$C$15, $D$11, 100%, $F$11)</f>
        <v>36.125900000000001</v>
      </c>
      <c r="E833" s="12">
        <f>36.1348 * CHOOSE( CONTROL!$C$15, $D$11, 100%, $F$11)</f>
        <v>36.134799999999998</v>
      </c>
      <c r="F833" s="4">
        <f>36.7906 * CHOOSE(CONTROL!$C$15, $D$11, 100%, $F$11)</f>
        <v>36.790599999999998</v>
      </c>
      <c r="G833" s="8">
        <f>35.5231 * CHOOSE( CONTROL!$C$15, $D$11, 100%, $F$11)</f>
        <v>35.523099999999999</v>
      </c>
      <c r="H833" s="4">
        <f>36.4093 * CHOOSE(CONTROL!$C$15, $D$11, 100%, $F$11)</f>
        <v>36.409300000000002</v>
      </c>
      <c r="I833" s="8">
        <f>35.0248 * CHOOSE(CONTROL!$C$15, $D$11, 100%, $F$11)</f>
        <v>35.024799999999999</v>
      </c>
      <c r="J833" s="4">
        <f>34.9137 * CHOOSE(CONTROL!$C$15, $D$11, 100%, $F$11)</f>
        <v>34.913699999999999</v>
      </c>
      <c r="K833" s="4"/>
      <c r="L833" s="9">
        <v>29.306000000000001</v>
      </c>
      <c r="M833" s="9">
        <v>12.063700000000001</v>
      </c>
      <c r="N833" s="9">
        <v>4.9444999999999997</v>
      </c>
      <c r="O833" s="9">
        <v>0.37409999999999999</v>
      </c>
      <c r="P833" s="9">
        <v>1.2927</v>
      </c>
      <c r="Q833" s="9">
        <v>19.688099999999999</v>
      </c>
      <c r="R833" s="9"/>
      <c r="S833" s="11"/>
    </row>
    <row r="834" spans="1:19" ht="15.75">
      <c r="A834" s="13">
        <v>66900</v>
      </c>
      <c r="B834" s="8">
        <f>33.8117 * CHOOSE(CONTROL!$C$15, $D$11, 100%, $F$11)</f>
        <v>33.811700000000002</v>
      </c>
      <c r="C834" s="8">
        <f>33.8168 * CHOOSE(CONTROL!$C$15, $D$11, 100%, $F$11)</f>
        <v>33.816800000000001</v>
      </c>
      <c r="D834" s="8">
        <f>33.7912 * CHOOSE( CONTROL!$C$15, $D$11, 100%, $F$11)</f>
        <v>33.791200000000003</v>
      </c>
      <c r="E834" s="12">
        <f>33.8 * CHOOSE( CONTROL!$C$15, $D$11, 100%, $F$11)</f>
        <v>33.799999999999997</v>
      </c>
      <c r="F834" s="4">
        <f>34.4557 * CHOOSE(CONTROL!$C$15, $D$11, 100%, $F$11)</f>
        <v>34.4557</v>
      </c>
      <c r="G834" s="8">
        <f>33.2271 * CHOOSE( CONTROL!$C$15, $D$11, 100%, $F$11)</f>
        <v>33.2271</v>
      </c>
      <c r="H834" s="4">
        <f>34.1132 * CHOOSE(CONTROL!$C$15, $D$11, 100%, $F$11)</f>
        <v>34.113199999999999</v>
      </c>
      <c r="I834" s="8">
        <f>32.7673 * CHOOSE(CONTROL!$C$15, $D$11, 100%, $F$11)</f>
        <v>32.767299999999999</v>
      </c>
      <c r="J834" s="4">
        <f>32.6566 * CHOOSE(CONTROL!$C$15, $D$11, 100%, $F$11)</f>
        <v>32.656599999999997</v>
      </c>
      <c r="K834" s="4"/>
      <c r="L834" s="9">
        <v>26.469899999999999</v>
      </c>
      <c r="M834" s="9">
        <v>10.8962</v>
      </c>
      <c r="N834" s="9">
        <v>4.4660000000000002</v>
      </c>
      <c r="O834" s="9">
        <v>0.33789999999999998</v>
      </c>
      <c r="P834" s="9">
        <v>1.1676</v>
      </c>
      <c r="Q834" s="9">
        <v>17.782800000000002</v>
      </c>
      <c r="R834" s="9"/>
      <c r="S834" s="11"/>
    </row>
    <row r="835" spans="1:19" ht="15.75">
      <c r="A835" s="13">
        <v>66931</v>
      </c>
      <c r="B835" s="8">
        <f>33.0926 * CHOOSE(CONTROL!$C$15, $D$11, 100%, $F$11)</f>
        <v>33.092599999999997</v>
      </c>
      <c r="C835" s="8">
        <f>33.0977 * CHOOSE(CONTROL!$C$15, $D$11, 100%, $F$11)</f>
        <v>33.097700000000003</v>
      </c>
      <c r="D835" s="8">
        <f>33.072 * CHOOSE( CONTROL!$C$15, $D$11, 100%, $F$11)</f>
        <v>33.072000000000003</v>
      </c>
      <c r="E835" s="12">
        <f>33.0809 * CHOOSE( CONTROL!$C$15, $D$11, 100%, $F$11)</f>
        <v>33.0809</v>
      </c>
      <c r="F835" s="4">
        <f>33.7366 * CHOOSE(CONTROL!$C$15, $D$11, 100%, $F$11)</f>
        <v>33.736600000000003</v>
      </c>
      <c r="G835" s="8">
        <f>32.5198 * CHOOSE( CONTROL!$C$15, $D$11, 100%, $F$11)</f>
        <v>32.519799999999996</v>
      </c>
      <c r="H835" s="4">
        <f>33.406 * CHOOSE(CONTROL!$C$15, $D$11, 100%, $F$11)</f>
        <v>33.405999999999999</v>
      </c>
      <c r="I835" s="8">
        <f>32.0716 * CHOOSE(CONTROL!$C$15, $D$11, 100%, $F$11)</f>
        <v>32.071599999999997</v>
      </c>
      <c r="J835" s="4">
        <f>31.9614 * CHOOSE(CONTROL!$C$15, $D$11, 100%, $F$11)</f>
        <v>31.961400000000001</v>
      </c>
      <c r="K835" s="4"/>
      <c r="L835" s="9">
        <v>29.306000000000001</v>
      </c>
      <c r="M835" s="9">
        <v>12.063700000000001</v>
      </c>
      <c r="N835" s="9">
        <v>4.9444999999999997</v>
      </c>
      <c r="O835" s="9">
        <v>0.37409999999999999</v>
      </c>
      <c r="P835" s="9">
        <v>1.2927</v>
      </c>
      <c r="Q835" s="9">
        <v>19.688099999999999</v>
      </c>
      <c r="R835" s="9"/>
      <c r="S835" s="11"/>
    </row>
    <row r="836" spans="1:19" ht="15.75">
      <c r="A836" s="13">
        <v>66961</v>
      </c>
      <c r="B836" s="8">
        <f>33.5959 * CHOOSE(CONTROL!$C$15, $D$11, 100%, $F$11)</f>
        <v>33.5959</v>
      </c>
      <c r="C836" s="8">
        <f>33.6004 * CHOOSE(CONTROL!$C$15, $D$11, 100%, $F$11)</f>
        <v>33.6004</v>
      </c>
      <c r="D836" s="8">
        <f>33.6114 * CHOOSE( CONTROL!$C$15, $D$11, 100%, $F$11)</f>
        <v>33.611400000000003</v>
      </c>
      <c r="E836" s="12">
        <f>33.6073 * CHOOSE( CONTROL!$C$15, $D$11, 100%, $F$11)</f>
        <v>33.607300000000002</v>
      </c>
      <c r="F836" s="4">
        <f>34.2855 * CHOOSE(CONTROL!$C$15, $D$11, 100%, $F$11)</f>
        <v>34.285499999999999</v>
      </c>
      <c r="G836" s="8">
        <f>33.0069 * CHOOSE( CONTROL!$C$15, $D$11, 100%, $F$11)</f>
        <v>33.006900000000002</v>
      </c>
      <c r="H836" s="4">
        <f>33.9457 * CHOOSE(CONTROL!$C$15, $D$11, 100%, $F$11)</f>
        <v>33.945700000000002</v>
      </c>
      <c r="I836" s="8">
        <f>32.5526 * CHOOSE(CONTROL!$C$15, $D$11, 100%, $F$11)</f>
        <v>32.552599999999998</v>
      </c>
      <c r="J836" s="4">
        <f>32.4472 * CHOOSE(CONTROL!$C$15, $D$11, 100%, $F$11)</f>
        <v>32.447200000000002</v>
      </c>
      <c r="K836" s="4"/>
      <c r="L836" s="9">
        <v>30.092199999999998</v>
      </c>
      <c r="M836" s="9">
        <v>11.6745</v>
      </c>
      <c r="N836" s="9">
        <v>4.7850000000000001</v>
      </c>
      <c r="O836" s="9">
        <v>0.36199999999999999</v>
      </c>
      <c r="P836" s="9">
        <v>1.1791</v>
      </c>
      <c r="Q836" s="9">
        <v>19.053000000000001</v>
      </c>
      <c r="R836" s="9"/>
      <c r="S836" s="11"/>
    </row>
    <row r="837" spans="1:19" ht="15.75">
      <c r="A837" s="13">
        <v>66992</v>
      </c>
      <c r="B837" s="8">
        <f>CHOOSE( CONTROL!$C$32, 34.4951, 34.4916) * CHOOSE(CONTROL!$C$15, $D$11, 100%, $F$11)</f>
        <v>34.495100000000001</v>
      </c>
      <c r="C837" s="8">
        <f>CHOOSE( CONTROL!$C$32, 34.5032, 34.4996) * CHOOSE(CONTROL!$C$15, $D$11, 100%, $F$11)</f>
        <v>34.5032</v>
      </c>
      <c r="D837" s="8">
        <f>CHOOSE( CONTROL!$C$32, 34.5092, 34.5056) * CHOOSE( CONTROL!$C$15, $D$11, 100%, $F$11)</f>
        <v>34.5092</v>
      </c>
      <c r="E837" s="12">
        <f>CHOOSE( CONTROL!$C$32, 34.5058, 34.5022) * CHOOSE( CONTROL!$C$15, $D$11, 100%, $F$11)</f>
        <v>34.505800000000001</v>
      </c>
      <c r="F837" s="4">
        <f>CHOOSE( CONTROL!$C$32, 35.1834, 35.1799) * CHOOSE(CONTROL!$C$15, $D$11, 100%, $F$11)</f>
        <v>35.183399999999999</v>
      </c>
      <c r="G837" s="8">
        <f>CHOOSE( CONTROL!$C$32, 33.8909, 33.8874) * CHOOSE( CONTROL!$C$15, $D$11, 100%, $F$11)</f>
        <v>33.890900000000002</v>
      </c>
      <c r="H837" s="4">
        <f>CHOOSE( CONTROL!$C$32, 34.8288, 34.8253) * CHOOSE(CONTROL!$C$15, $D$11, 100%, $F$11)</f>
        <v>34.828800000000001</v>
      </c>
      <c r="I837" s="8">
        <f>CHOOSE( CONTROL!$C$32, 33.4219, 33.4185) * CHOOSE(CONTROL!$C$15, $D$11, 100%, $F$11)</f>
        <v>33.421900000000001</v>
      </c>
      <c r="J837" s="4">
        <f>CHOOSE( CONTROL!$C$32, 33.3152, 33.3118) * CHOOSE(CONTROL!$C$15, $D$11, 100%, $F$11)</f>
        <v>33.315199999999997</v>
      </c>
      <c r="K837" s="4"/>
      <c r="L837" s="9">
        <v>30.7165</v>
      </c>
      <c r="M837" s="9">
        <v>12.063700000000001</v>
      </c>
      <c r="N837" s="9">
        <v>4.9444999999999997</v>
      </c>
      <c r="O837" s="9">
        <v>0.37409999999999999</v>
      </c>
      <c r="P837" s="9">
        <v>1.2183999999999999</v>
      </c>
      <c r="Q837" s="9">
        <v>19.688099999999999</v>
      </c>
      <c r="R837" s="9"/>
      <c r="S837" s="11"/>
    </row>
    <row r="838" spans="1:19" ht="15.75">
      <c r="A838" s="13">
        <v>67022</v>
      </c>
      <c r="B838" s="8">
        <f>CHOOSE( CONTROL!$C$32, 33.9411, 33.9376) * CHOOSE(CONTROL!$C$15, $D$11, 100%, $F$11)</f>
        <v>33.941099999999999</v>
      </c>
      <c r="C838" s="8">
        <f>CHOOSE( CONTROL!$C$32, 33.9491, 33.9456) * CHOOSE(CONTROL!$C$15, $D$11, 100%, $F$11)</f>
        <v>33.949100000000001</v>
      </c>
      <c r="D838" s="8">
        <f>CHOOSE( CONTROL!$C$32, 33.9554, 33.9519) * CHOOSE( CONTROL!$C$15, $D$11, 100%, $F$11)</f>
        <v>33.955399999999997</v>
      </c>
      <c r="E838" s="12">
        <f>CHOOSE( CONTROL!$C$32, 33.9519, 33.9484) * CHOOSE( CONTROL!$C$15, $D$11, 100%, $F$11)</f>
        <v>33.951900000000002</v>
      </c>
      <c r="F838" s="4">
        <f>CHOOSE( CONTROL!$C$32, 34.6294, 34.6258) * CHOOSE(CONTROL!$C$15, $D$11, 100%, $F$11)</f>
        <v>34.629399999999997</v>
      </c>
      <c r="G838" s="8">
        <f>CHOOSE( CONTROL!$C$32, 33.3465, 33.343) * CHOOSE( CONTROL!$C$15, $D$11, 100%, $F$11)</f>
        <v>33.346499999999999</v>
      </c>
      <c r="H838" s="4">
        <f>CHOOSE( CONTROL!$C$32, 34.2839, 34.2804) * CHOOSE(CONTROL!$C$15, $D$11, 100%, $F$11)</f>
        <v>34.283900000000003</v>
      </c>
      <c r="I838" s="8">
        <f>CHOOSE( CONTROL!$C$32, 32.8874, 32.884) * CHOOSE(CONTROL!$C$15, $D$11, 100%, $F$11)</f>
        <v>32.8874</v>
      </c>
      <c r="J838" s="4">
        <f>CHOOSE( CONTROL!$C$32, 32.7796, 32.7762) * CHOOSE(CONTROL!$C$15, $D$11, 100%, $F$11)</f>
        <v>32.779600000000002</v>
      </c>
      <c r="K838" s="4"/>
      <c r="L838" s="9">
        <v>29.7257</v>
      </c>
      <c r="M838" s="9">
        <v>11.6745</v>
      </c>
      <c r="N838" s="9">
        <v>4.7850000000000001</v>
      </c>
      <c r="O838" s="9">
        <v>0.36199999999999999</v>
      </c>
      <c r="P838" s="9">
        <v>1.1791</v>
      </c>
      <c r="Q838" s="9">
        <v>19.053000000000001</v>
      </c>
      <c r="R838" s="9"/>
      <c r="S838" s="11"/>
    </row>
    <row r="839" spans="1:19" ht="15.75">
      <c r="A839" s="13">
        <v>67053</v>
      </c>
      <c r="B839" s="8">
        <f>CHOOSE( CONTROL!$C$32, 35.4001, 35.3965) * CHOOSE(CONTROL!$C$15, $D$11, 100%, $F$11)</f>
        <v>35.400100000000002</v>
      </c>
      <c r="C839" s="8">
        <f>CHOOSE( CONTROL!$C$32, 35.4081, 35.4045) * CHOOSE(CONTROL!$C$15, $D$11, 100%, $F$11)</f>
        <v>35.408099999999997</v>
      </c>
      <c r="D839" s="8">
        <f>CHOOSE( CONTROL!$C$32, 35.4147, 35.4111) * CHOOSE( CONTROL!$C$15, $D$11, 100%, $F$11)</f>
        <v>35.414700000000003</v>
      </c>
      <c r="E839" s="12">
        <f>CHOOSE( CONTROL!$C$32, 35.4111, 35.4075) * CHOOSE( CONTROL!$C$15, $D$11, 100%, $F$11)</f>
        <v>35.411099999999998</v>
      </c>
      <c r="F839" s="4">
        <f>CHOOSE( CONTROL!$C$32, 36.0883, 36.0848) * CHOOSE(CONTROL!$C$15, $D$11, 100%, $F$11)</f>
        <v>36.088299999999997</v>
      </c>
      <c r="G839" s="8">
        <f>CHOOSE( CONTROL!$C$32, 34.7817, 34.7782) * CHOOSE( CONTROL!$C$15, $D$11, 100%, $F$11)</f>
        <v>34.781700000000001</v>
      </c>
      <c r="H839" s="4">
        <f>CHOOSE( CONTROL!$C$32, 35.7187, 35.7152) * CHOOSE(CONTROL!$C$15, $D$11, 100%, $F$11)</f>
        <v>35.718699999999998</v>
      </c>
      <c r="I839" s="8">
        <f>CHOOSE( CONTROL!$C$32, 34.3, 34.2965) * CHOOSE(CONTROL!$C$15, $D$11, 100%, $F$11)</f>
        <v>34.299999999999997</v>
      </c>
      <c r="J839" s="4">
        <f>CHOOSE( CONTROL!$C$32, 34.19, 34.1866) * CHOOSE(CONTROL!$C$15, $D$11, 100%, $F$11)</f>
        <v>34.19</v>
      </c>
      <c r="K839" s="4"/>
      <c r="L839" s="9">
        <v>30.7165</v>
      </c>
      <c r="M839" s="9">
        <v>12.063700000000001</v>
      </c>
      <c r="N839" s="9">
        <v>4.9444999999999997</v>
      </c>
      <c r="O839" s="9">
        <v>0.37409999999999999</v>
      </c>
      <c r="P839" s="9">
        <v>1.2183999999999999</v>
      </c>
      <c r="Q839" s="9">
        <v>19.688099999999999</v>
      </c>
      <c r="R839" s="9"/>
      <c r="S839" s="11"/>
    </row>
    <row r="840" spans="1:19" ht="15.75">
      <c r="A840" s="13">
        <v>67084</v>
      </c>
      <c r="B840" s="8">
        <f>CHOOSE( CONTROL!$C$32, 32.6702, 32.6667) * CHOOSE(CONTROL!$C$15, $D$11, 100%, $F$11)</f>
        <v>32.670200000000001</v>
      </c>
      <c r="C840" s="8">
        <f>CHOOSE( CONTROL!$C$32, 32.6782, 32.6747) * CHOOSE(CONTROL!$C$15, $D$11, 100%, $F$11)</f>
        <v>32.678199999999997</v>
      </c>
      <c r="D840" s="8">
        <f>CHOOSE( CONTROL!$C$32, 32.6849, 32.6814) * CHOOSE( CONTROL!$C$15, $D$11, 100%, $F$11)</f>
        <v>32.684899999999999</v>
      </c>
      <c r="E840" s="12">
        <f>CHOOSE( CONTROL!$C$32, 32.6813, 32.6778) * CHOOSE( CONTROL!$C$15, $D$11, 100%, $F$11)</f>
        <v>32.6813</v>
      </c>
      <c r="F840" s="4">
        <f>CHOOSE( CONTROL!$C$32, 33.3585, 33.3549) * CHOOSE(CONTROL!$C$15, $D$11, 100%, $F$11)</f>
        <v>33.358499999999999</v>
      </c>
      <c r="G840" s="8">
        <f>CHOOSE( CONTROL!$C$32, 32.0973, 32.0938) * CHOOSE( CONTROL!$C$15, $D$11, 100%, $F$11)</f>
        <v>32.097299999999997</v>
      </c>
      <c r="H840" s="4">
        <f>CHOOSE( CONTROL!$C$32, 33.0341, 33.0306) * CHOOSE(CONTROL!$C$15, $D$11, 100%, $F$11)</f>
        <v>33.034100000000002</v>
      </c>
      <c r="I840" s="8">
        <f>CHOOSE( CONTROL!$C$32, 31.6602, 31.6567) * CHOOSE(CONTROL!$C$15, $D$11, 100%, $F$11)</f>
        <v>31.6602</v>
      </c>
      <c r="J840" s="4">
        <f>CHOOSE( CONTROL!$C$32, 31.5511, 31.5476) * CHOOSE(CONTROL!$C$15, $D$11, 100%, $F$11)</f>
        <v>31.551100000000002</v>
      </c>
      <c r="K840" s="4"/>
      <c r="L840" s="9">
        <v>30.7165</v>
      </c>
      <c r="M840" s="9">
        <v>12.063700000000001</v>
      </c>
      <c r="N840" s="9">
        <v>4.9444999999999997</v>
      </c>
      <c r="O840" s="9">
        <v>0.37409999999999999</v>
      </c>
      <c r="P840" s="9">
        <v>1.2183999999999999</v>
      </c>
      <c r="Q840" s="9">
        <v>19.688099999999999</v>
      </c>
      <c r="R840" s="9"/>
      <c r="S840" s="11"/>
    </row>
    <row r="841" spans="1:19" ht="15.75">
      <c r="A841" s="13">
        <v>67114</v>
      </c>
      <c r="B841" s="8">
        <f>CHOOSE( CONTROL!$C$32, 31.9866, 31.9831) * CHOOSE(CONTROL!$C$15, $D$11, 100%, $F$11)</f>
        <v>31.986599999999999</v>
      </c>
      <c r="C841" s="8">
        <f>CHOOSE( CONTROL!$C$32, 31.9946, 31.9911) * CHOOSE(CONTROL!$C$15, $D$11, 100%, $F$11)</f>
        <v>31.994599999999998</v>
      </c>
      <c r="D841" s="8">
        <f>CHOOSE( CONTROL!$C$32, 32.0013, 31.9978) * CHOOSE( CONTROL!$C$15, $D$11, 100%, $F$11)</f>
        <v>32.001300000000001</v>
      </c>
      <c r="E841" s="12">
        <f>CHOOSE( CONTROL!$C$32, 31.9977, 31.9942) * CHOOSE( CONTROL!$C$15, $D$11, 100%, $F$11)</f>
        <v>31.997699999999998</v>
      </c>
      <c r="F841" s="4">
        <f>CHOOSE( CONTROL!$C$32, 32.6749, 32.6713) * CHOOSE(CONTROL!$C$15, $D$11, 100%, $F$11)</f>
        <v>32.674900000000001</v>
      </c>
      <c r="G841" s="8">
        <f>CHOOSE( CONTROL!$C$32, 31.425, 31.4215) * CHOOSE( CONTROL!$C$15, $D$11, 100%, $F$11)</f>
        <v>31.425000000000001</v>
      </c>
      <c r="H841" s="4">
        <f>CHOOSE( CONTROL!$C$32, 32.3619, 32.3583) * CHOOSE(CONTROL!$C$15, $D$11, 100%, $F$11)</f>
        <v>32.361899999999999</v>
      </c>
      <c r="I841" s="8">
        <f>CHOOSE( CONTROL!$C$32, 30.999, 30.9956) * CHOOSE(CONTROL!$C$15, $D$11, 100%, $F$11)</f>
        <v>30.998999999999999</v>
      </c>
      <c r="J841" s="4">
        <f>CHOOSE( CONTROL!$C$32, 30.8902, 30.8868) * CHOOSE(CONTROL!$C$15, $D$11, 100%, $F$11)</f>
        <v>30.8902</v>
      </c>
      <c r="K841" s="4"/>
      <c r="L841" s="9">
        <v>29.7257</v>
      </c>
      <c r="M841" s="9">
        <v>11.6745</v>
      </c>
      <c r="N841" s="9">
        <v>4.7850000000000001</v>
      </c>
      <c r="O841" s="9">
        <v>0.36199999999999999</v>
      </c>
      <c r="P841" s="9">
        <v>1.1791</v>
      </c>
      <c r="Q841" s="9">
        <v>19.053000000000001</v>
      </c>
      <c r="R841" s="9"/>
      <c r="S841" s="11"/>
    </row>
    <row r="842" spans="1:19" ht="15.75">
      <c r="A842" s="13">
        <v>67145</v>
      </c>
      <c r="B842" s="8">
        <f>33.4007 * CHOOSE(CONTROL!$C$15, $D$11, 100%, $F$11)</f>
        <v>33.400700000000001</v>
      </c>
      <c r="C842" s="8">
        <f>33.4061 * CHOOSE(CONTROL!$C$15, $D$11, 100%, $F$11)</f>
        <v>33.406100000000002</v>
      </c>
      <c r="D842" s="8">
        <f>33.4176 * CHOOSE( CONTROL!$C$15, $D$11, 100%, $F$11)</f>
        <v>33.4176</v>
      </c>
      <c r="E842" s="12">
        <f>33.4132 * CHOOSE( CONTROL!$C$15, $D$11, 100%, $F$11)</f>
        <v>33.413200000000003</v>
      </c>
      <c r="F842" s="4">
        <f>34.0907 * CHOOSE(CONTROL!$C$15, $D$11, 100%, $F$11)</f>
        <v>34.090699999999998</v>
      </c>
      <c r="G842" s="8">
        <f>32.8168 * CHOOSE( CONTROL!$C$15, $D$11, 100%, $F$11)</f>
        <v>32.816800000000001</v>
      </c>
      <c r="H842" s="4">
        <f>33.7542 * CHOOSE(CONTROL!$C$15, $D$11, 100%, $F$11)</f>
        <v>33.754199999999997</v>
      </c>
      <c r="I842" s="8">
        <f>32.3691 * CHOOSE(CONTROL!$C$15, $D$11, 100%, $F$11)</f>
        <v>32.369100000000003</v>
      </c>
      <c r="J842" s="4">
        <f>32.2589 * CHOOSE(CONTROL!$C$15, $D$11, 100%, $F$11)</f>
        <v>32.258899999999997</v>
      </c>
      <c r="K842" s="4"/>
      <c r="L842" s="9">
        <v>31.095300000000002</v>
      </c>
      <c r="M842" s="9">
        <v>12.063700000000001</v>
      </c>
      <c r="N842" s="9">
        <v>4.9444999999999997</v>
      </c>
      <c r="O842" s="9">
        <v>0.37409999999999999</v>
      </c>
      <c r="P842" s="9">
        <v>1.2183999999999999</v>
      </c>
      <c r="Q842" s="9">
        <v>19.688099999999999</v>
      </c>
      <c r="R842" s="9"/>
      <c r="S842" s="11"/>
    </row>
    <row r="843" spans="1:19" ht="15.75">
      <c r="A843" s="13">
        <v>67175</v>
      </c>
      <c r="B843" s="8">
        <f>36.0202 * CHOOSE(CONTROL!$C$15, $D$11, 100%, $F$11)</f>
        <v>36.020200000000003</v>
      </c>
      <c r="C843" s="8">
        <f>36.0253 * CHOOSE(CONTROL!$C$15, $D$11, 100%, $F$11)</f>
        <v>36.025300000000001</v>
      </c>
      <c r="D843" s="8">
        <f>36.0022 * CHOOSE( CONTROL!$C$15, $D$11, 100%, $F$11)</f>
        <v>36.002200000000002</v>
      </c>
      <c r="E843" s="12">
        <f>36.0101 * CHOOSE( CONTROL!$C$15, $D$11, 100%, $F$11)</f>
        <v>36.010100000000001</v>
      </c>
      <c r="F843" s="4">
        <f>36.665 * CHOOSE(CONTROL!$C$15, $D$11, 100%, $F$11)</f>
        <v>36.664999999999999</v>
      </c>
      <c r="G843" s="8">
        <f>35.404 * CHOOSE( CONTROL!$C$15, $D$11, 100%, $F$11)</f>
        <v>35.404000000000003</v>
      </c>
      <c r="H843" s="4">
        <f>36.2858 * CHOOSE(CONTROL!$C$15, $D$11, 100%, $F$11)</f>
        <v>36.285800000000002</v>
      </c>
      <c r="I843" s="8">
        <f>34.9276 * CHOOSE(CONTROL!$C$15, $D$11, 100%, $F$11)</f>
        <v>34.927599999999998</v>
      </c>
      <c r="J843" s="4">
        <f>34.7915 * CHOOSE(CONTROL!$C$15, $D$11, 100%, $F$11)</f>
        <v>34.791499999999999</v>
      </c>
      <c r="K843" s="4"/>
      <c r="L843" s="9">
        <v>28.360600000000002</v>
      </c>
      <c r="M843" s="9">
        <v>11.6745</v>
      </c>
      <c r="N843" s="9">
        <v>4.7850000000000001</v>
      </c>
      <c r="O843" s="9">
        <v>0.36199999999999999</v>
      </c>
      <c r="P843" s="9">
        <v>1.2509999999999999</v>
      </c>
      <c r="Q843" s="9">
        <v>19.053000000000001</v>
      </c>
      <c r="R843" s="9"/>
      <c r="S843" s="11"/>
    </row>
    <row r="844" spans="1:19" ht="15.75">
      <c r="A844" s="13">
        <v>67206</v>
      </c>
      <c r="B844" s="8">
        <f>35.9547 * CHOOSE(CONTROL!$C$15, $D$11, 100%, $F$11)</f>
        <v>35.954700000000003</v>
      </c>
      <c r="C844" s="8">
        <f>35.9598 * CHOOSE(CONTROL!$C$15, $D$11, 100%, $F$11)</f>
        <v>35.959800000000001</v>
      </c>
      <c r="D844" s="8">
        <f>35.9381 * CHOOSE( CONTROL!$C$15, $D$11, 100%, $F$11)</f>
        <v>35.938099999999999</v>
      </c>
      <c r="E844" s="12">
        <f>35.9455 * CHOOSE( CONTROL!$C$15, $D$11, 100%, $F$11)</f>
        <v>35.945500000000003</v>
      </c>
      <c r="F844" s="4">
        <f>36.5996 * CHOOSE(CONTROL!$C$15, $D$11, 100%, $F$11)</f>
        <v>36.599600000000002</v>
      </c>
      <c r="G844" s="8">
        <f>35.3407 * CHOOSE( CONTROL!$C$15, $D$11, 100%, $F$11)</f>
        <v>35.340699999999998</v>
      </c>
      <c r="H844" s="4">
        <f>36.2215 * CHOOSE(CONTROL!$C$15, $D$11, 100%, $F$11)</f>
        <v>36.221499999999999</v>
      </c>
      <c r="I844" s="8">
        <f>34.8687 * CHOOSE(CONTROL!$C$15, $D$11, 100%, $F$11)</f>
        <v>34.868699999999997</v>
      </c>
      <c r="J844" s="4">
        <f>34.7282 * CHOOSE(CONTROL!$C$15, $D$11, 100%, $F$11)</f>
        <v>34.728200000000001</v>
      </c>
      <c r="K844" s="4"/>
      <c r="L844" s="9">
        <v>29.306000000000001</v>
      </c>
      <c r="M844" s="9">
        <v>12.063700000000001</v>
      </c>
      <c r="N844" s="9">
        <v>4.9444999999999997</v>
      </c>
      <c r="O844" s="9">
        <v>0.37409999999999999</v>
      </c>
      <c r="P844" s="9">
        <v>1.2927</v>
      </c>
      <c r="Q844" s="9">
        <v>19.688099999999999</v>
      </c>
      <c r="R844" s="9"/>
      <c r="S844" s="11"/>
    </row>
    <row r="845" spans="1:19" ht="15.75">
      <c r="A845" s="13">
        <v>67237</v>
      </c>
      <c r="B845" s="8">
        <f>37.3277 * CHOOSE(CONTROL!$C$15, $D$11, 100%, $F$11)</f>
        <v>37.3277</v>
      </c>
      <c r="C845" s="8">
        <f>37.3328 * CHOOSE(CONTROL!$C$15, $D$11, 100%, $F$11)</f>
        <v>37.332799999999999</v>
      </c>
      <c r="D845" s="8">
        <f>37.307 * CHOOSE( CONTROL!$C$15, $D$11, 100%, $F$11)</f>
        <v>37.307000000000002</v>
      </c>
      <c r="E845" s="12">
        <f>37.3159 * CHOOSE( CONTROL!$C$15, $D$11, 100%, $F$11)</f>
        <v>37.315899999999999</v>
      </c>
      <c r="F845" s="4">
        <f>37.9717 * CHOOSE(CONTROL!$C$15, $D$11, 100%, $F$11)</f>
        <v>37.971699999999998</v>
      </c>
      <c r="G845" s="8">
        <f>36.6846 * CHOOSE( CONTROL!$C$15, $D$11, 100%, $F$11)</f>
        <v>36.684600000000003</v>
      </c>
      <c r="H845" s="4">
        <f>37.5709 * CHOOSE(CONTROL!$C$15, $D$11, 100%, $F$11)</f>
        <v>37.570900000000002</v>
      </c>
      <c r="I845" s="8">
        <f>36.1672 * CHOOSE(CONTROL!$C$15, $D$11, 100%, $F$11)</f>
        <v>36.167200000000001</v>
      </c>
      <c r="J845" s="4">
        <f>36.0555 * CHOOSE(CONTROL!$C$15, $D$11, 100%, $F$11)</f>
        <v>36.055500000000002</v>
      </c>
      <c r="K845" s="4"/>
      <c r="L845" s="9">
        <v>29.306000000000001</v>
      </c>
      <c r="M845" s="9">
        <v>12.063700000000001</v>
      </c>
      <c r="N845" s="9">
        <v>4.9444999999999997</v>
      </c>
      <c r="O845" s="9">
        <v>0.37409999999999999</v>
      </c>
      <c r="P845" s="9">
        <v>1.2927</v>
      </c>
      <c r="Q845" s="9">
        <v>19.688099999999999</v>
      </c>
      <c r="R845" s="9"/>
      <c r="S845" s="11"/>
    </row>
    <row r="846" spans="1:19" ht="15.75">
      <c r="A846" s="13">
        <v>67266</v>
      </c>
      <c r="B846" s="8">
        <f>34.9165 * CHOOSE(CONTROL!$C$15, $D$11, 100%, $F$11)</f>
        <v>34.916499999999999</v>
      </c>
      <c r="C846" s="8">
        <f>34.9216 * CHOOSE(CONTROL!$C$15, $D$11, 100%, $F$11)</f>
        <v>34.921599999999998</v>
      </c>
      <c r="D846" s="8">
        <f>34.896 * CHOOSE( CONTROL!$C$15, $D$11, 100%, $F$11)</f>
        <v>34.896000000000001</v>
      </c>
      <c r="E846" s="12">
        <f>34.9048 * CHOOSE( CONTROL!$C$15, $D$11, 100%, $F$11)</f>
        <v>34.904800000000002</v>
      </c>
      <c r="F846" s="4">
        <f>35.5605 * CHOOSE(CONTROL!$C$15, $D$11, 100%, $F$11)</f>
        <v>35.560499999999998</v>
      </c>
      <c r="G846" s="8">
        <f>34.3136 * CHOOSE( CONTROL!$C$15, $D$11, 100%, $F$11)</f>
        <v>34.313600000000001</v>
      </c>
      <c r="H846" s="4">
        <f>35.1996 * CHOOSE(CONTROL!$C$15, $D$11, 100%, $F$11)</f>
        <v>35.199599999999997</v>
      </c>
      <c r="I846" s="8">
        <f>33.8358 * CHOOSE(CONTROL!$C$15, $D$11, 100%, $F$11)</f>
        <v>33.835799999999999</v>
      </c>
      <c r="J846" s="4">
        <f>33.7246 * CHOOSE(CONTROL!$C$15, $D$11, 100%, $F$11)</f>
        <v>33.724600000000002</v>
      </c>
      <c r="K846" s="4"/>
      <c r="L846" s="9">
        <v>27.415299999999998</v>
      </c>
      <c r="M846" s="9">
        <v>11.285299999999999</v>
      </c>
      <c r="N846" s="9">
        <v>4.6254999999999997</v>
      </c>
      <c r="O846" s="9">
        <v>0.34989999999999999</v>
      </c>
      <c r="P846" s="9">
        <v>1.2093</v>
      </c>
      <c r="Q846" s="9">
        <v>18.417899999999999</v>
      </c>
      <c r="R846" s="9"/>
      <c r="S846" s="11"/>
    </row>
    <row r="847" spans="1:19" ht="15.75">
      <c r="A847" s="13">
        <v>67297</v>
      </c>
      <c r="B847" s="8">
        <f>34.1738 * CHOOSE(CONTROL!$C$15, $D$11, 100%, $F$11)</f>
        <v>34.1738</v>
      </c>
      <c r="C847" s="8">
        <f>34.179 * CHOOSE(CONTROL!$C$15, $D$11, 100%, $F$11)</f>
        <v>34.179000000000002</v>
      </c>
      <c r="D847" s="8">
        <f>34.1533 * CHOOSE( CONTROL!$C$15, $D$11, 100%, $F$11)</f>
        <v>34.153300000000002</v>
      </c>
      <c r="E847" s="12">
        <f>34.1621 * CHOOSE( CONTROL!$C$15, $D$11, 100%, $F$11)</f>
        <v>34.162100000000002</v>
      </c>
      <c r="F847" s="4">
        <f>34.8179 * CHOOSE(CONTROL!$C$15, $D$11, 100%, $F$11)</f>
        <v>34.817900000000002</v>
      </c>
      <c r="G847" s="8">
        <f>33.5832 * CHOOSE( CONTROL!$C$15, $D$11, 100%, $F$11)</f>
        <v>33.583199999999998</v>
      </c>
      <c r="H847" s="4">
        <f>34.4693 * CHOOSE(CONTROL!$C$15, $D$11, 100%, $F$11)</f>
        <v>34.469299999999997</v>
      </c>
      <c r="I847" s="8">
        <f>33.1173 * CHOOSE(CONTROL!$C$15, $D$11, 100%, $F$11)</f>
        <v>33.1173</v>
      </c>
      <c r="J847" s="4">
        <f>33.0067 * CHOOSE(CONTROL!$C$15, $D$11, 100%, $F$11)</f>
        <v>33.006700000000002</v>
      </c>
      <c r="K847" s="4"/>
      <c r="L847" s="9">
        <v>29.306000000000001</v>
      </c>
      <c r="M847" s="9">
        <v>12.063700000000001</v>
      </c>
      <c r="N847" s="9">
        <v>4.9444999999999997</v>
      </c>
      <c r="O847" s="9">
        <v>0.37409999999999999</v>
      </c>
      <c r="P847" s="9">
        <v>1.2927</v>
      </c>
      <c r="Q847" s="9">
        <v>19.688099999999999</v>
      </c>
      <c r="R847" s="9"/>
      <c r="S847" s="11"/>
    </row>
    <row r="848" spans="1:19" ht="15.75">
      <c r="A848" s="13">
        <v>67327</v>
      </c>
      <c r="B848" s="8">
        <f>34.6936 * CHOOSE(CONTROL!$C$15, $D$11, 100%, $F$11)</f>
        <v>34.693600000000004</v>
      </c>
      <c r="C848" s="8">
        <f>34.6981 * CHOOSE(CONTROL!$C$15, $D$11, 100%, $F$11)</f>
        <v>34.698099999999997</v>
      </c>
      <c r="D848" s="8">
        <f>34.7091 * CHOOSE( CONTROL!$C$15, $D$11, 100%, $F$11)</f>
        <v>34.709099999999999</v>
      </c>
      <c r="E848" s="12">
        <f>34.705 * CHOOSE( CONTROL!$C$15, $D$11, 100%, $F$11)</f>
        <v>34.704999999999998</v>
      </c>
      <c r="F848" s="4">
        <f>35.3832 * CHOOSE(CONTROL!$C$15, $D$11, 100%, $F$11)</f>
        <v>35.383200000000002</v>
      </c>
      <c r="G848" s="8">
        <f>34.0864 * CHOOSE( CONTROL!$C$15, $D$11, 100%, $F$11)</f>
        <v>34.086399999999998</v>
      </c>
      <c r="H848" s="4">
        <f>35.0252 * CHOOSE(CONTROL!$C$15, $D$11, 100%, $F$11)</f>
        <v>35.025199999999998</v>
      </c>
      <c r="I848" s="8">
        <f>33.6143 * CHOOSE(CONTROL!$C$15, $D$11, 100%, $F$11)</f>
        <v>33.6143</v>
      </c>
      <c r="J848" s="4">
        <f>33.5083 * CHOOSE(CONTROL!$C$15, $D$11, 100%, $F$11)</f>
        <v>33.508299999999998</v>
      </c>
      <c r="K848" s="4"/>
      <c r="L848" s="9">
        <v>30.092199999999998</v>
      </c>
      <c r="M848" s="9">
        <v>11.6745</v>
      </c>
      <c r="N848" s="9">
        <v>4.7850000000000001</v>
      </c>
      <c r="O848" s="9">
        <v>0.36199999999999999</v>
      </c>
      <c r="P848" s="9">
        <v>1.1791</v>
      </c>
      <c r="Q848" s="9">
        <v>19.053000000000001</v>
      </c>
      <c r="R848" s="9"/>
      <c r="S848" s="11"/>
    </row>
    <row r="849" spans="1:19" ht="15.75">
      <c r="A849" s="13">
        <v>67358</v>
      </c>
      <c r="B849" s="8">
        <f>CHOOSE( CONTROL!$C$32, 35.6221, 35.6185) * CHOOSE(CONTROL!$C$15, $D$11, 100%, $F$11)</f>
        <v>35.622100000000003</v>
      </c>
      <c r="C849" s="8">
        <f>CHOOSE( CONTROL!$C$32, 35.6301, 35.6265) * CHOOSE(CONTROL!$C$15, $D$11, 100%, $F$11)</f>
        <v>35.630099999999999</v>
      </c>
      <c r="D849" s="8">
        <f>CHOOSE( CONTROL!$C$32, 35.6361, 35.6326) * CHOOSE( CONTROL!$C$15, $D$11, 100%, $F$11)</f>
        <v>35.636099999999999</v>
      </c>
      <c r="E849" s="12">
        <f>CHOOSE( CONTROL!$C$32, 35.6327, 35.6292) * CHOOSE( CONTROL!$C$15, $D$11, 100%, $F$11)</f>
        <v>35.6327</v>
      </c>
      <c r="F849" s="4">
        <f>CHOOSE( CONTROL!$C$32, 36.3104, 36.3068) * CHOOSE(CONTROL!$C$15, $D$11, 100%, $F$11)</f>
        <v>36.310400000000001</v>
      </c>
      <c r="G849" s="8">
        <f>CHOOSE( CONTROL!$C$32, 34.9992, 34.9957) * CHOOSE( CONTROL!$C$15, $D$11, 100%, $F$11)</f>
        <v>34.999200000000002</v>
      </c>
      <c r="H849" s="4">
        <f>CHOOSE( CONTROL!$C$32, 35.937, 35.9335) * CHOOSE(CONTROL!$C$15, $D$11, 100%, $F$11)</f>
        <v>35.936999999999998</v>
      </c>
      <c r="I849" s="8">
        <f>CHOOSE( CONTROL!$C$32, 34.5119, 34.5085) * CHOOSE(CONTROL!$C$15, $D$11, 100%, $F$11)</f>
        <v>34.511899999999997</v>
      </c>
      <c r="J849" s="4">
        <f>CHOOSE( CONTROL!$C$32, 34.4046, 34.4012) * CHOOSE(CONTROL!$C$15, $D$11, 100%, $F$11)</f>
        <v>34.404600000000002</v>
      </c>
      <c r="K849" s="4"/>
      <c r="L849" s="9">
        <v>30.7165</v>
      </c>
      <c r="M849" s="9">
        <v>12.063700000000001</v>
      </c>
      <c r="N849" s="9">
        <v>4.9444999999999997</v>
      </c>
      <c r="O849" s="9">
        <v>0.37409999999999999</v>
      </c>
      <c r="P849" s="9">
        <v>1.2183999999999999</v>
      </c>
      <c r="Q849" s="9">
        <v>19.688099999999999</v>
      </c>
      <c r="R849" s="9"/>
      <c r="S849" s="11"/>
    </row>
    <row r="850" spans="1:19" ht="15.75">
      <c r="A850" s="13">
        <v>67388</v>
      </c>
      <c r="B850" s="8">
        <f>CHOOSE( CONTROL!$C$32, 35.0499, 35.0464) * CHOOSE(CONTROL!$C$15, $D$11, 100%, $F$11)</f>
        <v>35.049900000000001</v>
      </c>
      <c r="C850" s="8">
        <f>CHOOSE( CONTROL!$C$32, 35.058, 35.0544) * CHOOSE(CONTROL!$C$15, $D$11, 100%, $F$11)</f>
        <v>35.058</v>
      </c>
      <c r="D850" s="8">
        <f>CHOOSE( CONTROL!$C$32, 35.0643, 35.0607) * CHOOSE( CONTROL!$C$15, $D$11, 100%, $F$11)</f>
        <v>35.064300000000003</v>
      </c>
      <c r="E850" s="12">
        <f>CHOOSE( CONTROL!$C$32, 35.0608, 35.0572) * CHOOSE( CONTROL!$C$15, $D$11, 100%, $F$11)</f>
        <v>35.0608</v>
      </c>
      <c r="F850" s="4">
        <f>CHOOSE( CONTROL!$C$32, 35.7382, 35.7347) * CHOOSE(CONTROL!$C$15, $D$11, 100%, $F$11)</f>
        <v>35.738199999999999</v>
      </c>
      <c r="G850" s="8">
        <f>CHOOSE( CONTROL!$C$32, 34.4369, 34.4334) * CHOOSE( CONTROL!$C$15, $D$11, 100%, $F$11)</f>
        <v>34.436900000000001</v>
      </c>
      <c r="H850" s="4">
        <f>CHOOSE( CONTROL!$C$32, 35.3744, 35.3709) * CHOOSE(CONTROL!$C$15, $D$11, 100%, $F$11)</f>
        <v>35.374400000000001</v>
      </c>
      <c r="I850" s="8">
        <f>CHOOSE( CONTROL!$C$32, 33.9599, 33.9564) * CHOOSE(CONTROL!$C$15, $D$11, 100%, $F$11)</f>
        <v>33.959899999999998</v>
      </c>
      <c r="J850" s="4">
        <f>CHOOSE( CONTROL!$C$32, 33.8516, 33.8481) * CHOOSE(CONTROL!$C$15, $D$11, 100%, $F$11)</f>
        <v>33.851599999999998</v>
      </c>
      <c r="K850" s="4"/>
      <c r="L850" s="9">
        <v>29.7257</v>
      </c>
      <c r="M850" s="9">
        <v>11.6745</v>
      </c>
      <c r="N850" s="9">
        <v>4.7850000000000001</v>
      </c>
      <c r="O850" s="9">
        <v>0.36199999999999999</v>
      </c>
      <c r="P850" s="9">
        <v>1.1791</v>
      </c>
      <c r="Q850" s="9">
        <v>19.053000000000001</v>
      </c>
      <c r="R850" s="9"/>
      <c r="S850" s="11"/>
    </row>
    <row r="851" spans="1:19" ht="15.75">
      <c r="A851" s="13">
        <v>67419</v>
      </c>
      <c r="B851" s="8">
        <f>CHOOSE( CONTROL!$C$32, 36.5566, 36.553) * CHOOSE(CONTROL!$C$15, $D$11, 100%, $F$11)</f>
        <v>36.556600000000003</v>
      </c>
      <c r="C851" s="8">
        <f>CHOOSE( CONTROL!$C$32, 36.5646, 36.5611) * CHOOSE(CONTROL!$C$15, $D$11, 100%, $F$11)</f>
        <v>36.564599999999999</v>
      </c>
      <c r="D851" s="8">
        <f>CHOOSE( CONTROL!$C$32, 36.5712, 36.5677) * CHOOSE( CONTROL!$C$15, $D$11, 100%, $F$11)</f>
        <v>36.571199999999997</v>
      </c>
      <c r="E851" s="12">
        <f>CHOOSE( CONTROL!$C$32, 36.5676, 36.5641) * CHOOSE( CONTROL!$C$15, $D$11, 100%, $F$11)</f>
        <v>36.567599999999999</v>
      </c>
      <c r="F851" s="4">
        <f>CHOOSE( CONTROL!$C$32, 37.2449, 37.2413) * CHOOSE(CONTROL!$C$15, $D$11, 100%, $F$11)</f>
        <v>37.244900000000001</v>
      </c>
      <c r="G851" s="8">
        <f>CHOOSE( CONTROL!$C$32, 35.9191, 35.9156) * CHOOSE( CONTROL!$C$15, $D$11, 100%, $F$11)</f>
        <v>35.9191</v>
      </c>
      <c r="H851" s="4">
        <f>CHOOSE( CONTROL!$C$32, 36.8561, 36.8526) * CHOOSE(CONTROL!$C$15, $D$11, 100%, $F$11)</f>
        <v>36.856099999999998</v>
      </c>
      <c r="I851" s="8">
        <f>CHOOSE( CONTROL!$C$32, 35.4186, 35.4151) * CHOOSE(CONTROL!$C$15, $D$11, 100%, $F$11)</f>
        <v>35.418599999999998</v>
      </c>
      <c r="J851" s="4">
        <f>CHOOSE( CONTROL!$C$32, 35.308, 35.3046) * CHOOSE(CONTROL!$C$15, $D$11, 100%, $F$11)</f>
        <v>35.308</v>
      </c>
      <c r="K851" s="4"/>
      <c r="L851" s="9">
        <v>30.7165</v>
      </c>
      <c r="M851" s="9">
        <v>12.063700000000001</v>
      </c>
      <c r="N851" s="9">
        <v>4.9444999999999997</v>
      </c>
      <c r="O851" s="9">
        <v>0.37409999999999999</v>
      </c>
      <c r="P851" s="9">
        <v>1.2183999999999999</v>
      </c>
      <c r="Q851" s="9">
        <v>19.688099999999999</v>
      </c>
      <c r="R851" s="9"/>
      <c r="S851" s="11"/>
    </row>
    <row r="852" spans="1:19" ht="15.75">
      <c r="A852" s="13">
        <v>67450</v>
      </c>
      <c r="B852" s="8">
        <f>CHOOSE( CONTROL!$C$32, 33.7375, 33.7339) * CHOOSE(CONTROL!$C$15, $D$11, 100%, $F$11)</f>
        <v>33.737499999999997</v>
      </c>
      <c r="C852" s="8">
        <f>CHOOSE( CONTROL!$C$32, 33.7455, 33.7419) * CHOOSE(CONTROL!$C$15, $D$11, 100%, $F$11)</f>
        <v>33.7455</v>
      </c>
      <c r="D852" s="8">
        <f>CHOOSE( CONTROL!$C$32, 33.7522, 33.7486) * CHOOSE( CONTROL!$C$15, $D$11, 100%, $F$11)</f>
        <v>33.752200000000002</v>
      </c>
      <c r="E852" s="12">
        <f>CHOOSE( CONTROL!$C$32, 33.7486, 33.745) * CHOOSE( CONTROL!$C$15, $D$11, 100%, $F$11)</f>
        <v>33.748600000000003</v>
      </c>
      <c r="F852" s="4">
        <f>CHOOSE( CONTROL!$C$32, 34.4258, 34.4222) * CHOOSE(CONTROL!$C$15, $D$11, 100%, $F$11)</f>
        <v>34.425800000000002</v>
      </c>
      <c r="G852" s="8">
        <f>CHOOSE( CONTROL!$C$32, 33.1468, 33.1433) * CHOOSE( CONTROL!$C$15, $D$11, 100%, $F$11)</f>
        <v>33.146799999999999</v>
      </c>
      <c r="H852" s="4">
        <f>CHOOSE( CONTROL!$C$32, 34.0837, 34.0802) * CHOOSE(CONTROL!$C$15, $D$11, 100%, $F$11)</f>
        <v>34.0837</v>
      </c>
      <c r="I852" s="8">
        <f>CHOOSE( CONTROL!$C$32, 32.6924, 32.6889) * CHOOSE(CONTROL!$C$15, $D$11, 100%, $F$11)</f>
        <v>32.692399999999999</v>
      </c>
      <c r="J852" s="4">
        <f>CHOOSE( CONTROL!$C$32, 32.5828, 32.5793) * CHOOSE(CONTROL!$C$15, $D$11, 100%, $F$11)</f>
        <v>32.582799999999999</v>
      </c>
      <c r="K852" s="4"/>
      <c r="L852" s="9">
        <v>30.7165</v>
      </c>
      <c r="M852" s="9">
        <v>12.063700000000001</v>
      </c>
      <c r="N852" s="9">
        <v>4.9444999999999997</v>
      </c>
      <c r="O852" s="9">
        <v>0.37409999999999999</v>
      </c>
      <c r="P852" s="9">
        <v>1.2183999999999999</v>
      </c>
      <c r="Q852" s="9">
        <v>19.688099999999999</v>
      </c>
      <c r="R852" s="9"/>
      <c r="S852" s="11"/>
    </row>
    <row r="853" spans="1:19" ht="15.75">
      <c r="A853" s="13">
        <v>67480</v>
      </c>
      <c r="B853" s="8">
        <f>CHOOSE( CONTROL!$C$32, 33.0315, 33.028) * CHOOSE(CONTROL!$C$15, $D$11, 100%, $F$11)</f>
        <v>33.031500000000001</v>
      </c>
      <c r="C853" s="8">
        <f>CHOOSE( CONTROL!$C$32, 33.0396, 33.036) * CHOOSE(CONTROL!$C$15, $D$11, 100%, $F$11)</f>
        <v>33.0396</v>
      </c>
      <c r="D853" s="8">
        <f>CHOOSE( CONTROL!$C$32, 33.0462, 33.0427) * CHOOSE( CONTROL!$C$15, $D$11, 100%, $F$11)</f>
        <v>33.046199999999999</v>
      </c>
      <c r="E853" s="12">
        <f>CHOOSE( CONTROL!$C$32, 33.0426, 33.0391) * CHOOSE( CONTROL!$C$15, $D$11, 100%, $F$11)</f>
        <v>33.0426</v>
      </c>
      <c r="F853" s="4">
        <f>CHOOSE( CONTROL!$C$32, 33.7198, 33.7162) * CHOOSE(CONTROL!$C$15, $D$11, 100%, $F$11)</f>
        <v>33.719799999999999</v>
      </c>
      <c r="G853" s="8">
        <f>CHOOSE( CONTROL!$C$32, 32.4526, 32.4491) * CHOOSE( CONTROL!$C$15, $D$11, 100%, $F$11)</f>
        <v>32.452599999999997</v>
      </c>
      <c r="H853" s="4">
        <f>CHOOSE( CONTROL!$C$32, 33.3894, 33.3859) * CHOOSE(CONTROL!$C$15, $D$11, 100%, $F$11)</f>
        <v>33.389400000000002</v>
      </c>
      <c r="I853" s="8">
        <f>CHOOSE( CONTROL!$C$32, 32.0096, 32.0062) * CHOOSE(CONTROL!$C$15, $D$11, 100%, $F$11)</f>
        <v>32.009599999999999</v>
      </c>
      <c r="J853" s="4">
        <f>CHOOSE( CONTROL!$C$32, 31.9004, 31.8969) * CHOOSE(CONTROL!$C$15, $D$11, 100%, $F$11)</f>
        <v>31.900400000000001</v>
      </c>
      <c r="K853" s="4"/>
      <c r="L853" s="9">
        <v>29.7257</v>
      </c>
      <c r="M853" s="9">
        <v>11.6745</v>
      </c>
      <c r="N853" s="9">
        <v>4.7850000000000001</v>
      </c>
      <c r="O853" s="9">
        <v>0.36199999999999999</v>
      </c>
      <c r="P853" s="9">
        <v>1.1791</v>
      </c>
      <c r="Q853" s="9">
        <v>19.053000000000001</v>
      </c>
      <c r="R853" s="9"/>
      <c r="S853" s="11"/>
    </row>
    <row r="854" spans="1:19" ht="15.75">
      <c r="A854" s="13">
        <v>67511</v>
      </c>
      <c r="B854" s="8">
        <f>34.492 * CHOOSE(CONTROL!$C$15, $D$11, 100%, $F$11)</f>
        <v>34.491999999999997</v>
      </c>
      <c r="C854" s="8">
        <f>34.4974 * CHOOSE(CONTROL!$C$15, $D$11, 100%, $F$11)</f>
        <v>34.497399999999999</v>
      </c>
      <c r="D854" s="8">
        <f>34.5089 * CHOOSE( CONTROL!$C$15, $D$11, 100%, $F$11)</f>
        <v>34.508899999999997</v>
      </c>
      <c r="E854" s="12">
        <f>34.5045 * CHOOSE( CONTROL!$C$15, $D$11, 100%, $F$11)</f>
        <v>34.5045</v>
      </c>
      <c r="F854" s="4">
        <f>35.182 * CHOOSE(CONTROL!$C$15, $D$11, 100%, $F$11)</f>
        <v>35.182000000000002</v>
      </c>
      <c r="G854" s="8">
        <f>33.8901 * CHOOSE( CONTROL!$C$15, $D$11, 100%, $F$11)</f>
        <v>33.890099999999997</v>
      </c>
      <c r="H854" s="4">
        <f>34.8274 * CHOOSE(CONTROL!$C$15, $D$11, 100%, $F$11)</f>
        <v>34.827399999999997</v>
      </c>
      <c r="I854" s="8">
        <f>33.4246 * CHOOSE(CONTROL!$C$15, $D$11, 100%, $F$11)</f>
        <v>33.424599999999998</v>
      </c>
      <c r="J854" s="4">
        <f>33.3139 * CHOOSE(CONTROL!$C$15, $D$11, 100%, $F$11)</f>
        <v>33.313899999999997</v>
      </c>
      <c r="K854" s="4"/>
      <c r="L854" s="9">
        <v>31.095300000000002</v>
      </c>
      <c r="M854" s="9">
        <v>12.063700000000001</v>
      </c>
      <c r="N854" s="9">
        <v>4.9444999999999997</v>
      </c>
      <c r="O854" s="9">
        <v>0.37409999999999999</v>
      </c>
      <c r="P854" s="9">
        <v>1.2183999999999999</v>
      </c>
      <c r="Q854" s="9">
        <v>19.688099999999999</v>
      </c>
      <c r="R854" s="9"/>
      <c r="S854" s="11"/>
    </row>
    <row r="855" spans="1:19" ht="15.75">
      <c r="A855" s="13">
        <v>67541</v>
      </c>
      <c r="B855" s="8">
        <f>37.1972 * CHOOSE(CONTROL!$C$15, $D$11, 100%, $F$11)</f>
        <v>37.197200000000002</v>
      </c>
      <c r="C855" s="8">
        <f>37.2023 * CHOOSE(CONTROL!$C$15, $D$11, 100%, $F$11)</f>
        <v>37.202300000000001</v>
      </c>
      <c r="D855" s="8">
        <f>37.1792 * CHOOSE( CONTROL!$C$15, $D$11, 100%, $F$11)</f>
        <v>37.179200000000002</v>
      </c>
      <c r="E855" s="12">
        <f>37.1871 * CHOOSE( CONTROL!$C$15, $D$11, 100%, $F$11)</f>
        <v>37.187100000000001</v>
      </c>
      <c r="F855" s="4">
        <f>37.842 * CHOOSE(CONTROL!$C$15, $D$11, 100%, $F$11)</f>
        <v>37.841999999999999</v>
      </c>
      <c r="G855" s="8">
        <f>36.5615 * CHOOSE( CONTROL!$C$15, $D$11, 100%, $F$11)</f>
        <v>36.561500000000002</v>
      </c>
      <c r="H855" s="4">
        <f>37.4433 * CHOOSE(CONTROL!$C$15, $D$11, 100%, $F$11)</f>
        <v>37.443300000000001</v>
      </c>
      <c r="I855" s="8">
        <f>36.066 * CHOOSE(CONTROL!$C$15, $D$11, 100%, $F$11)</f>
        <v>36.066000000000003</v>
      </c>
      <c r="J855" s="4">
        <f>35.9293 * CHOOSE(CONTROL!$C$15, $D$11, 100%, $F$11)</f>
        <v>35.929299999999998</v>
      </c>
      <c r="K855" s="4"/>
      <c r="L855" s="9">
        <v>28.360600000000002</v>
      </c>
      <c r="M855" s="9">
        <v>11.6745</v>
      </c>
      <c r="N855" s="9">
        <v>4.7850000000000001</v>
      </c>
      <c r="O855" s="9">
        <v>0.36199999999999999</v>
      </c>
      <c r="P855" s="9">
        <v>1.2509999999999999</v>
      </c>
      <c r="Q855" s="9">
        <v>19.053000000000001</v>
      </c>
      <c r="R855" s="9"/>
      <c r="S855" s="11"/>
    </row>
    <row r="856" spans="1:19" ht="15.75">
      <c r="A856" s="13">
        <v>67572</v>
      </c>
      <c r="B856" s="8">
        <f>37.1296 * CHOOSE(CONTROL!$C$15, $D$11, 100%, $F$11)</f>
        <v>37.129600000000003</v>
      </c>
      <c r="C856" s="8">
        <f>37.1347 * CHOOSE(CONTROL!$C$15, $D$11, 100%, $F$11)</f>
        <v>37.134700000000002</v>
      </c>
      <c r="D856" s="8">
        <f>37.113 * CHOOSE( CONTROL!$C$15, $D$11, 100%, $F$11)</f>
        <v>37.113</v>
      </c>
      <c r="E856" s="12">
        <f>37.1204 * CHOOSE( CONTROL!$C$15, $D$11, 100%, $F$11)</f>
        <v>37.120399999999997</v>
      </c>
      <c r="F856" s="4">
        <f>37.7745 * CHOOSE(CONTROL!$C$15, $D$11, 100%, $F$11)</f>
        <v>37.774500000000003</v>
      </c>
      <c r="G856" s="8">
        <f>36.496 * CHOOSE( CONTROL!$C$15, $D$11, 100%, $F$11)</f>
        <v>36.496000000000002</v>
      </c>
      <c r="H856" s="4">
        <f>37.3768 * CHOOSE(CONTROL!$C$15, $D$11, 100%, $F$11)</f>
        <v>37.376800000000003</v>
      </c>
      <c r="I856" s="8">
        <f>36.005 * CHOOSE(CONTROL!$C$15, $D$11, 100%, $F$11)</f>
        <v>36.005000000000003</v>
      </c>
      <c r="J856" s="4">
        <f>35.864 * CHOOSE(CONTROL!$C$15, $D$11, 100%, $F$11)</f>
        <v>35.863999999999997</v>
      </c>
      <c r="K856" s="4"/>
      <c r="L856" s="9">
        <v>29.306000000000001</v>
      </c>
      <c r="M856" s="9">
        <v>12.063700000000001</v>
      </c>
      <c r="N856" s="9">
        <v>4.9444999999999997</v>
      </c>
      <c r="O856" s="9">
        <v>0.37409999999999999</v>
      </c>
      <c r="P856" s="9">
        <v>1.2927</v>
      </c>
      <c r="Q856" s="9">
        <v>19.688099999999999</v>
      </c>
      <c r="R856" s="9"/>
      <c r="S856" s="11"/>
    </row>
    <row r="857" spans="1:19" ht="15.75">
      <c r="A857" s="13">
        <v>67603</v>
      </c>
      <c r="B857" s="8">
        <f>38.5475 * CHOOSE(CONTROL!$C$15, $D$11, 100%, $F$11)</f>
        <v>38.547499999999999</v>
      </c>
      <c r="C857" s="8">
        <f>38.5526 * CHOOSE(CONTROL!$C$15, $D$11, 100%, $F$11)</f>
        <v>38.552599999999998</v>
      </c>
      <c r="D857" s="8">
        <f>38.5268 * CHOOSE( CONTROL!$C$15, $D$11, 100%, $F$11)</f>
        <v>38.526800000000001</v>
      </c>
      <c r="E857" s="12">
        <f>38.5357 * CHOOSE( CONTROL!$C$15, $D$11, 100%, $F$11)</f>
        <v>38.535699999999999</v>
      </c>
      <c r="F857" s="4">
        <f>39.1915 * CHOOSE(CONTROL!$C$15, $D$11, 100%, $F$11)</f>
        <v>39.191499999999998</v>
      </c>
      <c r="G857" s="8">
        <f>37.8842 * CHOOSE( CONTROL!$C$15, $D$11, 100%, $F$11)</f>
        <v>37.8842</v>
      </c>
      <c r="H857" s="4">
        <f>38.7704 * CHOOSE(CONTROL!$C$15, $D$11, 100%, $F$11)</f>
        <v>38.770400000000002</v>
      </c>
      <c r="I857" s="8">
        <f>37.3469 * CHOOSE(CONTROL!$C$15, $D$11, 100%, $F$11)</f>
        <v>37.346899999999998</v>
      </c>
      <c r="J857" s="4">
        <f>37.2347 * CHOOSE(CONTROL!$C$15, $D$11, 100%, $F$11)</f>
        <v>37.234699999999997</v>
      </c>
      <c r="K857" s="4"/>
      <c r="L857" s="9">
        <v>29.306000000000001</v>
      </c>
      <c r="M857" s="9">
        <v>12.063700000000001</v>
      </c>
      <c r="N857" s="9">
        <v>4.9444999999999997</v>
      </c>
      <c r="O857" s="9">
        <v>0.37409999999999999</v>
      </c>
      <c r="P857" s="9">
        <v>1.2927</v>
      </c>
      <c r="Q857" s="9">
        <v>19.688099999999999</v>
      </c>
      <c r="R857" s="9"/>
      <c r="S857" s="11"/>
    </row>
    <row r="858" spans="1:19" ht="15.75">
      <c r="A858" s="13">
        <v>67631</v>
      </c>
      <c r="B858" s="8">
        <f>36.0574 * CHOOSE(CONTROL!$C$15, $D$11, 100%, $F$11)</f>
        <v>36.057400000000001</v>
      </c>
      <c r="C858" s="8">
        <f>36.0625 * CHOOSE(CONTROL!$C$15, $D$11, 100%, $F$11)</f>
        <v>36.0625</v>
      </c>
      <c r="D858" s="8">
        <f>36.0369 * CHOOSE( CONTROL!$C$15, $D$11, 100%, $F$11)</f>
        <v>36.036900000000003</v>
      </c>
      <c r="E858" s="12">
        <f>36.0457 * CHOOSE( CONTROL!$C$15, $D$11, 100%, $F$11)</f>
        <v>36.045699999999997</v>
      </c>
      <c r="F858" s="4">
        <f>36.7014 * CHOOSE(CONTROL!$C$15, $D$11, 100%, $F$11)</f>
        <v>36.7014</v>
      </c>
      <c r="G858" s="8">
        <f>35.4356 * CHOOSE( CONTROL!$C$15, $D$11, 100%, $F$11)</f>
        <v>35.435600000000001</v>
      </c>
      <c r="H858" s="4">
        <f>36.3216 * CHOOSE(CONTROL!$C$15, $D$11, 100%, $F$11)</f>
        <v>36.321599999999997</v>
      </c>
      <c r="I858" s="8">
        <f>34.9393 * CHOOSE(CONTROL!$C$15, $D$11, 100%, $F$11)</f>
        <v>34.939300000000003</v>
      </c>
      <c r="J858" s="4">
        <f>34.8275 * CHOOSE(CONTROL!$C$15, $D$11, 100%, $F$11)</f>
        <v>34.827500000000001</v>
      </c>
      <c r="K858" s="4"/>
      <c r="L858" s="9">
        <v>26.469899999999999</v>
      </c>
      <c r="M858" s="9">
        <v>10.8962</v>
      </c>
      <c r="N858" s="9">
        <v>4.4660000000000002</v>
      </c>
      <c r="O858" s="9">
        <v>0.33789999999999998</v>
      </c>
      <c r="P858" s="9">
        <v>1.1676</v>
      </c>
      <c r="Q858" s="9">
        <v>17.782800000000002</v>
      </c>
      <c r="R858" s="9"/>
      <c r="S858" s="11"/>
    </row>
    <row r="859" spans="1:19" ht="15.75">
      <c r="A859" s="13">
        <v>67662</v>
      </c>
      <c r="B859" s="8">
        <f>35.2905 * CHOOSE(CONTROL!$C$15, $D$11, 100%, $F$11)</f>
        <v>35.290500000000002</v>
      </c>
      <c r="C859" s="8">
        <f>35.2956 * CHOOSE(CONTROL!$C$15, $D$11, 100%, $F$11)</f>
        <v>35.2956</v>
      </c>
      <c r="D859" s="8">
        <f>35.2699 * CHOOSE( CONTROL!$C$15, $D$11, 100%, $F$11)</f>
        <v>35.2699</v>
      </c>
      <c r="E859" s="12">
        <f>35.2788 * CHOOSE( CONTROL!$C$15, $D$11, 100%, $F$11)</f>
        <v>35.278799999999997</v>
      </c>
      <c r="F859" s="4">
        <f>35.9345 * CHOOSE(CONTROL!$C$15, $D$11, 100%, $F$11)</f>
        <v>35.9345</v>
      </c>
      <c r="G859" s="8">
        <f>34.6813 * CHOOSE( CONTROL!$C$15, $D$11, 100%, $F$11)</f>
        <v>34.6813</v>
      </c>
      <c r="H859" s="4">
        <f>35.5674 * CHOOSE(CONTROL!$C$15, $D$11, 100%, $F$11)</f>
        <v>35.567399999999999</v>
      </c>
      <c r="I859" s="8">
        <f>34.1973 * CHOOSE(CONTROL!$C$15, $D$11, 100%, $F$11)</f>
        <v>34.197299999999998</v>
      </c>
      <c r="J859" s="4">
        <f>34.0861 * CHOOSE(CONTROL!$C$15, $D$11, 100%, $F$11)</f>
        <v>34.086100000000002</v>
      </c>
      <c r="K859" s="4"/>
      <c r="L859" s="9">
        <v>29.306000000000001</v>
      </c>
      <c r="M859" s="9">
        <v>12.063700000000001</v>
      </c>
      <c r="N859" s="9">
        <v>4.9444999999999997</v>
      </c>
      <c r="O859" s="9">
        <v>0.37409999999999999</v>
      </c>
      <c r="P859" s="9">
        <v>1.2927</v>
      </c>
      <c r="Q859" s="9">
        <v>19.688099999999999</v>
      </c>
      <c r="R859" s="9"/>
      <c r="S859" s="11"/>
    </row>
    <row r="860" spans="1:19" ht="15.75">
      <c r="A860" s="13">
        <v>67692</v>
      </c>
      <c r="B860" s="8">
        <f>35.8272 * CHOOSE(CONTROL!$C$15, $D$11, 100%, $F$11)</f>
        <v>35.827199999999998</v>
      </c>
      <c r="C860" s="8">
        <f>35.8317 * CHOOSE(CONTROL!$C$15, $D$11, 100%, $F$11)</f>
        <v>35.831699999999998</v>
      </c>
      <c r="D860" s="8">
        <f>35.8427 * CHOOSE( CONTROL!$C$15, $D$11, 100%, $F$11)</f>
        <v>35.842700000000001</v>
      </c>
      <c r="E860" s="12">
        <f>35.8386 * CHOOSE( CONTROL!$C$15, $D$11, 100%, $F$11)</f>
        <v>35.8386</v>
      </c>
      <c r="F860" s="4">
        <f>36.5168 * CHOOSE(CONTROL!$C$15, $D$11, 100%, $F$11)</f>
        <v>36.516800000000003</v>
      </c>
      <c r="G860" s="8">
        <f>35.2012 * CHOOSE( CONTROL!$C$15, $D$11, 100%, $F$11)</f>
        <v>35.2012</v>
      </c>
      <c r="H860" s="4">
        <f>36.14 * CHOOSE(CONTROL!$C$15, $D$11, 100%, $F$11)</f>
        <v>36.14</v>
      </c>
      <c r="I860" s="8">
        <f>34.7107 * CHOOSE(CONTROL!$C$15, $D$11, 100%, $F$11)</f>
        <v>34.710700000000003</v>
      </c>
      <c r="J860" s="4">
        <f>34.6042 * CHOOSE(CONTROL!$C$15, $D$11, 100%, $F$11)</f>
        <v>34.604199999999999</v>
      </c>
      <c r="K860" s="4"/>
      <c r="L860" s="9">
        <v>30.092199999999998</v>
      </c>
      <c r="M860" s="9">
        <v>11.6745</v>
      </c>
      <c r="N860" s="9">
        <v>4.7850000000000001</v>
      </c>
      <c r="O860" s="9">
        <v>0.36199999999999999</v>
      </c>
      <c r="P860" s="9">
        <v>1.1791</v>
      </c>
      <c r="Q860" s="9">
        <v>19.053000000000001</v>
      </c>
      <c r="R860" s="9"/>
      <c r="S860" s="11"/>
    </row>
    <row r="861" spans="1:19" ht="15.75">
      <c r="A861" s="13">
        <v>67723</v>
      </c>
      <c r="B861" s="8">
        <f>CHOOSE( CONTROL!$C$32, 36.7859, 36.7823) * CHOOSE(CONTROL!$C$15, $D$11, 100%, $F$11)</f>
        <v>36.785899999999998</v>
      </c>
      <c r="C861" s="8">
        <f>CHOOSE( CONTROL!$C$32, 36.7939, 36.7903) * CHOOSE(CONTROL!$C$15, $D$11, 100%, $F$11)</f>
        <v>36.793900000000001</v>
      </c>
      <c r="D861" s="8">
        <f>CHOOSE( CONTROL!$C$32, 36.7999, 36.7964) * CHOOSE( CONTROL!$C$15, $D$11, 100%, $F$11)</f>
        <v>36.799900000000001</v>
      </c>
      <c r="E861" s="12">
        <f>CHOOSE( CONTROL!$C$32, 36.7965, 36.793) * CHOOSE( CONTROL!$C$15, $D$11, 100%, $F$11)</f>
        <v>36.796500000000002</v>
      </c>
      <c r="F861" s="4">
        <f>CHOOSE( CONTROL!$C$32, 37.4742, 37.4706) * CHOOSE(CONTROL!$C$15, $D$11, 100%, $F$11)</f>
        <v>37.474200000000003</v>
      </c>
      <c r="G861" s="8">
        <f>CHOOSE( CONTROL!$C$32, 36.1437, 36.1402) * CHOOSE( CONTROL!$C$15, $D$11, 100%, $F$11)</f>
        <v>36.143700000000003</v>
      </c>
      <c r="H861" s="4">
        <f>CHOOSE( CONTROL!$C$32, 37.0815, 37.078) * CHOOSE(CONTROL!$C$15, $D$11, 100%, $F$11)</f>
        <v>37.081499999999998</v>
      </c>
      <c r="I861" s="8">
        <f>CHOOSE( CONTROL!$C$32, 35.6375, 35.6341) * CHOOSE(CONTROL!$C$15, $D$11, 100%, $F$11)</f>
        <v>35.637500000000003</v>
      </c>
      <c r="J861" s="4">
        <f>CHOOSE( CONTROL!$C$32, 35.5297, 35.5262) * CHOOSE(CONTROL!$C$15, $D$11, 100%, $F$11)</f>
        <v>35.529699999999998</v>
      </c>
      <c r="K861" s="4"/>
      <c r="L861" s="9">
        <v>30.7165</v>
      </c>
      <c r="M861" s="9">
        <v>12.063700000000001</v>
      </c>
      <c r="N861" s="9">
        <v>4.9444999999999997</v>
      </c>
      <c r="O861" s="9">
        <v>0.37409999999999999</v>
      </c>
      <c r="P861" s="9">
        <v>1.2183999999999999</v>
      </c>
      <c r="Q861" s="9">
        <v>19.688099999999999</v>
      </c>
      <c r="R861" s="9"/>
      <c r="S861" s="11"/>
    </row>
    <row r="862" spans="1:19" ht="15.75">
      <c r="A862" s="13">
        <v>67753</v>
      </c>
      <c r="B862" s="8">
        <f>CHOOSE( CONTROL!$C$32, 36.195, 36.1915) * CHOOSE(CONTROL!$C$15, $D$11, 100%, $F$11)</f>
        <v>36.195</v>
      </c>
      <c r="C862" s="8">
        <f>CHOOSE( CONTROL!$C$32, 36.2031, 36.1995) * CHOOSE(CONTROL!$C$15, $D$11, 100%, $F$11)</f>
        <v>36.203099999999999</v>
      </c>
      <c r="D862" s="8">
        <f>CHOOSE( CONTROL!$C$32, 36.2093, 36.2058) * CHOOSE( CONTROL!$C$15, $D$11, 100%, $F$11)</f>
        <v>36.209299999999999</v>
      </c>
      <c r="E862" s="12">
        <f>CHOOSE( CONTROL!$C$32, 36.2058, 36.2023) * CHOOSE( CONTROL!$C$15, $D$11, 100%, $F$11)</f>
        <v>36.205800000000004</v>
      </c>
      <c r="F862" s="4">
        <f>CHOOSE( CONTROL!$C$32, 36.8833, 36.8797) * CHOOSE(CONTROL!$C$15, $D$11, 100%, $F$11)</f>
        <v>36.883299999999998</v>
      </c>
      <c r="G862" s="8">
        <f>CHOOSE( CONTROL!$C$32, 35.563, 35.5595) * CHOOSE( CONTROL!$C$15, $D$11, 100%, $F$11)</f>
        <v>35.563000000000002</v>
      </c>
      <c r="H862" s="4">
        <f>CHOOSE( CONTROL!$C$32, 36.5005, 36.497) * CHOOSE(CONTROL!$C$15, $D$11, 100%, $F$11)</f>
        <v>36.500500000000002</v>
      </c>
      <c r="I862" s="8">
        <f>CHOOSE( CONTROL!$C$32, 35.0674, 35.0639) * CHOOSE(CONTROL!$C$15, $D$11, 100%, $F$11)</f>
        <v>35.067399999999999</v>
      </c>
      <c r="J862" s="4">
        <f>CHOOSE( CONTROL!$C$32, 34.9585, 34.9551) * CHOOSE(CONTROL!$C$15, $D$11, 100%, $F$11)</f>
        <v>34.958500000000001</v>
      </c>
      <c r="K862" s="4"/>
      <c r="L862" s="9">
        <v>29.7257</v>
      </c>
      <c r="M862" s="9">
        <v>11.6745</v>
      </c>
      <c r="N862" s="9">
        <v>4.7850000000000001</v>
      </c>
      <c r="O862" s="9">
        <v>0.36199999999999999</v>
      </c>
      <c r="P862" s="9">
        <v>1.1791</v>
      </c>
      <c r="Q862" s="9">
        <v>19.053000000000001</v>
      </c>
      <c r="R862" s="9"/>
      <c r="S862" s="11"/>
    </row>
    <row r="863" spans="1:19" ht="15.75">
      <c r="A863" s="13">
        <v>67784</v>
      </c>
      <c r="B863" s="8">
        <f>CHOOSE( CONTROL!$C$32, 37.751, 37.7474) * CHOOSE(CONTROL!$C$15, $D$11, 100%, $F$11)</f>
        <v>37.750999999999998</v>
      </c>
      <c r="C863" s="8">
        <f>CHOOSE( CONTROL!$C$32, 37.759, 37.7554) * CHOOSE(CONTROL!$C$15, $D$11, 100%, $F$11)</f>
        <v>37.759</v>
      </c>
      <c r="D863" s="8">
        <f>CHOOSE( CONTROL!$C$32, 37.7656, 37.762) * CHOOSE( CONTROL!$C$15, $D$11, 100%, $F$11)</f>
        <v>37.765599999999999</v>
      </c>
      <c r="E863" s="12">
        <f>CHOOSE( CONTROL!$C$32, 37.762, 37.7584) * CHOOSE( CONTROL!$C$15, $D$11, 100%, $F$11)</f>
        <v>37.762</v>
      </c>
      <c r="F863" s="4">
        <f>CHOOSE( CONTROL!$C$32, 38.4392, 38.4357) * CHOOSE(CONTROL!$C$15, $D$11, 100%, $F$11)</f>
        <v>38.4392</v>
      </c>
      <c r="G863" s="8">
        <f>CHOOSE( CONTROL!$C$32, 37.0936, 37.0901) * CHOOSE( CONTROL!$C$15, $D$11, 100%, $F$11)</f>
        <v>37.093600000000002</v>
      </c>
      <c r="H863" s="4">
        <f>CHOOSE( CONTROL!$C$32, 38.0306, 38.0271) * CHOOSE(CONTROL!$C$15, $D$11, 100%, $F$11)</f>
        <v>38.0306</v>
      </c>
      <c r="I863" s="8">
        <f>CHOOSE( CONTROL!$C$32, 36.5737, 36.5703) * CHOOSE(CONTROL!$C$15, $D$11, 100%, $F$11)</f>
        <v>36.573700000000002</v>
      </c>
      <c r="J863" s="4">
        <f>CHOOSE( CONTROL!$C$32, 36.4626, 36.4592) * CHOOSE(CONTROL!$C$15, $D$11, 100%, $F$11)</f>
        <v>36.462600000000002</v>
      </c>
      <c r="K863" s="4"/>
      <c r="L863" s="9">
        <v>30.7165</v>
      </c>
      <c r="M863" s="9">
        <v>12.063700000000001</v>
      </c>
      <c r="N863" s="9">
        <v>4.9444999999999997</v>
      </c>
      <c r="O863" s="9">
        <v>0.37409999999999999</v>
      </c>
      <c r="P863" s="9">
        <v>1.2183999999999999</v>
      </c>
      <c r="Q863" s="9">
        <v>19.688099999999999</v>
      </c>
      <c r="R863" s="9"/>
      <c r="S863" s="11"/>
    </row>
    <row r="864" spans="1:19" ht="15.75">
      <c r="A864" s="13">
        <v>67815</v>
      </c>
      <c r="B864" s="8">
        <f>CHOOSE( CONTROL!$C$32, 34.8396, 34.8361) * CHOOSE(CONTROL!$C$15, $D$11, 100%, $F$11)</f>
        <v>34.839599999999997</v>
      </c>
      <c r="C864" s="8">
        <f>CHOOSE( CONTROL!$C$32, 34.8477, 34.8441) * CHOOSE(CONTROL!$C$15, $D$11, 100%, $F$11)</f>
        <v>34.847700000000003</v>
      </c>
      <c r="D864" s="8">
        <f>CHOOSE( CONTROL!$C$32, 34.8544, 34.8508) * CHOOSE( CONTROL!$C$15, $D$11, 100%, $F$11)</f>
        <v>34.854399999999998</v>
      </c>
      <c r="E864" s="12">
        <f>CHOOSE( CONTROL!$C$32, 34.8507, 34.8472) * CHOOSE( CONTROL!$C$15, $D$11, 100%, $F$11)</f>
        <v>34.850700000000003</v>
      </c>
      <c r="F864" s="4">
        <f>CHOOSE( CONTROL!$C$32, 35.5279, 35.5244) * CHOOSE(CONTROL!$C$15, $D$11, 100%, $F$11)</f>
        <v>35.527900000000002</v>
      </c>
      <c r="G864" s="8">
        <f>CHOOSE( CONTROL!$C$32, 34.2307, 34.2272) * CHOOSE( CONTROL!$C$15, $D$11, 100%, $F$11)</f>
        <v>34.230699999999999</v>
      </c>
      <c r="H864" s="4">
        <f>CHOOSE( CONTROL!$C$32, 35.1676, 35.1641) * CHOOSE(CONTROL!$C$15, $D$11, 100%, $F$11)</f>
        <v>35.1676</v>
      </c>
      <c r="I864" s="8">
        <f>CHOOSE( CONTROL!$C$32, 33.7584, 33.7549) * CHOOSE(CONTROL!$C$15, $D$11, 100%, $F$11)</f>
        <v>33.758400000000002</v>
      </c>
      <c r="J864" s="4">
        <f>CHOOSE( CONTROL!$C$32, 33.6483, 33.6448) * CHOOSE(CONTROL!$C$15, $D$11, 100%, $F$11)</f>
        <v>33.648299999999999</v>
      </c>
      <c r="K864" s="4"/>
      <c r="L864" s="9">
        <v>30.7165</v>
      </c>
      <c r="M864" s="9">
        <v>12.063700000000001</v>
      </c>
      <c r="N864" s="9">
        <v>4.9444999999999997</v>
      </c>
      <c r="O864" s="9">
        <v>0.37409999999999999</v>
      </c>
      <c r="P864" s="9">
        <v>1.2183999999999999</v>
      </c>
      <c r="Q864" s="9">
        <v>19.688099999999999</v>
      </c>
      <c r="R864" s="9"/>
      <c r="S864" s="11"/>
    </row>
    <row r="865" spans="1:19" ht="15.75">
      <c r="A865" s="13">
        <v>67845</v>
      </c>
      <c r="B865" s="8">
        <f>CHOOSE( CONTROL!$C$32, 34.1106, 34.1071) * CHOOSE(CONTROL!$C$15, $D$11, 100%, $F$11)</f>
        <v>34.110599999999998</v>
      </c>
      <c r="C865" s="8">
        <f>CHOOSE( CONTROL!$C$32, 34.1186, 34.1151) * CHOOSE(CONTROL!$C$15, $D$11, 100%, $F$11)</f>
        <v>34.118600000000001</v>
      </c>
      <c r="D865" s="8">
        <f>CHOOSE( CONTROL!$C$32, 34.1253, 34.1218) * CHOOSE( CONTROL!$C$15, $D$11, 100%, $F$11)</f>
        <v>34.125300000000003</v>
      </c>
      <c r="E865" s="12">
        <f>CHOOSE( CONTROL!$C$32, 34.1217, 34.1182) * CHOOSE( CONTROL!$C$15, $D$11, 100%, $F$11)</f>
        <v>34.121699999999997</v>
      </c>
      <c r="F865" s="4">
        <f>CHOOSE( CONTROL!$C$32, 34.7989, 34.7953) * CHOOSE(CONTROL!$C$15, $D$11, 100%, $F$11)</f>
        <v>34.798900000000003</v>
      </c>
      <c r="G865" s="8">
        <f>CHOOSE( CONTROL!$C$32, 33.5138, 33.5103) * CHOOSE( CONTROL!$C$15, $D$11, 100%, $F$11)</f>
        <v>33.513800000000003</v>
      </c>
      <c r="H865" s="4">
        <f>CHOOSE( CONTROL!$C$32, 34.4506, 34.4471) * CHOOSE(CONTROL!$C$15, $D$11, 100%, $F$11)</f>
        <v>34.450600000000001</v>
      </c>
      <c r="I865" s="8">
        <f>CHOOSE( CONTROL!$C$32, 33.0533, 33.0498) * CHOOSE(CONTROL!$C$15, $D$11, 100%, $F$11)</f>
        <v>33.0533</v>
      </c>
      <c r="J865" s="4">
        <f>CHOOSE( CONTROL!$C$32, 32.9435, 32.9401) * CHOOSE(CONTROL!$C$15, $D$11, 100%, $F$11)</f>
        <v>32.9435</v>
      </c>
      <c r="K865" s="4"/>
      <c r="L865" s="9">
        <v>29.7257</v>
      </c>
      <c r="M865" s="9">
        <v>11.6745</v>
      </c>
      <c r="N865" s="9">
        <v>4.7850000000000001</v>
      </c>
      <c r="O865" s="9">
        <v>0.36199999999999999</v>
      </c>
      <c r="P865" s="9">
        <v>1.1791</v>
      </c>
      <c r="Q865" s="9">
        <v>19.053000000000001</v>
      </c>
      <c r="R865" s="9"/>
      <c r="S865" s="11"/>
    </row>
    <row r="866" spans="1:19" ht="15.75">
      <c r="A866" s="13">
        <v>67876</v>
      </c>
      <c r="B866" s="8">
        <f>35.619 * CHOOSE(CONTROL!$C$15, $D$11, 100%, $F$11)</f>
        <v>35.619</v>
      </c>
      <c r="C866" s="8">
        <f>35.6244 * CHOOSE(CONTROL!$C$15, $D$11, 100%, $F$11)</f>
        <v>35.624400000000001</v>
      </c>
      <c r="D866" s="8">
        <f>35.6359 * CHOOSE( CONTROL!$C$15, $D$11, 100%, $F$11)</f>
        <v>35.635899999999999</v>
      </c>
      <c r="E866" s="12">
        <f>35.6315 * CHOOSE( CONTROL!$C$15, $D$11, 100%, $F$11)</f>
        <v>35.631500000000003</v>
      </c>
      <c r="F866" s="4">
        <f>36.309 * CHOOSE(CONTROL!$C$15, $D$11, 100%, $F$11)</f>
        <v>36.308999999999997</v>
      </c>
      <c r="G866" s="8">
        <f>34.9984 * CHOOSE( CONTROL!$C$15, $D$11, 100%, $F$11)</f>
        <v>34.998399999999997</v>
      </c>
      <c r="H866" s="4">
        <f>35.9357 * CHOOSE(CONTROL!$C$15, $D$11, 100%, $F$11)</f>
        <v>35.935699999999997</v>
      </c>
      <c r="I866" s="8">
        <f>34.5146 * CHOOSE(CONTROL!$C$15, $D$11, 100%, $F$11)</f>
        <v>34.514600000000002</v>
      </c>
      <c r="J866" s="4">
        <f>34.4034 * CHOOSE(CONTROL!$C$15, $D$11, 100%, $F$11)</f>
        <v>34.403399999999998</v>
      </c>
      <c r="K866" s="4"/>
      <c r="L866" s="9">
        <v>31.095300000000002</v>
      </c>
      <c r="M866" s="9">
        <v>12.063700000000001</v>
      </c>
      <c r="N866" s="9">
        <v>4.9444999999999997</v>
      </c>
      <c r="O866" s="9">
        <v>0.37409999999999999</v>
      </c>
      <c r="P866" s="9">
        <v>1.2183999999999999</v>
      </c>
      <c r="Q866" s="9">
        <v>19.688099999999999</v>
      </c>
      <c r="R866" s="9"/>
      <c r="S866" s="11"/>
    </row>
    <row r="867" spans="1:19" ht="15.75">
      <c r="A867" s="13">
        <v>67906</v>
      </c>
      <c r="B867" s="8">
        <f>38.4127 * CHOOSE(CONTROL!$C$15, $D$11, 100%, $F$11)</f>
        <v>38.412700000000001</v>
      </c>
      <c r="C867" s="8">
        <f>38.4178 * CHOOSE(CONTROL!$C$15, $D$11, 100%, $F$11)</f>
        <v>38.4178</v>
      </c>
      <c r="D867" s="8">
        <f>38.3947 * CHOOSE( CONTROL!$C$15, $D$11, 100%, $F$11)</f>
        <v>38.3947</v>
      </c>
      <c r="E867" s="12">
        <f>38.4026 * CHOOSE( CONTROL!$C$15, $D$11, 100%, $F$11)</f>
        <v>38.4026</v>
      </c>
      <c r="F867" s="4">
        <f>39.0575 * CHOOSE(CONTROL!$C$15, $D$11, 100%, $F$11)</f>
        <v>39.057499999999997</v>
      </c>
      <c r="G867" s="8">
        <f>37.7569 * CHOOSE( CONTROL!$C$15, $D$11, 100%, $F$11)</f>
        <v>37.756900000000002</v>
      </c>
      <c r="H867" s="4">
        <f>38.6387 * CHOOSE(CONTROL!$C$15, $D$11, 100%, $F$11)</f>
        <v>38.6387</v>
      </c>
      <c r="I867" s="8">
        <f>37.2416 * CHOOSE(CONTROL!$C$15, $D$11, 100%, $F$11)</f>
        <v>37.241599999999998</v>
      </c>
      <c r="J867" s="4">
        <f>37.1043 * CHOOSE(CONTROL!$C$15, $D$11, 100%, $F$11)</f>
        <v>37.104300000000002</v>
      </c>
      <c r="K867" s="4"/>
      <c r="L867" s="9">
        <v>28.360600000000002</v>
      </c>
      <c r="M867" s="9">
        <v>11.6745</v>
      </c>
      <c r="N867" s="9">
        <v>4.7850000000000001</v>
      </c>
      <c r="O867" s="9">
        <v>0.36199999999999999</v>
      </c>
      <c r="P867" s="9">
        <v>1.2509999999999999</v>
      </c>
      <c r="Q867" s="9">
        <v>19.053000000000001</v>
      </c>
      <c r="R867" s="9"/>
      <c r="S867" s="11"/>
    </row>
    <row r="868" spans="1:19" ht="15.75">
      <c r="A868" s="13">
        <v>67937</v>
      </c>
      <c r="B868" s="8">
        <f>38.3429 * CHOOSE(CONTROL!$C$15, $D$11, 100%, $F$11)</f>
        <v>38.3429</v>
      </c>
      <c r="C868" s="8">
        <f>38.348 * CHOOSE(CONTROL!$C$15, $D$11, 100%, $F$11)</f>
        <v>38.347999999999999</v>
      </c>
      <c r="D868" s="8">
        <f>38.3263 * CHOOSE( CONTROL!$C$15, $D$11, 100%, $F$11)</f>
        <v>38.326300000000003</v>
      </c>
      <c r="E868" s="12">
        <f>38.3337 * CHOOSE( CONTROL!$C$15, $D$11, 100%, $F$11)</f>
        <v>38.3337</v>
      </c>
      <c r="F868" s="4">
        <f>38.9877 * CHOOSE(CONTROL!$C$15, $D$11, 100%, $F$11)</f>
        <v>38.987699999999997</v>
      </c>
      <c r="G868" s="8">
        <f>37.6892 * CHOOSE( CONTROL!$C$15, $D$11, 100%, $F$11)</f>
        <v>37.6892</v>
      </c>
      <c r="H868" s="4">
        <f>38.57 * CHOOSE(CONTROL!$C$15, $D$11, 100%, $F$11)</f>
        <v>38.57</v>
      </c>
      <c r="I868" s="8">
        <f>37.1784 * CHOOSE(CONTROL!$C$15, $D$11, 100%, $F$11)</f>
        <v>37.178400000000003</v>
      </c>
      <c r="J868" s="4">
        <f>37.0369 * CHOOSE(CONTROL!$C$15, $D$11, 100%, $F$11)</f>
        <v>37.036900000000003</v>
      </c>
      <c r="K868" s="4"/>
      <c r="L868" s="9">
        <v>29.306000000000001</v>
      </c>
      <c r="M868" s="9">
        <v>12.063700000000001</v>
      </c>
      <c r="N868" s="9">
        <v>4.9444999999999997</v>
      </c>
      <c r="O868" s="9">
        <v>0.37409999999999999</v>
      </c>
      <c r="P868" s="9">
        <v>1.2927</v>
      </c>
      <c r="Q868" s="9">
        <v>19.688099999999999</v>
      </c>
      <c r="R868" s="9"/>
      <c r="S868" s="11"/>
    </row>
    <row r="869" spans="1:19" ht="15.75">
      <c r="A869" s="13">
        <v>67968</v>
      </c>
      <c r="B869" s="8">
        <f>39.8071 * CHOOSE(CONTROL!$C$15, $D$11, 100%, $F$11)</f>
        <v>39.807099999999998</v>
      </c>
      <c r="C869" s="8">
        <f>39.8123 * CHOOSE(CONTROL!$C$15, $D$11, 100%, $F$11)</f>
        <v>39.8123</v>
      </c>
      <c r="D869" s="8">
        <f>39.7864 * CHOOSE( CONTROL!$C$15, $D$11, 100%, $F$11)</f>
        <v>39.7864</v>
      </c>
      <c r="E869" s="12">
        <f>39.7953 * CHOOSE( CONTROL!$C$15, $D$11, 100%, $F$11)</f>
        <v>39.795299999999997</v>
      </c>
      <c r="F869" s="4">
        <f>40.4512 * CHOOSE(CONTROL!$C$15, $D$11, 100%, $F$11)</f>
        <v>40.4512</v>
      </c>
      <c r="G869" s="8">
        <f>39.1229 * CHOOSE( CONTROL!$C$15, $D$11, 100%, $F$11)</f>
        <v>39.122900000000001</v>
      </c>
      <c r="H869" s="4">
        <f>40.0092 * CHOOSE(CONTROL!$C$15, $D$11, 100%, $F$11)</f>
        <v>40.0092</v>
      </c>
      <c r="I869" s="8">
        <f>38.5652 * CHOOSE(CONTROL!$C$15, $D$11, 100%, $F$11)</f>
        <v>38.565199999999997</v>
      </c>
      <c r="J869" s="4">
        <f>38.4524 * CHOOSE(CONTROL!$C$15, $D$11, 100%, $F$11)</f>
        <v>38.452399999999997</v>
      </c>
      <c r="K869" s="4"/>
      <c r="L869" s="9">
        <v>29.306000000000001</v>
      </c>
      <c r="M869" s="9">
        <v>12.063700000000001</v>
      </c>
      <c r="N869" s="9">
        <v>4.9444999999999997</v>
      </c>
      <c r="O869" s="9">
        <v>0.37409999999999999</v>
      </c>
      <c r="P869" s="9">
        <v>1.2927</v>
      </c>
      <c r="Q869" s="9">
        <v>19.688099999999999</v>
      </c>
      <c r="R869" s="9"/>
      <c r="S869" s="11"/>
    </row>
    <row r="870" spans="1:19" ht="15.75">
      <c r="A870" s="13">
        <v>67996</v>
      </c>
      <c r="B870" s="8">
        <f>37.2356 * CHOOSE(CONTROL!$C$15, $D$11, 100%, $F$11)</f>
        <v>37.235599999999998</v>
      </c>
      <c r="C870" s="8">
        <f>37.2407 * CHOOSE(CONTROL!$C$15, $D$11, 100%, $F$11)</f>
        <v>37.240699999999997</v>
      </c>
      <c r="D870" s="8">
        <f>37.2151 * CHOOSE( CONTROL!$C$15, $D$11, 100%, $F$11)</f>
        <v>37.2151</v>
      </c>
      <c r="E870" s="12">
        <f>37.2239 * CHOOSE( CONTROL!$C$15, $D$11, 100%, $F$11)</f>
        <v>37.2239</v>
      </c>
      <c r="F870" s="4">
        <f>37.8797 * CHOOSE(CONTROL!$C$15, $D$11, 100%, $F$11)</f>
        <v>37.8797</v>
      </c>
      <c r="G870" s="8">
        <f>36.5942 * CHOOSE( CONTROL!$C$15, $D$11, 100%, $F$11)</f>
        <v>36.594200000000001</v>
      </c>
      <c r="H870" s="4">
        <f>37.4803 * CHOOSE(CONTROL!$C$15, $D$11, 100%, $F$11)</f>
        <v>37.4803</v>
      </c>
      <c r="I870" s="8">
        <f>36.0789 * CHOOSE(CONTROL!$C$15, $D$11, 100%, $F$11)</f>
        <v>36.078899999999997</v>
      </c>
      <c r="J870" s="4">
        <f>35.9665 * CHOOSE(CONTROL!$C$15, $D$11, 100%, $F$11)</f>
        <v>35.966500000000003</v>
      </c>
      <c r="K870" s="4"/>
      <c r="L870" s="9">
        <v>26.469899999999999</v>
      </c>
      <c r="M870" s="9">
        <v>10.8962</v>
      </c>
      <c r="N870" s="9">
        <v>4.4660000000000002</v>
      </c>
      <c r="O870" s="9">
        <v>0.33789999999999998</v>
      </c>
      <c r="P870" s="9">
        <v>1.1676</v>
      </c>
      <c r="Q870" s="9">
        <v>17.782800000000002</v>
      </c>
      <c r="R870" s="9"/>
      <c r="S870" s="11"/>
    </row>
    <row r="871" spans="1:19" ht="15.75">
      <c r="A871" s="13">
        <v>68027</v>
      </c>
      <c r="B871" s="8">
        <f>36.4436 * CHOOSE(CONTROL!$C$15, $D$11, 100%, $F$11)</f>
        <v>36.443600000000004</v>
      </c>
      <c r="C871" s="8">
        <f>36.4487 * CHOOSE(CONTROL!$C$15, $D$11, 100%, $F$11)</f>
        <v>36.448700000000002</v>
      </c>
      <c r="D871" s="8">
        <f>36.423 * CHOOSE( CONTROL!$C$15, $D$11, 100%, $F$11)</f>
        <v>36.423000000000002</v>
      </c>
      <c r="E871" s="12">
        <f>36.4319 * CHOOSE( CONTROL!$C$15, $D$11, 100%, $F$11)</f>
        <v>36.431899999999999</v>
      </c>
      <c r="F871" s="4">
        <f>37.0876 * CHOOSE(CONTROL!$C$15, $D$11, 100%, $F$11)</f>
        <v>37.087600000000002</v>
      </c>
      <c r="G871" s="8">
        <f>35.8153 * CHOOSE( CONTROL!$C$15, $D$11, 100%, $F$11)</f>
        <v>35.815300000000001</v>
      </c>
      <c r="H871" s="4">
        <f>36.7014 * CHOOSE(CONTROL!$C$15, $D$11, 100%, $F$11)</f>
        <v>36.7014</v>
      </c>
      <c r="I871" s="8">
        <f>35.3126 * CHOOSE(CONTROL!$C$15, $D$11, 100%, $F$11)</f>
        <v>35.312600000000003</v>
      </c>
      <c r="J871" s="4">
        <f>35.2009 * CHOOSE(CONTROL!$C$15, $D$11, 100%, $F$11)</f>
        <v>35.200899999999997</v>
      </c>
      <c r="K871" s="4"/>
      <c r="L871" s="9">
        <v>29.306000000000001</v>
      </c>
      <c r="M871" s="9">
        <v>12.063700000000001</v>
      </c>
      <c r="N871" s="9">
        <v>4.9444999999999997</v>
      </c>
      <c r="O871" s="9">
        <v>0.37409999999999999</v>
      </c>
      <c r="P871" s="9">
        <v>1.2927</v>
      </c>
      <c r="Q871" s="9">
        <v>19.688099999999999</v>
      </c>
      <c r="R871" s="9"/>
      <c r="S871" s="11"/>
    </row>
    <row r="872" spans="1:19" ht="15.75">
      <c r="A872" s="13">
        <v>68057</v>
      </c>
      <c r="B872" s="8">
        <f>36.9978 * CHOOSE(CONTROL!$C$15, $D$11, 100%, $F$11)</f>
        <v>36.997799999999998</v>
      </c>
      <c r="C872" s="8">
        <f>37.0024 * CHOOSE(CONTROL!$C$15, $D$11, 100%, $F$11)</f>
        <v>37.002400000000002</v>
      </c>
      <c r="D872" s="8">
        <f>37.0134 * CHOOSE( CONTROL!$C$15, $D$11, 100%, $F$11)</f>
        <v>37.013399999999997</v>
      </c>
      <c r="E872" s="12">
        <f>37.0092 * CHOOSE( CONTROL!$C$15, $D$11, 100%, $F$11)</f>
        <v>37.0092</v>
      </c>
      <c r="F872" s="4">
        <f>37.6875 * CHOOSE(CONTROL!$C$15, $D$11, 100%, $F$11)</f>
        <v>37.6875</v>
      </c>
      <c r="G872" s="8">
        <f>36.3524 * CHOOSE( CONTROL!$C$15, $D$11, 100%, $F$11)</f>
        <v>36.352400000000003</v>
      </c>
      <c r="H872" s="4">
        <f>37.2913 * CHOOSE(CONTROL!$C$15, $D$11, 100%, $F$11)</f>
        <v>37.2913</v>
      </c>
      <c r="I872" s="8">
        <f>35.8429 * CHOOSE(CONTROL!$C$15, $D$11, 100%, $F$11)</f>
        <v>35.8429</v>
      </c>
      <c r="J872" s="4">
        <f>35.7359 * CHOOSE(CONTROL!$C$15, $D$11, 100%, $F$11)</f>
        <v>35.735900000000001</v>
      </c>
      <c r="K872" s="4"/>
      <c r="L872" s="9">
        <v>30.092199999999998</v>
      </c>
      <c r="M872" s="9">
        <v>11.6745</v>
      </c>
      <c r="N872" s="9">
        <v>4.7850000000000001</v>
      </c>
      <c r="O872" s="9">
        <v>0.36199999999999999</v>
      </c>
      <c r="P872" s="9">
        <v>1.1791</v>
      </c>
      <c r="Q872" s="9">
        <v>19.053000000000001</v>
      </c>
      <c r="R872" s="9"/>
      <c r="S872" s="11"/>
    </row>
    <row r="873" spans="1:19" ht="15.75">
      <c r="A873" s="13">
        <v>68088</v>
      </c>
      <c r="B873" s="8">
        <f>CHOOSE( CONTROL!$C$32, 37.9878, 37.9842) * CHOOSE(CONTROL!$C$15, $D$11, 100%, $F$11)</f>
        <v>37.9878</v>
      </c>
      <c r="C873" s="8">
        <f>CHOOSE( CONTROL!$C$32, 37.9958, 37.9922) * CHOOSE(CONTROL!$C$15, $D$11, 100%, $F$11)</f>
        <v>37.995800000000003</v>
      </c>
      <c r="D873" s="8">
        <f>CHOOSE( CONTROL!$C$32, 38.0018, 37.9982) * CHOOSE( CONTROL!$C$15, $D$11, 100%, $F$11)</f>
        <v>38.001800000000003</v>
      </c>
      <c r="E873" s="12">
        <f>CHOOSE( CONTROL!$C$32, 37.9984, 37.9948) * CHOOSE( CONTROL!$C$15, $D$11, 100%, $F$11)</f>
        <v>37.998399999999997</v>
      </c>
      <c r="F873" s="4">
        <f>CHOOSE( CONTROL!$C$32, 38.676, 38.6725) * CHOOSE(CONTROL!$C$15, $D$11, 100%, $F$11)</f>
        <v>38.676000000000002</v>
      </c>
      <c r="G873" s="8">
        <f>CHOOSE( CONTROL!$C$32, 37.3256, 37.3221) * CHOOSE( CONTROL!$C$15, $D$11, 100%, $F$11)</f>
        <v>37.325600000000001</v>
      </c>
      <c r="H873" s="4">
        <f>CHOOSE( CONTROL!$C$32, 38.2635, 38.26) * CHOOSE(CONTROL!$C$15, $D$11, 100%, $F$11)</f>
        <v>38.263500000000001</v>
      </c>
      <c r="I873" s="8">
        <f>CHOOSE( CONTROL!$C$32, 36.7999, 36.7965) * CHOOSE(CONTROL!$C$15, $D$11, 100%, $F$11)</f>
        <v>36.799900000000001</v>
      </c>
      <c r="J873" s="4">
        <f>CHOOSE( CONTROL!$C$32, 36.6915, 36.6881) * CHOOSE(CONTROL!$C$15, $D$11, 100%, $F$11)</f>
        <v>36.691499999999998</v>
      </c>
      <c r="K873" s="4"/>
      <c r="L873" s="9">
        <v>30.7165</v>
      </c>
      <c r="M873" s="9">
        <v>12.063700000000001</v>
      </c>
      <c r="N873" s="9">
        <v>4.9444999999999997</v>
      </c>
      <c r="O873" s="9">
        <v>0.37409999999999999</v>
      </c>
      <c r="P873" s="9">
        <v>1.2183999999999999</v>
      </c>
      <c r="Q873" s="9">
        <v>19.688099999999999</v>
      </c>
      <c r="R873" s="9"/>
      <c r="S873" s="11"/>
    </row>
    <row r="874" spans="1:19" ht="15.75">
      <c r="A874" s="13">
        <v>68118</v>
      </c>
      <c r="B874" s="8">
        <f>CHOOSE( CONTROL!$C$32, 37.3776, 37.374) * CHOOSE(CONTROL!$C$15, $D$11, 100%, $F$11)</f>
        <v>37.377600000000001</v>
      </c>
      <c r="C874" s="8">
        <f>CHOOSE( CONTROL!$C$32, 37.3856, 37.382) * CHOOSE(CONTROL!$C$15, $D$11, 100%, $F$11)</f>
        <v>37.385599999999997</v>
      </c>
      <c r="D874" s="8">
        <f>CHOOSE( CONTROL!$C$32, 37.3919, 37.3883) * CHOOSE( CONTROL!$C$15, $D$11, 100%, $F$11)</f>
        <v>37.3919</v>
      </c>
      <c r="E874" s="12">
        <f>CHOOSE( CONTROL!$C$32, 37.3884, 37.3848) * CHOOSE( CONTROL!$C$15, $D$11, 100%, $F$11)</f>
        <v>37.388399999999997</v>
      </c>
      <c r="F874" s="4">
        <f>CHOOSE( CONTROL!$C$32, 38.0658, 38.0623) * CHOOSE(CONTROL!$C$15, $D$11, 100%, $F$11)</f>
        <v>38.065800000000003</v>
      </c>
      <c r="G874" s="8">
        <f>CHOOSE( CONTROL!$C$32, 36.726, 36.7225) * CHOOSE( CONTROL!$C$15, $D$11, 100%, $F$11)</f>
        <v>36.725999999999999</v>
      </c>
      <c r="H874" s="4">
        <f>CHOOSE( CONTROL!$C$32, 37.6634, 37.6599) * CHOOSE(CONTROL!$C$15, $D$11, 100%, $F$11)</f>
        <v>37.663400000000003</v>
      </c>
      <c r="I874" s="8">
        <f>CHOOSE( CONTROL!$C$32, 36.2111, 36.2077) * CHOOSE(CONTROL!$C$15, $D$11, 100%, $F$11)</f>
        <v>36.211100000000002</v>
      </c>
      <c r="J874" s="4">
        <f>CHOOSE( CONTROL!$C$32, 36.1017, 36.0982) * CHOOSE(CONTROL!$C$15, $D$11, 100%, $F$11)</f>
        <v>36.101700000000001</v>
      </c>
      <c r="K874" s="4"/>
      <c r="L874" s="9">
        <v>29.7257</v>
      </c>
      <c r="M874" s="9">
        <v>11.6745</v>
      </c>
      <c r="N874" s="9">
        <v>4.7850000000000001</v>
      </c>
      <c r="O874" s="9">
        <v>0.36199999999999999</v>
      </c>
      <c r="P874" s="9">
        <v>1.1791</v>
      </c>
      <c r="Q874" s="9">
        <v>19.053000000000001</v>
      </c>
      <c r="R874" s="9"/>
      <c r="S874" s="11"/>
    </row>
    <row r="875" spans="1:19" ht="15.75">
      <c r="A875" s="13">
        <v>68149</v>
      </c>
      <c r="B875" s="8">
        <f>CHOOSE( CONTROL!$C$32, 38.9844, 38.9808) * CHOOSE(CONTROL!$C$15, $D$11, 100%, $F$11)</f>
        <v>38.984400000000001</v>
      </c>
      <c r="C875" s="8">
        <f>CHOOSE( CONTROL!$C$32, 38.9924, 38.9889) * CHOOSE(CONTROL!$C$15, $D$11, 100%, $F$11)</f>
        <v>38.992400000000004</v>
      </c>
      <c r="D875" s="8">
        <f>CHOOSE( CONTROL!$C$32, 38.999, 38.9954) * CHOOSE( CONTROL!$C$15, $D$11, 100%, $F$11)</f>
        <v>38.999000000000002</v>
      </c>
      <c r="E875" s="12">
        <f>CHOOSE( CONTROL!$C$32, 38.9954, 38.9918) * CHOOSE( CONTROL!$C$15, $D$11, 100%, $F$11)</f>
        <v>38.995399999999997</v>
      </c>
      <c r="F875" s="4">
        <f>CHOOSE( CONTROL!$C$32, 39.6727, 39.6691) * CHOOSE(CONTROL!$C$15, $D$11, 100%, $F$11)</f>
        <v>39.672699999999999</v>
      </c>
      <c r="G875" s="8">
        <f>CHOOSE( CONTROL!$C$32, 38.3066, 38.3031) * CHOOSE( CONTROL!$C$15, $D$11, 100%, $F$11)</f>
        <v>38.306600000000003</v>
      </c>
      <c r="H875" s="4">
        <f>CHOOSE( CONTROL!$C$32, 39.2436, 39.2401) * CHOOSE(CONTROL!$C$15, $D$11, 100%, $F$11)</f>
        <v>39.243600000000001</v>
      </c>
      <c r="I875" s="8">
        <f>CHOOSE( CONTROL!$C$32, 37.7667, 37.7632) * CHOOSE(CONTROL!$C$15, $D$11, 100%, $F$11)</f>
        <v>37.7667</v>
      </c>
      <c r="J875" s="4">
        <f>CHOOSE( CONTROL!$C$32, 37.655, 37.6515) * CHOOSE(CONTROL!$C$15, $D$11, 100%, $F$11)</f>
        <v>37.655000000000001</v>
      </c>
      <c r="K875" s="4"/>
      <c r="L875" s="9">
        <v>30.7165</v>
      </c>
      <c r="M875" s="9">
        <v>12.063700000000001</v>
      </c>
      <c r="N875" s="9">
        <v>4.9444999999999997</v>
      </c>
      <c r="O875" s="9">
        <v>0.37409999999999999</v>
      </c>
      <c r="P875" s="9">
        <v>1.2183999999999999</v>
      </c>
      <c r="Q875" s="9">
        <v>19.688099999999999</v>
      </c>
      <c r="R875" s="9"/>
      <c r="S875" s="11"/>
    </row>
    <row r="876" spans="1:19" ht="15.75">
      <c r="A876" s="13">
        <v>68180</v>
      </c>
      <c r="B876" s="8">
        <f>CHOOSE( CONTROL!$C$32, 35.9779, 35.9743) * CHOOSE(CONTROL!$C$15, $D$11, 100%, $F$11)</f>
        <v>35.977899999999998</v>
      </c>
      <c r="C876" s="8">
        <f>CHOOSE( CONTROL!$C$32, 35.9859, 35.9823) * CHOOSE(CONTROL!$C$15, $D$11, 100%, $F$11)</f>
        <v>35.985900000000001</v>
      </c>
      <c r="D876" s="8">
        <f>CHOOSE( CONTROL!$C$32, 35.9926, 35.989) * CHOOSE( CONTROL!$C$15, $D$11, 100%, $F$11)</f>
        <v>35.992600000000003</v>
      </c>
      <c r="E876" s="12">
        <f>CHOOSE( CONTROL!$C$32, 35.989, 35.9854) * CHOOSE( CONTROL!$C$15, $D$11, 100%, $F$11)</f>
        <v>35.988999999999997</v>
      </c>
      <c r="F876" s="4">
        <f>CHOOSE( CONTROL!$C$32, 36.6661, 36.6626) * CHOOSE(CONTROL!$C$15, $D$11, 100%, $F$11)</f>
        <v>36.6661</v>
      </c>
      <c r="G876" s="8">
        <f>CHOOSE( CONTROL!$C$32, 35.3501, 35.3466) * CHOOSE( CONTROL!$C$15, $D$11, 100%, $F$11)</f>
        <v>35.350099999999998</v>
      </c>
      <c r="H876" s="4">
        <f>CHOOSE( CONTROL!$C$32, 36.2869, 36.2834) * CHOOSE(CONTROL!$C$15, $D$11, 100%, $F$11)</f>
        <v>36.286900000000003</v>
      </c>
      <c r="I876" s="8">
        <f>CHOOSE( CONTROL!$C$32, 34.8593, 34.8558) * CHOOSE(CONTROL!$C$15, $D$11, 100%, $F$11)</f>
        <v>34.859299999999998</v>
      </c>
      <c r="J876" s="4">
        <f>CHOOSE( CONTROL!$C$32, 34.7486, 34.7451) * CHOOSE(CONTROL!$C$15, $D$11, 100%, $F$11)</f>
        <v>34.748600000000003</v>
      </c>
      <c r="K876" s="4"/>
      <c r="L876" s="9">
        <v>30.7165</v>
      </c>
      <c r="M876" s="9">
        <v>12.063700000000001</v>
      </c>
      <c r="N876" s="9">
        <v>4.9444999999999997</v>
      </c>
      <c r="O876" s="9">
        <v>0.37409999999999999</v>
      </c>
      <c r="P876" s="9">
        <v>1.2183999999999999</v>
      </c>
      <c r="Q876" s="9">
        <v>19.688099999999999</v>
      </c>
      <c r="R876" s="9"/>
      <c r="S876" s="11"/>
    </row>
    <row r="877" spans="1:19" ht="15.75">
      <c r="A877" s="13">
        <v>68210</v>
      </c>
      <c r="B877" s="8">
        <f>CHOOSE( CONTROL!$C$32, 35.225, 35.2214) * CHOOSE(CONTROL!$C$15, $D$11, 100%, $F$11)</f>
        <v>35.225000000000001</v>
      </c>
      <c r="C877" s="8">
        <f>CHOOSE( CONTROL!$C$32, 35.233, 35.2294) * CHOOSE(CONTROL!$C$15, $D$11, 100%, $F$11)</f>
        <v>35.232999999999997</v>
      </c>
      <c r="D877" s="8">
        <f>CHOOSE( CONTROL!$C$32, 35.2397, 35.2361) * CHOOSE( CONTROL!$C$15, $D$11, 100%, $F$11)</f>
        <v>35.239699999999999</v>
      </c>
      <c r="E877" s="12">
        <f>CHOOSE( CONTROL!$C$32, 35.2361, 35.2325) * CHOOSE( CONTROL!$C$15, $D$11, 100%, $F$11)</f>
        <v>35.2361</v>
      </c>
      <c r="F877" s="4">
        <f>CHOOSE( CONTROL!$C$32, 35.9133, 35.9097) * CHOOSE(CONTROL!$C$15, $D$11, 100%, $F$11)</f>
        <v>35.9133</v>
      </c>
      <c r="G877" s="8">
        <f>CHOOSE( CONTROL!$C$32, 34.6097, 34.6062) * CHOOSE( CONTROL!$C$15, $D$11, 100%, $F$11)</f>
        <v>34.609699999999997</v>
      </c>
      <c r="H877" s="4">
        <f>CHOOSE( CONTROL!$C$32, 35.5465, 35.543) * CHOOSE(CONTROL!$C$15, $D$11, 100%, $F$11)</f>
        <v>35.546500000000002</v>
      </c>
      <c r="I877" s="8">
        <f>CHOOSE( CONTROL!$C$32, 34.1311, 34.1276) * CHOOSE(CONTROL!$C$15, $D$11, 100%, $F$11)</f>
        <v>34.131100000000004</v>
      </c>
      <c r="J877" s="4">
        <f>CHOOSE( CONTROL!$C$32, 34.0208, 34.0173) * CHOOSE(CONTROL!$C$15, $D$11, 100%, $F$11)</f>
        <v>34.020800000000001</v>
      </c>
      <c r="K877" s="4"/>
      <c r="L877" s="9">
        <v>29.7257</v>
      </c>
      <c r="M877" s="9">
        <v>11.6745</v>
      </c>
      <c r="N877" s="9">
        <v>4.7850000000000001</v>
      </c>
      <c r="O877" s="9">
        <v>0.36199999999999999</v>
      </c>
      <c r="P877" s="9">
        <v>1.1791</v>
      </c>
      <c r="Q877" s="9">
        <v>19.053000000000001</v>
      </c>
      <c r="R877" s="9"/>
      <c r="S877" s="11"/>
    </row>
    <row r="878" spans="1:19" ht="15.75">
      <c r="A878" s="13">
        <v>68241</v>
      </c>
      <c r="B878" s="8">
        <f>36.7829 * CHOOSE(CONTROL!$C$15, $D$11, 100%, $F$11)</f>
        <v>36.782899999999998</v>
      </c>
      <c r="C878" s="8">
        <f>36.7883 * CHOOSE(CONTROL!$C$15, $D$11, 100%, $F$11)</f>
        <v>36.7883</v>
      </c>
      <c r="D878" s="8">
        <f>36.7998 * CHOOSE( CONTROL!$C$15, $D$11, 100%, $F$11)</f>
        <v>36.799799999999998</v>
      </c>
      <c r="E878" s="12">
        <f>36.7954 * CHOOSE( CONTROL!$C$15, $D$11, 100%, $F$11)</f>
        <v>36.795400000000001</v>
      </c>
      <c r="F878" s="4">
        <f>37.4729 * CHOOSE(CONTROL!$C$15, $D$11, 100%, $F$11)</f>
        <v>37.472900000000003</v>
      </c>
      <c r="G878" s="8">
        <f>36.143 * CHOOSE( CONTROL!$C$15, $D$11, 100%, $F$11)</f>
        <v>36.143000000000001</v>
      </c>
      <c r="H878" s="4">
        <f>37.0803 * CHOOSE(CONTROL!$C$15, $D$11, 100%, $F$11)</f>
        <v>37.080300000000001</v>
      </c>
      <c r="I878" s="8">
        <f>35.6403 * CHOOSE(CONTROL!$C$15, $D$11, 100%, $F$11)</f>
        <v>35.640300000000003</v>
      </c>
      <c r="J878" s="4">
        <f>35.5285 * CHOOSE(CONTROL!$C$15, $D$11, 100%, $F$11)</f>
        <v>35.528500000000001</v>
      </c>
      <c r="K878" s="4"/>
      <c r="L878" s="9">
        <v>31.095300000000002</v>
      </c>
      <c r="M878" s="9">
        <v>12.063700000000001</v>
      </c>
      <c r="N878" s="9">
        <v>4.9444999999999997</v>
      </c>
      <c r="O878" s="9">
        <v>0.37409999999999999</v>
      </c>
      <c r="P878" s="9">
        <v>1.2183999999999999</v>
      </c>
      <c r="Q878" s="9">
        <v>19.688099999999999</v>
      </c>
      <c r="R878" s="9"/>
      <c r="S878" s="11"/>
    </row>
    <row r="879" spans="1:19" ht="15.75">
      <c r="A879" s="13">
        <v>68271</v>
      </c>
      <c r="B879" s="8">
        <f>39.6679 * CHOOSE(CONTROL!$C$15, $D$11, 100%, $F$11)</f>
        <v>39.667900000000003</v>
      </c>
      <c r="C879" s="8">
        <f>39.673 * CHOOSE(CONTROL!$C$15, $D$11, 100%, $F$11)</f>
        <v>39.673000000000002</v>
      </c>
      <c r="D879" s="8">
        <f>39.65 * CHOOSE( CONTROL!$C$15, $D$11, 100%, $F$11)</f>
        <v>39.65</v>
      </c>
      <c r="E879" s="12">
        <f>39.6579 * CHOOSE( CONTROL!$C$15, $D$11, 100%, $F$11)</f>
        <v>39.657899999999998</v>
      </c>
      <c r="F879" s="4">
        <f>40.3128 * CHOOSE(CONTROL!$C$15, $D$11, 100%, $F$11)</f>
        <v>40.312800000000003</v>
      </c>
      <c r="G879" s="8">
        <f>38.9913 * CHOOSE( CONTROL!$C$15, $D$11, 100%, $F$11)</f>
        <v>38.991300000000003</v>
      </c>
      <c r="H879" s="4">
        <f>39.8731 * CHOOSE(CONTROL!$C$15, $D$11, 100%, $F$11)</f>
        <v>39.873100000000001</v>
      </c>
      <c r="I879" s="8">
        <f>38.4557 * CHOOSE(CONTROL!$C$15, $D$11, 100%, $F$11)</f>
        <v>38.4557</v>
      </c>
      <c r="J879" s="4">
        <f>38.3178 * CHOOSE(CONTROL!$C$15, $D$11, 100%, $F$11)</f>
        <v>38.317799999999998</v>
      </c>
      <c r="K879" s="4"/>
      <c r="L879" s="9">
        <v>28.360600000000002</v>
      </c>
      <c r="M879" s="9">
        <v>11.6745</v>
      </c>
      <c r="N879" s="9">
        <v>4.7850000000000001</v>
      </c>
      <c r="O879" s="9">
        <v>0.36199999999999999</v>
      </c>
      <c r="P879" s="9">
        <v>1.2509999999999999</v>
      </c>
      <c r="Q879" s="9">
        <v>19.053000000000001</v>
      </c>
      <c r="R879" s="9"/>
      <c r="S879" s="11"/>
    </row>
    <row r="880" spans="1:19" ht="15.75">
      <c r="A880" s="13">
        <v>68302</v>
      </c>
      <c r="B880" s="8">
        <f>39.5958 * CHOOSE(CONTROL!$C$15, $D$11, 100%, $F$11)</f>
        <v>39.595799999999997</v>
      </c>
      <c r="C880" s="8">
        <f>39.6009 * CHOOSE(CONTROL!$C$15, $D$11, 100%, $F$11)</f>
        <v>39.600900000000003</v>
      </c>
      <c r="D880" s="8">
        <f>39.5792 * CHOOSE( CONTROL!$C$15, $D$11, 100%, $F$11)</f>
        <v>39.5792</v>
      </c>
      <c r="E880" s="12">
        <f>39.5866 * CHOOSE( CONTROL!$C$15, $D$11, 100%, $F$11)</f>
        <v>39.586599999999997</v>
      </c>
      <c r="F880" s="4">
        <f>40.2407 * CHOOSE(CONTROL!$C$15, $D$11, 100%, $F$11)</f>
        <v>40.240699999999997</v>
      </c>
      <c r="G880" s="8">
        <f>38.9214 * CHOOSE( CONTROL!$C$15, $D$11, 100%, $F$11)</f>
        <v>38.921399999999998</v>
      </c>
      <c r="H880" s="4">
        <f>39.8022 * CHOOSE(CONTROL!$C$15, $D$11, 100%, $F$11)</f>
        <v>39.802199999999999</v>
      </c>
      <c r="I880" s="8">
        <f>38.3903 * CHOOSE(CONTROL!$C$15, $D$11, 100%, $F$11)</f>
        <v>38.390300000000003</v>
      </c>
      <c r="J880" s="4">
        <f>38.2481 * CHOOSE(CONTROL!$C$15, $D$11, 100%, $F$11)</f>
        <v>38.248100000000001</v>
      </c>
      <c r="K880" s="4"/>
      <c r="L880" s="9">
        <v>29.306000000000001</v>
      </c>
      <c r="M880" s="9">
        <v>12.063700000000001</v>
      </c>
      <c r="N880" s="9">
        <v>4.9444999999999997</v>
      </c>
      <c r="O880" s="9">
        <v>0.37409999999999999</v>
      </c>
      <c r="P880" s="9">
        <v>1.2927</v>
      </c>
      <c r="Q880" s="9">
        <v>19.688099999999999</v>
      </c>
      <c r="R880" s="9"/>
      <c r="S880" s="11"/>
    </row>
    <row r="881" spans="1:19" ht="15.75">
      <c r="A881" s="13">
        <v>68333</v>
      </c>
      <c r="B881" s="8">
        <f>41.108 * CHOOSE(CONTROL!$C$15, $D$11, 100%, $F$11)</f>
        <v>41.107999999999997</v>
      </c>
      <c r="C881" s="8">
        <f>41.1131 * CHOOSE(CONTROL!$C$15, $D$11, 100%, $F$11)</f>
        <v>41.113100000000003</v>
      </c>
      <c r="D881" s="8">
        <f>41.0873 * CHOOSE( CONTROL!$C$15, $D$11, 100%, $F$11)</f>
        <v>41.087299999999999</v>
      </c>
      <c r="E881" s="12">
        <f>41.0962 * CHOOSE( CONTROL!$C$15, $D$11, 100%, $F$11)</f>
        <v>41.096200000000003</v>
      </c>
      <c r="F881" s="4">
        <f>41.752 * CHOOSE(CONTROL!$C$15, $D$11, 100%, $F$11)</f>
        <v>41.752000000000002</v>
      </c>
      <c r="G881" s="8">
        <f>40.4022 * CHOOSE( CONTROL!$C$15, $D$11, 100%, $F$11)</f>
        <v>40.402200000000001</v>
      </c>
      <c r="H881" s="4">
        <f>41.2885 * CHOOSE(CONTROL!$C$15, $D$11, 100%, $F$11)</f>
        <v>41.288499999999999</v>
      </c>
      <c r="I881" s="8">
        <f>39.8234 * CHOOSE(CONTROL!$C$15, $D$11, 100%, $F$11)</f>
        <v>39.823399999999999</v>
      </c>
      <c r="J881" s="4">
        <f>39.7099 * CHOOSE(CONTROL!$C$15, $D$11, 100%, $F$11)</f>
        <v>39.709899999999998</v>
      </c>
      <c r="K881" s="4"/>
      <c r="L881" s="9">
        <v>29.306000000000001</v>
      </c>
      <c r="M881" s="9">
        <v>12.063700000000001</v>
      </c>
      <c r="N881" s="9">
        <v>4.9444999999999997</v>
      </c>
      <c r="O881" s="9">
        <v>0.37409999999999999</v>
      </c>
      <c r="P881" s="9">
        <v>1.2927</v>
      </c>
      <c r="Q881" s="9">
        <v>19.688099999999999</v>
      </c>
      <c r="R881" s="9"/>
      <c r="S881" s="11"/>
    </row>
    <row r="882" spans="1:19" ht="15.75">
      <c r="A882" s="13">
        <v>68361</v>
      </c>
      <c r="B882" s="8">
        <f>38.4524 * CHOOSE(CONTROL!$C$15, $D$11, 100%, $F$11)</f>
        <v>38.452399999999997</v>
      </c>
      <c r="C882" s="8">
        <f>38.4575 * CHOOSE(CONTROL!$C$15, $D$11, 100%, $F$11)</f>
        <v>38.457500000000003</v>
      </c>
      <c r="D882" s="8">
        <f>38.4319 * CHOOSE( CONTROL!$C$15, $D$11, 100%, $F$11)</f>
        <v>38.431899999999999</v>
      </c>
      <c r="E882" s="12">
        <f>38.4407 * CHOOSE( CONTROL!$C$15, $D$11, 100%, $F$11)</f>
        <v>38.4407</v>
      </c>
      <c r="F882" s="4">
        <f>39.0964 * CHOOSE(CONTROL!$C$15, $D$11, 100%, $F$11)</f>
        <v>39.096400000000003</v>
      </c>
      <c r="G882" s="8">
        <f>37.7908 * CHOOSE( CONTROL!$C$15, $D$11, 100%, $F$11)</f>
        <v>37.790799999999997</v>
      </c>
      <c r="H882" s="4">
        <f>38.6769 * CHOOSE(CONTROL!$C$15, $D$11, 100%, $F$11)</f>
        <v>38.676900000000003</v>
      </c>
      <c r="I882" s="8">
        <f>37.2557 * CHOOSE(CONTROL!$C$15, $D$11, 100%, $F$11)</f>
        <v>37.255699999999997</v>
      </c>
      <c r="J882" s="4">
        <f>37.1427 * CHOOSE(CONTROL!$C$15, $D$11, 100%, $F$11)</f>
        <v>37.142699999999998</v>
      </c>
      <c r="K882" s="4"/>
      <c r="L882" s="9">
        <v>26.469899999999999</v>
      </c>
      <c r="M882" s="9">
        <v>10.8962</v>
      </c>
      <c r="N882" s="9">
        <v>4.4660000000000002</v>
      </c>
      <c r="O882" s="9">
        <v>0.33789999999999998</v>
      </c>
      <c r="P882" s="9">
        <v>1.1676</v>
      </c>
      <c r="Q882" s="9">
        <v>17.782800000000002</v>
      </c>
      <c r="R882" s="9"/>
      <c r="S882" s="11"/>
    </row>
    <row r="883" spans="1:19" ht="15.75">
      <c r="A883" s="13">
        <v>68392</v>
      </c>
      <c r="B883" s="8">
        <f>37.6345 * CHOOSE(CONTROL!$C$15, $D$11, 100%, $F$11)</f>
        <v>37.634500000000003</v>
      </c>
      <c r="C883" s="8">
        <f>37.6396 * CHOOSE(CONTROL!$C$15, $D$11, 100%, $F$11)</f>
        <v>37.639600000000002</v>
      </c>
      <c r="D883" s="8">
        <f>37.6139 * CHOOSE( CONTROL!$C$15, $D$11, 100%, $F$11)</f>
        <v>37.613900000000001</v>
      </c>
      <c r="E883" s="12">
        <f>37.6228 * CHOOSE( CONTROL!$C$15, $D$11, 100%, $F$11)</f>
        <v>37.622799999999998</v>
      </c>
      <c r="F883" s="4">
        <f>38.2785 * CHOOSE(CONTROL!$C$15, $D$11, 100%, $F$11)</f>
        <v>38.278500000000001</v>
      </c>
      <c r="G883" s="8">
        <f>36.9864 * CHOOSE( CONTROL!$C$15, $D$11, 100%, $F$11)</f>
        <v>36.986400000000003</v>
      </c>
      <c r="H883" s="4">
        <f>37.8725 * CHOOSE(CONTROL!$C$15, $D$11, 100%, $F$11)</f>
        <v>37.872500000000002</v>
      </c>
      <c r="I883" s="8">
        <f>36.4644 * CHOOSE(CONTROL!$C$15, $D$11, 100%, $F$11)</f>
        <v>36.464399999999998</v>
      </c>
      <c r="J883" s="4">
        <f>36.3521 * CHOOSE(CONTROL!$C$15, $D$11, 100%, $F$11)</f>
        <v>36.3521</v>
      </c>
      <c r="K883" s="4"/>
      <c r="L883" s="9">
        <v>29.306000000000001</v>
      </c>
      <c r="M883" s="9">
        <v>12.063700000000001</v>
      </c>
      <c r="N883" s="9">
        <v>4.9444999999999997</v>
      </c>
      <c r="O883" s="9">
        <v>0.37409999999999999</v>
      </c>
      <c r="P883" s="9">
        <v>1.2927</v>
      </c>
      <c r="Q883" s="9">
        <v>19.688099999999999</v>
      </c>
      <c r="R883" s="9"/>
      <c r="S883" s="11"/>
    </row>
    <row r="884" spans="1:19" ht="15.75">
      <c r="A884" s="13">
        <v>68422</v>
      </c>
      <c r="B884" s="8">
        <f>38.2068 * CHOOSE(CONTROL!$C$15, $D$11, 100%, $F$11)</f>
        <v>38.206800000000001</v>
      </c>
      <c r="C884" s="8">
        <f>38.2113 * CHOOSE(CONTROL!$C$15, $D$11, 100%, $F$11)</f>
        <v>38.211300000000001</v>
      </c>
      <c r="D884" s="8">
        <f>38.2223 * CHOOSE( CONTROL!$C$15, $D$11, 100%, $F$11)</f>
        <v>38.222299999999997</v>
      </c>
      <c r="E884" s="12">
        <f>38.2182 * CHOOSE( CONTROL!$C$15, $D$11, 100%, $F$11)</f>
        <v>38.218200000000003</v>
      </c>
      <c r="F884" s="4">
        <f>38.8964 * CHOOSE(CONTROL!$C$15, $D$11, 100%, $F$11)</f>
        <v>38.8964</v>
      </c>
      <c r="G884" s="8">
        <f>37.5413 * CHOOSE( CONTROL!$C$15, $D$11, 100%, $F$11)</f>
        <v>37.5413</v>
      </c>
      <c r="H884" s="4">
        <f>38.4802 * CHOOSE(CONTROL!$C$15, $D$11, 100%, $F$11)</f>
        <v>38.480200000000004</v>
      </c>
      <c r="I884" s="8">
        <f>37.0122 * CHOOSE(CONTROL!$C$15, $D$11, 100%, $F$11)</f>
        <v>37.0122</v>
      </c>
      <c r="J884" s="4">
        <f>36.9046 * CHOOSE(CONTROL!$C$15, $D$11, 100%, $F$11)</f>
        <v>36.904600000000002</v>
      </c>
      <c r="K884" s="4"/>
      <c r="L884" s="9">
        <v>30.092199999999998</v>
      </c>
      <c r="M884" s="9">
        <v>11.6745</v>
      </c>
      <c r="N884" s="9">
        <v>4.7850000000000001</v>
      </c>
      <c r="O884" s="9">
        <v>0.36199999999999999</v>
      </c>
      <c r="P884" s="9">
        <v>1.1791</v>
      </c>
      <c r="Q884" s="9">
        <v>19.053000000000001</v>
      </c>
      <c r="R884" s="9"/>
      <c r="S884" s="11"/>
    </row>
    <row r="885" spans="1:19" ht="15.75">
      <c r="A885" s="13">
        <v>68453</v>
      </c>
      <c r="B885" s="8">
        <f>CHOOSE( CONTROL!$C$32, 39.2289, 39.2254) * CHOOSE(CONTROL!$C$15, $D$11, 100%, $F$11)</f>
        <v>39.228900000000003</v>
      </c>
      <c r="C885" s="8">
        <f>CHOOSE( CONTROL!$C$32, 39.2369, 39.2334) * CHOOSE(CONTROL!$C$15, $D$11, 100%, $F$11)</f>
        <v>39.236899999999999</v>
      </c>
      <c r="D885" s="8">
        <f>CHOOSE( CONTROL!$C$32, 39.2429, 39.2394) * CHOOSE( CONTROL!$C$15, $D$11, 100%, $F$11)</f>
        <v>39.242899999999999</v>
      </c>
      <c r="E885" s="12">
        <f>CHOOSE( CONTROL!$C$32, 39.2395, 39.236) * CHOOSE( CONTROL!$C$15, $D$11, 100%, $F$11)</f>
        <v>39.2395</v>
      </c>
      <c r="F885" s="4">
        <f>CHOOSE( CONTROL!$C$32, 39.9172, 39.9136) * CHOOSE(CONTROL!$C$15, $D$11, 100%, $F$11)</f>
        <v>39.917200000000001</v>
      </c>
      <c r="G885" s="8">
        <f>CHOOSE( CONTROL!$C$32, 38.5462, 38.5427) * CHOOSE( CONTROL!$C$15, $D$11, 100%, $F$11)</f>
        <v>38.546199999999999</v>
      </c>
      <c r="H885" s="4">
        <f>CHOOSE( CONTROL!$C$32, 39.4841, 39.4805) * CHOOSE(CONTROL!$C$15, $D$11, 100%, $F$11)</f>
        <v>39.484099999999998</v>
      </c>
      <c r="I885" s="8">
        <f>CHOOSE( CONTROL!$C$32, 38.0004, 37.9969) * CHOOSE(CONTROL!$C$15, $D$11, 100%, $F$11)</f>
        <v>38.000399999999999</v>
      </c>
      <c r="J885" s="4">
        <f>CHOOSE( CONTROL!$C$32, 37.8914, 37.8879) * CHOOSE(CONTROL!$C$15, $D$11, 100%, $F$11)</f>
        <v>37.891399999999997</v>
      </c>
      <c r="K885" s="4"/>
      <c r="L885" s="9">
        <v>30.7165</v>
      </c>
      <c r="M885" s="9">
        <v>12.063700000000001</v>
      </c>
      <c r="N885" s="9">
        <v>4.9444999999999997</v>
      </c>
      <c r="O885" s="9">
        <v>0.37409999999999999</v>
      </c>
      <c r="P885" s="9">
        <v>1.2183999999999999</v>
      </c>
      <c r="Q885" s="9">
        <v>19.688099999999999</v>
      </c>
      <c r="R885" s="9"/>
      <c r="S885" s="11"/>
    </row>
    <row r="886" spans="1:19" ht="15.75">
      <c r="A886" s="13">
        <v>68483</v>
      </c>
      <c r="B886" s="8">
        <f>CHOOSE( CONTROL!$C$32, 38.5988, 38.5952) * CHOOSE(CONTROL!$C$15, $D$11, 100%, $F$11)</f>
        <v>38.598799999999997</v>
      </c>
      <c r="C886" s="8">
        <f>CHOOSE( CONTROL!$C$32, 38.6068, 38.6032) * CHOOSE(CONTROL!$C$15, $D$11, 100%, $F$11)</f>
        <v>38.6068</v>
      </c>
      <c r="D886" s="8">
        <f>CHOOSE( CONTROL!$C$32, 38.6131, 38.6095) * CHOOSE( CONTROL!$C$15, $D$11, 100%, $F$11)</f>
        <v>38.613100000000003</v>
      </c>
      <c r="E886" s="12">
        <f>CHOOSE( CONTROL!$C$32, 38.6096, 38.606) * CHOOSE( CONTROL!$C$15, $D$11, 100%, $F$11)</f>
        <v>38.6096</v>
      </c>
      <c r="F886" s="4">
        <f>CHOOSE( CONTROL!$C$32, 39.2871, 39.2835) * CHOOSE(CONTROL!$C$15, $D$11, 100%, $F$11)</f>
        <v>39.287100000000002</v>
      </c>
      <c r="G886" s="8">
        <f>CHOOSE( CONTROL!$C$32, 37.9269, 37.9234) * CHOOSE( CONTROL!$C$15, $D$11, 100%, $F$11)</f>
        <v>37.926900000000003</v>
      </c>
      <c r="H886" s="4">
        <f>CHOOSE( CONTROL!$C$32, 38.8644, 38.8609) * CHOOSE(CONTROL!$C$15, $D$11, 100%, $F$11)</f>
        <v>38.864400000000003</v>
      </c>
      <c r="I886" s="8">
        <f>CHOOSE( CONTROL!$C$32, 37.3922, 37.3888) * CHOOSE(CONTROL!$C$15, $D$11, 100%, $F$11)</f>
        <v>37.392200000000003</v>
      </c>
      <c r="J886" s="4">
        <f>CHOOSE( CONTROL!$C$32, 37.2822, 37.2788) * CHOOSE(CONTROL!$C$15, $D$11, 100%, $F$11)</f>
        <v>37.282200000000003</v>
      </c>
      <c r="K886" s="4"/>
      <c r="L886" s="9">
        <v>29.7257</v>
      </c>
      <c r="M886" s="9">
        <v>11.6745</v>
      </c>
      <c r="N886" s="9">
        <v>4.7850000000000001</v>
      </c>
      <c r="O886" s="9">
        <v>0.36199999999999999</v>
      </c>
      <c r="P886" s="9">
        <v>1.1791</v>
      </c>
      <c r="Q886" s="9">
        <v>19.053000000000001</v>
      </c>
      <c r="R886" s="9"/>
      <c r="S886" s="11"/>
    </row>
    <row r="887" spans="1:19" ht="15.75">
      <c r="A887" s="13">
        <v>68514</v>
      </c>
      <c r="B887" s="8">
        <f>CHOOSE( CONTROL!$C$32, 40.2582, 40.2546) * CHOOSE(CONTROL!$C$15, $D$11, 100%, $F$11)</f>
        <v>40.258200000000002</v>
      </c>
      <c r="C887" s="8">
        <f>CHOOSE( CONTROL!$C$32, 40.2662, 40.2626) * CHOOSE(CONTROL!$C$15, $D$11, 100%, $F$11)</f>
        <v>40.266199999999998</v>
      </c>
      <c r="D887" s="8">
        <f>CHOOSE( CONTROL!$C$32, 40.2728, 40.2692) * CHOOSE( CONTROL!$C$15, $D$11, 100%, $F$11)</f>
        <v>40.272799999999997</v>
      </c>
      <c r="E887" s="12">
        <f>CHOOSE( CONTROL!$C$32, 40.2692, 40.2656) * CHOOSE( CONTROL!$C$15, $D$11, 100%, $F$11)</f>
        <v>40.269199999999998</v>
      </c>
      <c r="F887" s="4">
        <f>CHOOSE( CONTROL!$C$32, 40.9464, 40.9429) * CHOOSE(CONTROL!$C$15, $D$11, 100%, $F$11)</f>
        <v>40.946399999999997</v>
      </c>
      <c r="G887" s="8">
        <f>CHOOSE( CONTROL!$C$32, 39.5592, 39.5557) * CHOOSE( CONTROL!$C$15, $D$11, 100%, $F$11)</f>
        <v>39.559199999999997</v>
      </c>
      <c r="H887" s="4">
        <f>CHOOSE( CONTROL!$C$32, 40.4962, 40.4927) * CHOOSE(CONTROL!$C$15, $D$11, 100%, $F$11)</f>
        <v>40.496200000000002</v>
      </c>
      <c r="I887" s="8">
        <f>CHOOSE( CONTROL!$C$32, 38.9986, 38.9952) * CHOOSE(CONTROL!$C$15, $D$11, 100%, $F$11)</f>
        <v>38.998600000000003</v>
      </c>
      <c r="J887" s="4">
        <f>CHOOSE( CONTROL!$C$32, 38.8863, 38.8829) * CHOOSE(CONTROL!$C$15, $D$11, 100%, $F$11)</f>
        <v>38.886299999999999</v>
      </c>
      <c r="K887" s="4"/>
      <c r="L887" s="9">
        <v>30.7165</v>
      </c>
      <c r="M887" s="9">
        <v>12.063700000000001</v>
      </c>
      <c r="N887" s="9">
        <v>4.9444999999999997</v>
      </c>
      <c r="O887" s="9">
        <v>0.37409999999999999</v>
      </c>
      <c r="P887" s="9">
        <v>1.2183999999999999</v>
      </c>
      <c r="Q887" s="9">
        <v>19.688099999999999</v>
      </c>
      <c r="R887" s="9"/>
      <c r="S887" s="11"/>
    </row>
    <row r="888" spans="1:19" ht="15.75">
      <c r="A888" s="13">
        <v>68545</v>
      </c>
      <c r="B888" s="8">
        <f>CHOOSE( CONTROL!$C$32, 37.1533, 37.1497) * CHOOSE(CONTROL!$C$15, $D$11, 100%, $F$11)</f>
        <v>37.153300000000002</v>
      </c>
      <c r="C888" s="8">
        <f>CHOOSE( CONTROL!$C$32, 37.1613, 37.1577) * CHOOSE(CONTROL!$C$15, $D$11, 100%, $F$11)</f>
        <v>37.161299999999997</v>
      </c>
      <c r="D888" s="8">
        <f>CHOOSE( CONTROL!$C$32, 37.168, 37.1644) * CHOOSE( CONTROL!$C$15, $D$11, 100%, $F$11)</f>
        <v>37.167999999999999</v>
      </c>
      <c r="E888" s="12">
        <f>CHOOSE( CONTROL!$C$32, 37.1644, 37.1608) * CHOOSE( CONTROL!$C$15, $D$11, 100%, $F$11)</f>
        <v>37.164400000000001</v>
      </c>
      <c r="F888" s="4">
        <f>CHOOSE( CONTROL!$C$32, 37.8416, 37.838) * CHOOSE(CONTROL!$C$15, $D$11, 100%, $F$11)</f>
        <v>37.8416</v>
      </c>
      <c r="G888" s="8">
        <f>CHOOSE( CONTROL!$C$32, 36.506, 36.5025) * CHOOSE( CONTROL!$C$15, $D$11, 100%, $F$11)</f>
        <v>36.506</v>
      </c>
      <c r="H888" s="4">
        <f>CHOOSE( CONTROL!$C$32, 37.4428, 37.4393) * CHOOSE(CONTROL!$C$15, $D$11, 100%, $F$11)</f>
        <v>37.442799999999998</v>
      </c>
      <c r="I888" s="8">
        <f>CHOOSE( CONTROL!$C$32, 35.9961, 35.9927) * CHOOSE(CONTROL!$C$15, $D$11, 100%, $F$11)</f>
        <v>35.996099999999998</v>
      </c>
      <c r="J888" s="4">
        <f>CHOOSE( CONTROL!$C$32, 35.8849, 35.8814) * CHOOSE(CONTROL!$C$15, $D$11, 100%, $F$11)</f>
        <v>35.884900000000002</v>
      </c>
      <c r="K888" s="4"/>
      <c r="L888" s="9">
        <v>30.7165</v>
      </c>
      <c r="M888" s="9">
        <v>12.063700000000001</v>
      </c>
      <c r="N888" s="9">
        <v>4.9444999999999997</v>
      </c>
      <c r="O888" s="9">
        <v>0.37409999999999999</v>
      </c>
      <c r="P888" s="9">
        <v>1.2183999999999999</v>
      </c>
      <c r="Q888" s="9">
        <v>19.688099999999999</v>
      </c>
      <c r="R888" s="9"/>
      <c r="S888" s="11"/>
    </row>
    <row r="889" spans="1:19" ht="15.75">
      <c r="A889" s="13">
        <v>68575</v>
      </c>
      <c r="B889" s="8">
        <f>CHOOSE( CONTROL!$C$32, 36.3758, 36.3722) * CHOOSE(CONTROL!$C$15, $D$11, 100%, $F$11)</f>
        <v>36.375799999999998</v>
      </c>
      <c r="C889" s="8">
        <f>CHOOSE( CONTROL!$C$32, 36.3838, 36.3803) * CHOOSE(CONTROL!$C$15, $D$11, 100%, $F$11)</f>
        <v>36.383800000000001</v>
      </c>
      <c r="D889" s="8">
        <f>CHOOSE( CONTROL!$C$32, 36.3905, 36.3869) * CHOOSE( CONTROL!$C$15, $D$11, 100%, $F$11)</f>
        <v>36.390500000000003</v>
      </c>
      <c r="E889" s="12">
        <f>CHOOSE( CONTROL!$C$32, 36.3869, 36.3833) * CHOOSE( CONTROL!$C$15, $D$11, 100%, $F$11)</f>
        <v>36.386899999999997</v>
      </c>
      <c r="F889" s="4">
        <f>CHOOSE( CONTROL!$C$32, 37.0641, 37.0605) * CHOOSE(CONTROL!$C$15, $D$11, 100%, $F$11)</f>
        <v>37.064100000000003</v>
      </c>
      <c r="G889" s="8">
        <f>CHOOSE( CONTROL!$C$32, 35.7414, 35.7379) * CHOOSE( CONTROL!$C$15, $D$11, 100%, $F$11)</f>
        <v>35.741399999999999</v>
      </c>
      <c r="H889" s="4">
        <f>CHOOSE( CONTROL!$C$32, 36.6782, 36.6747) * CHOOSE(CONTROL!$C$15, $D$11, 100%, $F$11)</f>
        <v>36.678199999999997</v>
      </c>
      <c r="I889" s="8">
        <f>CHOOSE( CONTROL!$C$32, 35.2441, 35.2407) * CHOOSE(CONTROL!$C$15, $D$11, 100%, $F$11)</f>
        <v>35.244100000000003</v>
      </c>
      <c r="J889" s="4">
        <f>CHOOSE( CONTROL!$C$32, 35.1333, 35.1298) * CHOOSE(CONTROL!$C$15, $D$11, 100%, $F$11)</f>
        <v>35.133299999999998</v>
      </c>
      <c r="K889" s="4"/>
      <c r="L889" s="9">
        <v>29.7257</v>
      </c>
      <c r="M889" s="9">
        <v>11.6745</v>
      </c>
      <c r="N889" s="9">
        <v>4.7850000000000001</v>
      </c>
      <c r="O889" s="9">
        <v>0.36199999999999999</v>
      </c>
      <c r="P889" s="9">
        <v>1.1791</v>
      </c>
      <c r="Q889" s="9">
        <v>19.053000000000001</v>
      </c>
      <c r="R889" s="9"/>
      <c r="S889" s="11"/>
    </row>
    <row r="890" spans="1:19" ht="15.75">
      <c r="A890" s="13">
        <v>68606</v>
      </c>
      <c r="B890" s="8">
        <f>37.9849 * CHOOSE(CONTROL!$C$15, $D$11, 100%, $F$11)</f>
        <v>37.984900000000003</v>
      </c>
      <c r="C890" s="8">
        <f>37.9902 * CHOOSE(CONTROL!$C$15, $D$11, 100%, $F$11)</f>
        <v>37.990200000000002</v>
      </c>
      <c r="D890" s="8">
        <f>38.0018 * CHOOSE( CONTROL!$C$15, $D$11, 100%, $F$11)</f>
        <v>38.001800000000003</v>
      </c>
      <c r="E890" s="12">
        <f>37.9974 * CHOOSE( CONTROL!$C$15, $D$11, 100%, $F$11)</f>
        <v>37.997399999999999</v>
      </c>
      <c r="F890" s="4">
        <f>38.6749 * CHOOSE(CONTROL!$C$15, $D$11, 100%, $F$11)</f>
        <v>38.674900000000001</v>
      </c>
      <c r="G890" s="8">
        <f>37.325 * CHOOSE( CONTROL!$C$15, $D$11, 100%, $F$11)</f>
        <v>37.325000000000003</v>
      </c>
      <c r="H890" s="4">
        <f>38.2623 * CHOOSE(CONTROL!$C$15, $D$11, 100%, $F$11)</f>
        <v>38.262300000000003</v>
      </c>
      <c r="I890" s="8">
        <f>36.8028 * CHOOSE(CONTROL!$C$15, $D$11, 100%, $F$11)</f>
        <v>36.802799999999998</v>
      </c>
      <c r="J890" s="4">
        <f>36.6904 * CHOOSE(CONTROL!$C$15, $D$11, 100%, $F$11)</f>
        <v>36.690399999999997</v>
      </c>
      <c r="K890" s="4"/>
      <c r="L890" s="9">
        <v>31.095300000000002</v>
      </c>
      <c r="M890" s="9">
        <v>12.063700000000001</v>
      </c>
      <c r="N890" s="9">
        <v>4.9444999999999997</v>
      </c>
      <c r="O890" s="9">
        <v>0.37409999999999999</v>
      </c>
      <c r="P890" s="9">
        <v>1.2183999999999999</v>
      </c>
      <c r="Q890" s="9">
        <v>19.688099999999999</v>
      </c>
      <c r="R890" s="9"/>
      <c r="S890" s="11"/>
    </row>
    <row r="891" spans="1:19" ht="15.75">
      <c r="A891" s="13">
        <v>68636</v>
      </c>
      <c r="B891" s="8">
        <f>40.9642 * CHOOSE(CONTROL!$C$15, $D$11, 100%, $F$11)</f>
        <v>40.964199999999998</v>
      </c>
      <c r="C891" s="8">
        <f>40.9693 * CHOOSE(CONTROL!$C$15, $D$11, 100%, $F$11)</f>
        <v>40.969299999999997</v>
      </c>
      <c r="D891" s="8">
        <f>40.9463 * CHOOSE( CONTROL!$C$15, $D$11, 100%, $F$11)</f>
        <v>40.946300000000001</v>
      </c>
      <c r="E891" s="12">
        <f>40.9542 * CHOOSE( CONTROL!$C$15, $D$11, 100%, $F$11)</f>
        <v>40.9542</v>
      </c>
      <c r="F891" s="4">
        <f>41.6091 * CHOOSE(CONTROL!$C$15, $D$11, 100%, $F$11)</f>
        <v>41.609099999999998</v>
      </c>
      <c r="G891" s="8">
        <f>40.2661 * CHOOSE( CONTROL!$C$15, $D$11, 100%, $F$11)</f>
        <v>40.266100000000002</v>
      </c>
      <c r="H891" s="4">
        <f>41.1479 * CHOOSE(CONTROL!$C$15, $D$11, 100%, $F$11)</f>
        <v>41.1479</v>
      </c>
      <c r="I891" s="8">
        <f>39.7094 * CHOOSE(CONTROL!$C$15, $D$11, 100%, $F$11)</f>
        <v>39.709400000000002</v>
      </c>
      <c r="J891" s="4">
        <f>39.5709 * CHOOSE(CONTROL!$C$15, $D$11, 100%, $F$11)</f>
        <v>39.570900000000002</v>
      </c>
      <c r="K891" s="4"/>
      <c r="L891" s="9">
        <v>28.360600000000002</v>
      </c>
      <c r="M891" s="9">
        <v>11.6745</v>
      </c>
      <c r="N891" s="9">
        <v>4.7850000000000001</v>
      </c>
      <c r="O891" s="9">
        <v>0.36199999999999999</v>
      </c>
      <c r="P891" s="9">
        <v>1.2509999999999999</v>
      </c>
      <c r="Q891" s="9">
        <v>19.053000000000001</v>
      </c>
      <c r="R891" s="9"/>
      <c r="S891" s="11"/>
    </row>
    <row r="892" spans="1:19" ht="15.75">
      <c r="A892" s="13">
        <v>68667</v>
      </c>
      <c r="B892" s="8">
        <f>40.8898 * CHOOSE(CONTROL!$C$15, $D$11, 100%, $F$11)</f>
        <v>40.889800000000001</v>
      </c>
      <c r="C892" s="8">
        <f>40.8949 * CHOOSE(CONTROL!$C$15, $D$11, 100%, $F$11)</f>
        <v>40.8949</v>
      </c>
      <c r="D892" s="8">
        <f>40.8732 * CHOOSE( CONTROL!$C$15, $D$11, 100%, $F$11)</f>
        <v>40.873199999999997</v>
      </c>
      <c r="E892" s="12">
        <f>40.8806 * CHOOSE( CONTROL!$C$15, $D$11, 100%, $F$11)</f>
        <v>40.880600000000001</v>
      </c>
      <c r="F892" s="4">
        <f>41.5347 * CHOOSE(CONTROL!$C$15, $D$11, 100%, $F$11)</f>
        <v>41.534700000000001</v>
      </c>
      <c r="G892" s="8">
        <f>40.1939 * CHOOSE( CONTROL!$C$15, $D$11, 100%, $F$11)</f>
        <v>40.193899999999999</v>
      </c>
      <c r="H892" s="4">
        <f>41.0747 * CHOOSE(CONTROL!$C$15, $D$11, 100%, $F$11)</f>
        <v>41.0747</v>
      </c>
      <c r="I892" s="8">
        <f>39.6418 * CHOOSE(CONTROL!$C$15, $D$11, 100%, $F$11)</f>
        <v>39.641800000000003</v>
      </c>
      <c r="J892" s="4">
        <f>39.499 * CHOOSE(CONTROL!$C$15, $D$11, 100%, $F$11)</f>
        <v>39.499000000000002</v>
      </c>
      <c r="K892" s="4"/>
      <c r="L892" s="9">
        <v>29.306000000000001</v>
      </c>
      <c r="M892" s="9">
        <v>12.063700000000001</v>
      </c>
      <c r="N892" s="9">
        <v>4.9444999999999997</v>
      </c>
      <c r="O892" s="9">
        <v>0.37409999999999999</v>
      </c>
      <c r="P892" s="9">
        <v>1.2927</v>
      </c>
      <c r="Q892" s="9">
        <v>19.688099999999999</v>
      </c>
      <c r="R892" s="9"/>
      <c r="S892" s="11"/>
    </row>
    <row r="893" spans="1:19" ht="15.75">
      <c r="A893" s="13">
        <v>68698</v>
      </c>
      <c r="B893" s="8">
        <f>42.4514 * CHOOSE(CONTROL!$C$15, $D$11, 100%, $F$11)</f>
        <v>42.4514</v>
      </c>
      <c r="C893" s="8">
        <f>42.4565 * CHOOSE(CONTROL!$C$15, $D$11, 100%, $F$11)</f>
        <v>42.456499999999998</v>
      </c>
      <c r="D893" s="8">
        <f>42.4307 * CHOOSE( CONTROL!$C$15, $D$11, 100%, $F$11)</f>
        <v>42.430700000000002</v>
      </c>
      <c r="E893" s="12">
        <f>42.4396 * CHOOSE( CONTROL!$C$15, $D$11, 100%, $F$11)</f>
        <v>42.439599999999999</v>
      </c>
      <c r="F893" s="4">
        <f>43.0954 * CHOOSE(CONTROL!$C$15, $D$11, 100%, $F$11)</f>
        <v>43.095399999999998</v>
      </c>
      <c r="G893" s="8">
        <f>41.7233 * CHOOSE( CONTROL!$C$15, $D$11, 100%, $F$11)</f>
        <v>41.723300000000002</v>
      </c>
      <c r="H893" s="4">
        <f>42.6096 * CHOOSE(CONTROL!$C$15, $D$11, 100%, $F$11)</f>
        <v>42.6096</v>
      </c>
      <c r="I893" s="8">
        <f>41.1227 * CHOOSE(CONTROL!$C$15, $D$11, 100%, $F$11)</f>
        <v>41.122700000000002</v>
      </c>
      <c r="J893" s="4">
        <f>41.0086 * CHOOSE(CONTROL!$C$15, $D$11, 100%, $F$11)</f>
        <v>41.008600000000001</v>
      </c>
      <c r="K893" s="4"/>
      <c r="L893" s="9">
        <v>29.306000000000001</v>
      </c>
      <c r="M893" s="9">
        <v>12.063700000000001</v>
      </c>
      <c r="N893" s="9">
        <v>4.9444999999999997</v>
      </c>
      <c r="O893" s="9">
        <v>0.37409999999999999</v>
      </c>
      <c r="P893" s="9">
        <v>1.2927</v>
      </c>
      <c r="Q893" s="9">
        <v>19.688099999999999</v>
      </c>
      <c r="R893" s="9"/>
      <c r="S893" s="11"/>
    </row>
    <row r="894" spans="1:19" ht="15.75">
      <c r="A894" s="13">
        <v>68727</v>
      </c>
      <c r="B894" s="8">
        <f>39.7089 * CHOOSE(CONTROL!$C$15, $D$11, 100%, $F$11)</f>
        <v>39.7089</v>
      </c>
      <c r="C894" s="8">
        <f>39.714 * CHOOSE(CONTROL!$C$15, $D$11, 100%, $F$11)</f>
        <v>39.713999999999999</v>
      </c>
      <c r="D894" s="8">
        <f>39.6884 * CHOOSE( CONTROL!$C$15, $D$11, 100%, $F$11)</f>
        <v>39.688400000000001</v>
      </c>
      <c r="E894" s="12">
        <f>39.6972 * CHOOSE( CONTROL!$C$15, $D$11, 100%, $F$11)</f>
        <v>39.697200000000002</v>
      </c>
      <c r="F894" s="4">
        <f>40.353 * CHOOSE(CONTROL!$C$15, $D$11, 100%, $F$11)</f>
        <v>40.353000000000002</v>
      </c>
      <c r="G894" s="8">
        <f>39.0265 * CHOOSE( CONTROL!$C$15, $D$11, 100%, $F$11)</f>
        <v>39.026499999999999</v>
      </c>
      <c r="H894" s="4">
        <f>39.9126 * CHOOSE(CONTROL!$C$15, $D$11, 100%, $F$11)</f>
        <v>39.912599999999998</v>
      </c>
      <c r="I894" s="8">
        <f>38.471 * CHOOSE(CONTROL!$C$15, $D$11, 100%, $F$11)</f>
        <v>38.470999999999997</v>
      </c>
      <c r="J894" s="4">
        <f>38.3575 * CHOOSE(CONTROL!$C$15, $D$11, 100%, $F$11)</f>
        <v>38.357500000000002</v>
      </c>
      <c r="K894" s="4"/>
      <c r="L894" s="9">
        <v>27.415299999999998</v>
      </c>
      <c r="M894" s="9">
        <v>11.285299999999999</v>
      </c>
      <c r="N894" s="9">
        <v>4.6254999999999997</v>
      </c>
      <c r="O894" s="9">
        <v>0.34989999999999999</v>
      </c>
      <c r="P894" s="9">
        <v>1.2093</v>
      </c>
      <c r="Q894" s="9">
        <v>18.417899999999999</v>
      </c>
      <c r="R894" s="9"/>
      <c r="S894" s="11"/>
    </row>
    <row r="895" spans="1:19" ht="15.75">
      <c r="A895" s="13">
        <v>68758</v>
      </c>
      <c r="B895" s="8">
        <f>38.8643 * CHOOSE(CONTROL!$C$15, $D$11, 100%, $F$11)</f>
        <v>38.8643</v>
      </c>
      <c r="C895" s="8">
        <f>38.8694 * CHOOSE(CONTROL!$C$15, $D$11, 100%, $F$11)</f>
        <v>38.869399999999999</v>
      </c>
      <c r="D895" s="8">
        <f>38.8437 * CHOOSE( CONTROL!$C$15, $D$11, 100%, $F$11)</f>
        <v>38.843699999999998</v>
      </c>
      <c r="E895" s="12">
        <f>38.8526 * CHOOSE( CONTROL!$C$15, $D$11, 100%, $F$11)</f>
        <v>38.852600000000002</v>
      </c>
      <c r="F895" s="4">
        <f>39.5083 * CHOOSE(CONTROL!$C$15, $D$11, 100%, $F$11)</f>
        <v>39.508299999999998</v>
      </c>
      <c r="G895" s="8">
        <f>38.1958 * CHOOSE( CONTROL!$C$15, $D$11, 100%, $F$11)</f>
        <v>38.195799999999998</v>
      </c>
      <c r="H895" s="4">
        <f>39.0819 * CHOOSE(CONTROL!$C$15, $D$11, 100%, $F$11)</f>
        <v>39.081899999999997</v>
      </c>
      <c r="I895" s="8">
        <f>37.6538 * CHOOSE(CONTROL!$C$15, $D$11, 100%, $F$11)</f>
        <v>37.653799999999997</v>
      </c>
      <c r="J895" s="4">
        <f>37.5409 * CHOOSE(CONTROL!$C$15, $D$11, 100%, $F$11)</f>
        <v>37.540900000000001</v>
      </c>
      <c r="K895" s="4"/>
      <c r="L895" s="9">
        <v>29.306000000000001</v>
      </c>
      <c r="M895" s="9">
        <v>12.063700000000001</v>
      </c>
      <c r="N895" s="9">
        <v>4.9444999999999997</v>
      </c>
      <c r="O895" s="9">
        <v>0.37409999999999999</v>
      </c>
      <c r="P895" s="9">
        <v>1.2927</v>
      </c>
      <c r="Q895" s="9">
        <v>19.688099999999999</v>
      </c>
      <c r="R895" s="9"/>
      <c r="S895" s="11"/>
    </row>
    <row r="896" spans="1:19" ht="15.75">
      <c r="A896" s="13">
        <v>68788</v>
      </c>
      <c r="B896" s="8">
        <f>39.4553 * CHOOSE(CONTROL!$C$15, $D$11, 100%, $F$11)</f>
        <v>39.455300000000001</v>
      </c>
      <c r="C896" s="8">
        <f>39.4598 * CHOOSE(CONTROL!$C$15, $D$11, 100%, $F$11)</f>
        <v>39.459800000000001</v>
      </c>
      <c r="D896" s="8">
        <f>39.4708 * CHOOSE( CONTROL!$C$15, $D$11, 100%, $F$11)</f>
        <v>39.470799999999997</v>
      </c>
      <c r="E896" s="12">
        <f>39.4667 * CHOOSE( CONTROL!$C$15, $D$11, 100%, $F$11)</f>
        <v>39.466700000000003</v>
      </c>
      <c r="F896" s="4">
        <f>40.1449 * CHOOSE(CONTROL!$C$15, $D$11, 100%, $F$11)</f>
        <v>40.1449</v>
      </c>
      <c r="G896" s="8">
        <f>38.7691 * CHOOSE( CONTROL!$C$15, $D$11, 100%, $F$11)</f>
        <v>38.769100000000002</v>
      </c>
      <c r="H896" s="4">
        <f>39.708 * CHOOSE(CONTROL!$C$15, $D$11, 100%, $F$11)</f>
        <v>39.707999999999998</v>
      </c>
      <c r="I896" s="8">
        <f>38.2197 * CHOOSE(CONTROL!$C$15, $D$11, 100%, $F$11)</f>
        <v>38.219700000000003</v>
      </c>
      <c r="J896" s="4">
        <f>38.1115 * CHOOSE(CONTROL!$C$15, $D$11, 100%, $F$11)</f>
        <v>38.111499999999999</v>
      </c>
      <c r="K896" s="4"/>
      <c r="L896" s="9">
        <v>30.092199999999998</v>
      </c>
      <c r="M896" s="9">
        <v>11.6745</v>
      </c>
      <c r="N896" s="9">
        <v>4.7850000000000001</v>
      </c>
      <c r="O896" s="9">
        <v>0.36199999999999999</v>
      </c>
      <c r="P896" s="9">
        <v>1.1791</v>
      </c>
      <c r="Q896" s="9">
        <v>19.053000000000001</v>
      </c>
      <c r="R896" s="9"/>
      <c r="S896" s="11"/>
    </row>
    <row r="897" spans="1:19" ht="15.75">
      <c r="A897" s="13">
        <v>68819</v>
      </c>
      <c r="B897" s="8">
        <f>CHOOSE( CONTROL!$C$32, 40.5107, 40.5071) * CHOOSE(CONTROL!$C$15, $D$11, 100%, $F$11)</f>
        <v>40.5107</v>
      </c>
      <c r="C897" s="8">
        <f>CHOOSE( CONTROL!$C$32, 40.5187, 40.5151) * CHOOSE(CONTROL!$C$15, $D$11, 100%, $F$11)</f>
        <v>40.518700000000003</v>
      </c>
      <c r="D897" s="8">
        <f>CHOOSE( CONTROL!$C$32, 40.5247, 40.5211) * CHOOSE( CONTROL!$C$15, $D$11, 100%, $F$11)</f>
        <v>40.524700000000003</v>
      </c>
      <c r="E897" s="12">
        <f>CHOOSE( CONTROL!$C$32, 40.5213, 40.5177) * CHOOSE( CONTROL!$C$15, $D$11, 100%, $F$11)</f>
        <v>40.521299999999997</v>
      </c>
      <c r="F897" s="4">
        <f>CHOOSE( CONTROL!$C$32, 41.199, 41.1954) * CHOOSE(CONTROL!$C$15, $D$11, 100%, $F$11)</f>
        <v>41.198999999999998</v>
      </c>
      <c r="G897" s="8">
        <f>CHOOSE( CONTROL!$C$32, 39.8067, 39.8032) * CHOOSE( CONTROL!$C$15, $D$11, 100%, $F$11)</f>
        <v>39.806699999999999</v>
      </c>
      <c r="H897" s="4">
        <f>CHOOSE( CONTROL!$C$32, 40.7446, 40.7411) * CHOOSE(CONTROL!$C$15, $D$11, 100%, $F$11)</f>
        <v>40.744599999999998</v>
      </c>
      <c r="I897" s="8">
        <f>CHOOSE( CONTROL!$C$32, 39.2401, 39.2366) * CHOOSE(CONTROL!$C$15, $D$11, 100%, $F$11)</f>
        <v>39.240099999999998</v>
      </c>
      <c r="J897" s="4">
        <f>CHOOSE( CONTROL!$C$32, 39.1304, 39.127) * CHOOSE(CONTROL!$C$15, $D$11, 100%, $F$11)</f>
        <v>39.130400000000002</v>
      </c>
      <c r="K897" s="4"/>
      <c r="L897" s="9">
        <v>30.7165</v>
      </c>
      <c r="M897" s="9">
        <v>12.063700000000001</v>
      </c>
      <c r="N897" s="9">
        <v>4.9444999999999997</v>
      </c>
      <c r="O897" s="9">
        <v>0.37409999999999999</v>
      </c>
      <c r="P897" s="9">
        <v>1.2183999999999999</v>
      </c>
      <c r="Q897" s="9">
        <v>19.688099999999999</v>
      </c>
      <c r="R897" s="9"/>
      <c r="S897" s="11"/>
    </row>
    <row r="898" spans="1:19" ht="15.75">
      <c r="A898" s="13">
        <v>68849</v>
      </c>
      <c r="B898" s="8">
        <f>CHOOSE( CONTROL!$C$32, 39.8599, 39.8564) * CHOOSE(CONTROL!$C$15, $D$11, 100%, $F$11)</f>
        <v>39.859900000000003</v>
      </c>
      <c r="C898" s="8">
        <f>CHOOSE( CONTROL!$C$32, 39.868, 39.8644) * CHOOSE(CONTROL!$C$15, $D$11, 100%, $F$11)</f>
        <v>39.868000000000002</v>
      </c>
      <c r="D898" s="8">
        <f>CHOOSE( CONTROL!$C$32, 39.8742, 39.8707) * CHOOSE( CONTROL!$C$15, $D$11, 100%, $F$11)</f>
        <v>39.874200000000002</v>
      </c>
      <c r="E898" s="12">
        <f>CHOOSE( CONTROL!$C$32, 39.8707, 39.8672) * CHOOSE( CONTROL!$C$15, $D$11, 100%, $F$11)</f>
        <v>39.870699999999999</v>
      </c>
      <c r="F898" s="4">
        <f>CHOOSE( CONTROL!$C$32, 40.5482, 40.5446) * CHOOSE(CONTROL!$C$15, $D$11, 100%, $F$11)</f>
        <v>40.548200000000001</v>
      </c>
      <c r="G898" s="8">
        <f>CHOOSE( CONTROL!$C$32, 39.1672, 39.1637) * CHOOSE( CONTROL!$C$15, $D$11, 100%, $F$11)</f>
        <v>39.167200000000001</v>
      </c>
      <c r="H898" s="4">
        <f>CHOOSE( CONTROL!$C$32, 40.1046, 40.1011) * CHOOSE(CONTROL!$C$15, $D$11, 100%, $F$11)</f>
        <v>40.104599999999998</v>
      </c>
      <c r="I898" s="8">
        <f>CHOOSE( CONTROL!$C$32, 38.612, 38.6086) * CHOOSE(CONTROL!$C$15, $D$11, 100%, $F$11)</f>
        <v>38.612000000000002</v>
      </c>
      <c r="J898" s="4">
        <f>CHOOSE( CONTROL!$C$32, 38.5014, 38.4979) * CHOOSE(CONTROL!$C$15, $D$11, 100%, $F$11)</f>
        <v>38.501399999999997</v>
      </c>
      <c r="K898" s="4"/>
      <c r="L898" s="9">
        <v>29.7257</v>
      </c>
      <c r="M898" s="9">
        <v>11.6745</v>
      </c>
      <c r="N898" s="9">
        <v>4.7850000000000001</v>
      </c>
      <c r="O898" s="9">
        <v>0.36199999999999999</v>
      </c>
      <c r="P898" s="9">
        <v>1.1791</v>
      </c>
      <c r="Q898" s="9">
        <v>19.053000000000001</v>
      </c>
      <c r="R898" s="9"/>
      <c r="S898" s="11"/>
    </row>
    <row r="899" spans="1:19" ht="15.75">
      <c r="A899" s="13">
        <v>68880</v>
      </c>
      <c r="B899" s="8">
        <f>CHOOSE( CONTROL!$C$32, 41.5736, 41.57) * CHOOSE(CONTROL!$C$15, $D$11, 100%, $F$11)</f>
        <v>41.573599999999999</v>
      </c>
      <c r="C899" s="8">
        <f>CHOOSE( CONTROL!$C$32, 41.5816, 41.578) * CHOOSE(CONTROL!$C$15, $D$11, 100%, $F$11)</f>
        <v>41.581600000000002</v>
      </c>
      <c r="D899" s="8">
        <f>CHOOSE( CONTROL!$C$32, 41.5882, 41.5846) * CHOOSE( CONTROL!$C$15, $D$11, 100%, $F$11)</f>
        <v>41.588200000000001</v>
      </c>
      <c r="E899" s="12">
        <f>CHOOSE( CONTROL!$C$32, 41.5846, 41.581) * CHOOSE( CONTROL!$C$15, $D$11, 100%, $F$11)</f>
        <v>41.584600000000002</v>
      </c>
      <c r="F899" s="4">
        <f>CHOOSE( CONTROL!$C$32, 42.2619, 42.2583) * CHOOSE(CONTROL!$C$15, $D$11, 100%, $F$11)</f>
        <v>42.261899999999997</v>
      </c>
      <c r="G899" s="8">
        <f>CHOOSE( CONTROL!$C$32, 40.8529, 40.8493) * CHOOSE( CONTROL!$C$15, $D$11, 100%, $F$11)</f>
        <v>40.852899999999998</v>
      </c>
      <c r="H899" s="4">
        <f>CHOOSE( CONTROL!$C$32, 41.7898, 41.7863) * CHOOSE(CONTROL!$C$15, $D$11, 100%, $F$11)</f>
        <v>41.7898</v>
      </c>
      <c r="I899" s="8">
        <f>CHOOSE( CONTROL!$C$32, 40.2709, 40.2674) * CHOOSE(CONTROL!$C$15, $D$11, 100%, $F$11)</f>
        <v>40.270899999999997</v>
      </c>
      <c r="J899" s="4">
        <f>CHOOSE( CONTROL!$C$32, 40.1579, 40.1545) * CHOOSE(CONTROL!$C$15, $D$11, 100%, $F$11)</f>
        <v>40.157899999999998</v>
      </c>
      <c r="K899" s="4"/>
      <c r="L899" s="9">
        <v>30.7165</v>
      </c>
      <c r="M899" s="9">
        <v>12.063700000000001</v>
      </c>
      <c r="N899" s="9">
        <v>4.9444999999999997</v>
      </c>
      <c r="O899" s="9">
        <v>0.37409999999999999</v>
      </c>
      <c r="P899" s="9">
        <v>1.2183999999999999</v>
      </c>
      <c r="Q899" s="9">
        <v>19.688099999999999</v>
      </c>
      <c r="R899" s="9"/>
      <c r="S899" s="11"/>
    </row>
    <row r="900" spans="1:19" ht="15.75">
      <c r="A900" s="13">
        <v>68911</v>
      </c>
      <c r="B900" s="8">
        <f>CHOOSE( CONTROL!$C$32, 38.3672, 38.3636) * CHOOSE(CONTROL!$C$15, $D$11, 100%, $F$11)</f>
        <v>38.367199999999997</v>
      </c>
      <c r="C900" s="8">
        <f>CHOOSE( CONTROL!$C$32, 38.3752, 38.3716) * CHOOSE(CONTROL!$C$15, $D$11, 100%, $F$11)</f>
        <v>38.3752</v>
      </c>
      <c r="D900" s="8">
        <f>CHOOSE( CONTROL!$C$32, 38.3819, 38.3783) * CHOOSE( CONTROL!$C$15, $D$11, 100%, $F$11)</f>
        <v>38.381900000000002</v>
      </c>
      <c r="E900" s="12">
        <f>CHOOSE( CONTROL!$C$32, 38.3783, 38.3747) * CHOOSE( CONTROL!$C$15, $D$11, 100%, $F$11)</f>
        <v>38.378300000000003</v>
      </c>
      <c r="F900" s="4">
        <f>CHOOSE( CONTROL!$C$32, 39.0554, 39.0519) * CHOOSE(CONTROL!$C$15, $D$11, 100%, $F$11)</f>
        <v>39.055399999999999</v>
      </c>
      <c r="G900" s="8">
        <f>CHOOSE( CONTROL!$C$32, 37.6998, 37.6963) * CHOOSE( CONTROL!$C$15, $D$11, 100%, $F$11)</f>
        <v>37.699800000000003</v>
      </c>
      <c r="H900" s="4">
        <f>CHOOSE( CONTROL!$C$32, 38.6366, 38.6331) * CHOOSE(CONTROL!$C$15, $D$11, 100%, $F$11)</f>
        <v>38.636600000000001</v>
      </c>
      <c r="I900" s="8">
        <f>CHOOSE( CONTROL!$C$32, 37.1702, 37.1667) * CHOOSE(CONTROL!$C$15, $D$11, 100%, $F$11)</f>
        <v>37.170200000000001</v>
      </c>
      <c r="J900" s="4">
        <f>CHOOSE( CONTROL!$C$32, 37.0583, 37.0549) * CHOOSE(CONTROL!$C$15, $D$11, 100%, $F$11)</f>
        <v>37.058300000000003</v>
      </c>
      <c r="K900" s="4"/>
      <c r="L900" s="9">
        <v>30.7165</v>
      </c>
      <c r="M900" s="9">
        <v>12.063700000000001</v>
      </c>
      <c r="N900" s="9">
        <v>4.9444999999999997</v>
      </c>
      <c r="O900" s="9">
        <v>0.37409999999999999</v>
      </c>
      <c r="P900" s="9">
        <v>1.2183999999999999</v>
      </c>
      <c r="Q900" s="9">
        <v>19.688099999999999</v>
      </c>
      <c r="R900" s="9"/>
      <c r="S900" s="11"/>
    </row>
    <row r="901" spans="1:19" ht="15.75">
      <c r="A901" s="13">
        <v>68941</v>
      </c>
      <c r="B901" s="8">
        <f>CHOOSE( CONTROL!$C$32, 37.5643, 37.5607) * CHOOSE(CONTROL!$C$15, $D$11, 100%, $F$11)</f>
        <v>37.564300000000003</v>
      </c>
      <c r="C901" s="8">
        <f>CHOOSE( CONTROL!$C$32, 37.5723, 37.5687) * CHOOSE(CONTROL!$C$15, $D$11, 100%, $F$11)</f>
        <v>37.572299999999998</v>
      </c>
      <c r="D901" s="8">
        <f>CHOOSE( CONTROL!$C$32, 37.579, 37.5754) * CHOOSE( CONTROL!$C$15, $D$11, 100%, $F$11)</f>
        <v>37.579000000000001</v>
      </c>
      <c r="E901" s="12">
        <f>CHOOSE( CONTROL!$C$32, 37.5754, 37.5718) * CHOOSE( CONTROL!$C$15, $D$11, 100%, $F$11)</f>
        <v>37.575400000000002</v>
      </c>
      <c r="F901" s="4">
        <f>CHOOSE( CONTROL!$C$32, 38.2525, 38.249) * CHOOSE(CONTROL!$C$15, $D$11, 100%, $F$11)</f>
        <v>38.252499999999998</v>
      </c>
      <c r="G901" s="8">
        <f>CHOOSE( CONTROL!$C$32, 36.9101, 36.9066) * CHOOSE( CONTROL!$C$15, $D$11, 100%, $F$11)</f>
        <v>36.9101</v>
      </c>
      <c r="H901" s="4">
        <f>CHOOSE( CONTROL!$C$32, 37.847, 37.8435) * CHOOSE(CONTROL!$C$15, $D$11, 100%, $F$11)</f>
        <v>37.847000000000001</v>
      </c>
      <c r="I901" s="8">
        <f>CHOOSE( CONTROL!$C$32, 36.3936, 36.3901) * CHOOSE(CONTROL!$C$15, $D$11, 100%, $F$11)</f>
        <v>36.393599999999999</v>
      </c>
      <c r="J901" s="4">
        <f>CHOOSE( CONTROL!$C$32, 36.2821, 36.2787) * CHOOSE(CONTROL!$C$15, $D$11, 100%, $F$11)</f>
        <v>36.2821</v>
      </c>
      <c r="K901" s="4"/>
      <c r="L901" s="9">
        <v>29.7257</v>
      </c>
      <c r="M901" s="9">
        <v>11.6745</v>
      </c>
      <c r="N901" s="9">
        <v>4.7850000000000001</v>
      </c>
      <c r="O901" s="9">
        <v>0.36199999999999999</v>
      </c>
      <c r="P901" s="9">
        <v>1.1791</v>
      </c>
      <c r="Q901" s="9">
        <v>19.053000000000001</v>
      </c>
      <c r="R901" s="9"/>
      <c r="S901" s="11"/>
    </row>
    <row r="902" spans="1:19" ht="15.75">
      <c r="A902" s="13">
        <v>68972</v>
      </c>
      <c r="B902" s="8">
        <f>39.2261 * CHOOSE(CONTROL!$C$15, $D$11, 100%, $F$11)</f>
        <v>39.226100000000002</v>
      </c>
      <c r="C902" s="8">
        <f>39.2315 * CHOOSE(CONTROL!$C$15, $D$11, 100%, $F$11)</f>
        <v>39.231499999999997</v>
      </c>
      <c r="D902" s="8">
        <f>39.243 * CHOOSE( CONTROL!$C$15, $D$11, 100%, $F$11)</f>
        <v>39.243000000000002</v>
      </c>
      <c r="E902" s="12">
        <f>39.2386 * CHOOSE( CONTROL!$C$15, $D$11, 100%, $F$11)</f>
        <v>39.238599999999998</v>
      </c>
      <c r="F902" s="4">
        <f>39.9161 * CHOOSE(CONTROL!$C$15, $D$11, 100%, $F$11)</f>
        <v>39.9161</v>
      </c>
      <c r="G902" s="8">
        <f>38.5456 * CHOOSE( CONTROL!$C$15, $D$11, 100%, $F$11)</f>
        <v>38.5456</v>
      </c>
      <c r="H902" s="4">
        <f>39.483 * CHOOSE(CONTROL!$C$15, $D$11, 100%, $F$11)</f>
        <v>39.482999999999997</v>
      </c>
      <c r="I902" s="8">
        <f>38.0033 * CHOOSE(CONTROL!$C$15, $D$11, 100%, $F$11)</f>
        <v>38.003300000000003</v>
      </c>
      <c r="J902" s="4">
        <f>37.8903 * CHOOSE(CONTROL!$C$15, $D$11, 100%, $F$11)</f>
        <v>37.890300000000003</v>
      </c>
      <c r="K902" s="4"/>
      <c r="L902" s="9">
        <v>31.095300000000002</v>
      </c>
      <c r="M902" s="9">
        <v>12.063700000000001</v>
      </c>
      <c r="N902" s="9">
        <v>4.9444999999999997</v>
      </c>
      <c r="O902" s="9">
        <v>0.37409999999999999</v>
      </c>
      <c r="P902" s="9">
        <v>1.2183999999999999</v>
      </c>
      <c r="Q902" s="9">
        <v>19.688099999999999</v>
      </c>
      <c r="R902" s="9"/>
      <c r="S902" s="11"/>
    </row>
    <row r="903" spans="1:19" ht="15.75">
      <c r="A903" s="13">
        <v>69002</v>
      </c>
      <c r="B903" s="8">
        <f>42.3029 * CHOOSE(CONTROL!$C$15, $D$11, 100%, $F$11)</f>
        <v>42.302900000000001</v>
      </c>
      <c r="C903" s="8">
        <f>42.308 * CHOOSE(CONTROL!$C$15, $D$11, 100%, $F$11)</f>
        <v>42.308</v>
      </c>
      <c r="D903" s="8">
        <f>42.285 * CHOOSE( CONTROL!$C$15, $D$11, 100%, $F$11)</f>
        <v>42.284999999999997</v>
      </c>
      <c r="E903" s="12">
        <f>42.2929 * CHOOSE( CONTROL!$C$15, $D$11, 100%, $F$11)</f>
        <v>42.292900000000003</v>
      </c>
      <c r="F903" s="4">
        <f>42.9478 * CHOOSE(CONTROL!$C$15, $D$11, 100%, $F$11)</f>
        <v>42.947800000000001</v>
      </c>
      <c r="G903" s="8">
        <f>41.5826 * CHOOSE( CONTROL!$C$15, $D$11, 100%, $F$11)</f>
        <v>41.582599999999999</v>
      </c>
      <c r="H903" s="4">
        <f>42.4644 * CHOOSE(CONTROL!$C$15, $D$11, 100%, $F$11)</f>
        <v>42.464399999999998</v>
      </c>
      <c r="I903" s="8">
        <f>41.0042 * CHOOSE(CONTROL!$C$15, $D$11, 100%, $F$11)</f>
        <v>41.004199999999997</v>
      </c>
      <c r="J903" s="4">
        <f>40.865 * CHOOSE(CONTROL!$C$15, $D$11, 100%, $F$11)</f>
        <v>40.865000000000002</v>
      </c>
      <c r="K903" s="4"/>
      <c r="L903" s="9">
        <v>28.360600000000002</v>
      </c>
      <c r="M903" s="9">
        <v>11.6745</v>
      </c>
      <c r="N903" s="9">
        <v>4.7850000000000001</v>
      </c>
      <c r="O903" s="9">
        <v>0.36199999999999999</v>
      </c>
      <c r="P903" s="9">
        <v>1.2509999999999999</v>
      </c>
      <c r="Q903" s="9">
        <v>19.053000000000001</v>
      </c>
      <c r="R903" s="9"/>
      <c r="S903" s="11"/>
    </row>
    <row r="904" spans="1:19" ht="15.75">
      <c r="A904" s="13">
        <v>69033</v>
      </c>
      <c r="B904" s="8">
        <f>42.226 * CHOOSE(CONTROL!$C$15, $D$11, 100%, $F$11)</f>
        <v>42.225999999999999</v>
      </c>
      <c r="C904" s="8">
        <f>42.2311 * CHOOSE(CONTROL!$C$15, $D$11, 100%, $F$11)</f>
        <v>42.231099999999998</v>
      </c>
      <c r="D904" s="8">
        <f>42.2095 * CHOOSE( CONTROL!$C$15, $D$11, 100%, $F$11)</f>
        <v>42.209499999999998</v>
      </c>
      <c r="E904" s="12">
        <f>42.2169 * CHOOSE( CONTROL!$C$15, $D$11, 100%, $F$11)</f>
        <v>42.216900000000003</v>
      </c>
      <c r="F904" s="4">
        <f>42.8709 * CHOOSE(CONTROL!$C$15, $D$11, 100%, $F$11)</f>
        <v>42.870899999999999</v>
      </c>
      <c r="G904" s="8">
        <f>41.508 * CHOOSE( CONTROL!$C$15, $D$11, 100%, $F$11)</f>
        <v>41.508000000000003</v>
      </c>
      <c r="H904" s="4">
        <f>42.3888 * CHOOSE(CONTROL!$C$15, $D$11, 100%, $F$11)</f>
        <v>42.388800000000003</v>
      </c>
      <c r="I904" s="8">
        <f>40.9342 * CHOOSE(CONTROL!$C$15, $D$11, 100%, $F$11)</f>
        <v>40.934199999999997</v>
      </c>
      <c r="J904" s="4">
        <f>40.7907 * CHOOSE(CONTROL!$C$15, $D$11, 100%, $F$11)</f>
        <v>40.790700000000001</v>
      </c>
      <c r="K904" s="4"/>
      <c r="L904" s="9">
        <v>29.306000000000001</v>
      </c>
      <c r="M904" s="9">
        <v>12.063700000000001</v>
      </c>
      <c r="N904" s="9">
        <v>4.9444999999999997</v>
      </c>
      <c r="O904" s="9">
        <v>0.37409999999999999</v>
      </c>
      <c r="P904" s="9">
        <v>1.2927</v>
      </c>
      <c r="Q904" s="9">
        <v>19.688099999999999</v>
      </c>
      <c r="R904" s="9"/>
      <c r="S904" s="11"/>
    </row>
    <row r="905" spans="1:19" ht="15.75">
      <c r="A905" s="13">
        <v>69064</v>
      </c>
      <c r="B905" s="8">
        <f>43.8387 * CHOOSE(CONTROL!$C$15, $D$11, 100%, $F$11)</f>
        <v>43.838700000000003</v>
      </c>
      <c r="C905" s="8">
        <f>43.8438 * CHOOSE(CONTROL!$C$15, $D$11, 100%, $F$11)</f>
        <v>43.843800000000002</v>
      </c>
      <c r="D905" s="8">
        <f>43.818 * CHOOSE( CONTROL!$C$15, $D$11, 100%, $F$11)</f>
        <v>43.817999999999998</v>
      </c>
      <c r="E905" s="12">
        <f>43.8269 * CHOOSE( CONTROL!$C$15, $D$11, 100%, $F$11)</f>
        <v>43.826900000000002</v>
      </c>
      <c r="F905" s="4">
        <f>44.4827 * CHOOSE(CONTROL!$C$15, $D$11, 100%, $F$11)</f>
        <v>44.482700000000001</v>
      </c>
      <c r="G905" s="8">
        <f>43.0877 * CHOOSE( CONTROL!$C$15, $D$11, 100%, $F$11)</f>
        <v>43.087699999999998</v>
      </c>
      <c r="H905" s="4">
        <f>43.9739 * CHOOSE(CONTROL!$C$15, $D$11, 100%, $F$11)</f>
        <v>43.9739</v>
      </c>
      <c r="I905" s="8">
        <f>42.4645 * CHOOSE(CONTROL!$C$15, $D$11, 100%, $F$11)</f>
        <v>42.464500000000001</v>
      </c>
      <c r="J905" s="4">
        <f>42.3497 * CHOOSE(CONTROL!$C$15, $D$11, 100%, $F$11)</f>
        <v>42.349699999999999</v>
      </c>
      <c r="K905" s="4"/>
      <c r="L905" s="9">
        <v>29.306000000000001</v>
      </c>
      <c r="M905" s="9">
        <v>12.063700000000001</v>
      </c>
      <c r="N905" s="9">
        <v>4.9444999999999997</v>
      </c>
      <c r="O905" s="9">
        <v>0.37409999999999999</v>
      </c>
      <c r="P905" s="9">
        <v>1.2927</v>
      </c>
      <c r="Q905" s="9">
        <v>19.688099999999999</v>
      </c>
      <c r="R905" s="9"/>
      <c r="S905" s="11"/>
    </row>
    <row r="906" spans="1:19" ht="15.75">
      <c r="A906" s="13">
        <v>69092</v>
      </c>
      <c r="B906" s="8">
        <f>41.0066 * CHOOSE(CONTROL!$C$15, $D$11, 100%, $F$11)</f>
        <v>41.006599999999999</v>
      </c>
      <c r="C906" s="8">
        <f>41.0117 * CHOOSE(CONTROL!$C$15, $D$11, 100%, $F$11)</f>
        <v>41.011699999999998</v>
      </c>
      <c r="D906" s="8">
        <f>40.9861 * CHOOSE( CONTROL!$C$15, $D$11, 100%, $F$11)</f>
        <v>40.9861</v>
      </c>
      <c r="E906" s="12">
        <f>40.9949 * CHOOSE( CONTROL!$C$15, $D$11, 100%, $F$11)</f>
        <v>40.994900000000001</v>
      </c>
      <c r="F906" s="4">
        <f>41.6506 * CHOOSE(CONTROL!$C$15, $D$11, 100%, $F$11)</f>
        <v>41.650599999999997</v>
      </c>
      <c r="G906" s="8">
        <f>40.3027 * CHOOSE( CONTROL!$C$15, $D$11, 100%, $F$11)</f>
        <v>40.302700000000002</v>
      </c>
      <c r="H906" s="4">
        <f>41.1887 * CHOOSE(CONTROL!$C$15, $D$11, 100%, $F$11)</f>
        <v>41.188699999999997</v>
      </c>
      <c r="I906" s="8">
        <f>39.7261 * CHOOSE(CONTROL!$C$15, $D$11, 100%, $F$11)</f>
        <v>39.726100000000002</v>
      </c>
      <c r="J906" s="4">
        <f>39.6119 * CHOOSE(CONTROL!$C$15, $D$11, 100%, $F$11)</f>
        <v>39.611899999999999</v>
      </c>
      <c r="K906" s="4"/>
      <c r="L906" s="9">
        <v>26.469899999999999</v>
      </c>
      <c r="M906" s="9">
        <v>10.8962</v>
      </c>
      <c r="N906" s="9">
        <v>4.4660000000000002</v>
      </c>
      <c r="O906" s="9">
        <v>0.33789999999999998</v>
      </c>
      <c r="P906" s="9">
        <v>1.1676</v>
      </c>
      <c r="Q906" s="9">
        <v>17.782800000000002</v>
      </c>
      <c r="R906" s="9"/>
      <c r="S906" s="11"/>
    </row>
    <row r="907" spans="1:19" ht="15.75">
      <c r="A907" s="13">
        <v>69123</v>
      </c>
      <c r="B907" s="8">
        <f>40.1343 * CHOOSE(CONTROL!$C$15, $D$11, 100%, $F$11)</f>
        <v>40.134300000000003</v>
      </c>
      <c r="C907" s="8">
        <f>40.1394 * CHOOSE(CONTROL!$C$15, $D$11, 100%, $F$11)</f>
        <v>40.139400000000002</v>
      </c>
      <c r="D907" s="8">
        <f>40.1137 * CHOOSE( CONTROL!$C$15, $D$11, 100%, $F$11)</f>
        <v>40.113700000000001</v>
      </c>
      <c r="E907" s="12">
        <f>40.1226 * CHOOSE( CONTROL!$C$15, $D$11, 100%, $F$11)</f>
        <v>40.122599999999998</v>
      </c>
      <c r="F907" s="4">
        <f>40.7783 * CHOOSE(CONTROL!$C$15, $D$11, 100%, $F$11)</f>
        <v>40.778300000000002</v>
      </c>
      <c r="G907" s="8">
        <f>39.4448 * CHOOSE( CONTROL!$C$15, $D$11, 100%, $F$11)</f>
        <v>39.444800000000001</v>
      </c>
      <c r="H907" s="4">
        <f>40.3309 * CHOOSE(CONTROL!$C$15, $D$11, 100%, $F$11)</f>
        <v>40.3309</v>
      </c>
      <c r="I907" s="8">
        <f>38.8822 * CHOOSE(CONTROL!$C$15, $D$11, 100%, $F$11)</f>
        <v>38.882199999999997</v>
      </c>
      <c r="J907" s="4">
        <f>38.7686 * CHOOSE(CONTROL!$C$15, $D$11, 100%, $F$11)</f>
        <v>38.768599999999999</v>
      </c>
      <c r="K907" s="4"/>
      <c r="L907" s="9">
        <v>29.306000000000001</v>
      </c>
      <c r="M907" s="9">
        <v>12.063700000000001</v>
      </c>
      <c r="N907" s="9">
        <v>4.9444999999999997</v>
      </c>
      <c r="O907" s="9">
        <v>0.37409999999999999</v>
      </c>
      <c r="P907" s="9">
        <v>1.2927</v>
      </c>
      <c r="Q907" s="9">
        <v>19.688099999999999</v>
      </c>
      <c r="R907" s="9"/>
      <c r="S907" s="11"/>
    </row>
    <row r="908" spans="1:19" ht="15.75">
      <c r="A908" s="13">
        <v>69153</v>
      </c>
      <c r="B908" s="8">
        <f>40.7446 * CHOOSE(CONTROL!$C$15, $D$11, 100%, $F$11)</f>
        <v>40.744599999999998</v>
      </c>
      <c r="C908" s="8">
        <f>40.7491 * CHOOSE(CONTROL!$C$15, $D$11, 100%, $F$11)</f>
        <v>40.749099999999999</v>
      </c>
      <c r="D908" s="8">
        <f>40.7602 * CHOOSE( CONTROL!$C$15, $D$11, 100%, $F$11)</f>
        <v>40.760199999999998</v>
      </c>
      <c r="E908" s="12">
        <f>40.756 * CHOOSE( CONTROL!$C$15, $D$11, 100%, $F$11)</f>
        <v>40.756</v>
      </c>
      <c r="F908" s="4">
        <f>41.4342 * CHOOSE(CONTROL!$C$15, $D$11, 100%, $F$11)</f>
        <v>41.434199999999997</v>
      </c>
      <c r="G908" s="8">
        <f>40.0371 * CHOOSE( CONTROL!$C$15, $D$11, 100%, $F$11)</f>
        <v>40.037100000000002</v>
      </c>
      <c r="H908" s="4">
        <f>40.9759 * CHOOSE(CONTROL!$C$15, $D$11, 100%, $F$11)</f>
        <v>40.975900000000003</v>
      </c>
      <c r="I908" s="8">
        <f>39.4668 * CHOOSE(CONTROL!$C$15, $D$11, 100%, $F$11)</f>
        <v>39.466799999999999</v>
      </c>
      <c r="J908" s="4">
        <f>39.3579 * CHOOSE(CONTROL!$C$15, $D$11, 100%, $F$11)</f>
        <v>39.357900000000001</v>
      </c>
      <c r="K908" s="4"/>
      <c r="L908" s="9">
        <v>30.092199999999998</v>
      </c>
      <c r="M908" s="9">
        <v>11.6745</v>
      </c>
      <c r="N908" s="9">
        <v>4.7850000000000001</v>
      </c>
      <c r="O908" s="9">
        <v>0.36199999999999999</v>
      </c>
      <c r="P908" s="9">
        <v>1.1791</v>
      </c>
      <c r="Q908" s="9">
        <v>19.053000000000001</v>
      </c>
      <c r="R908" s="9"/>
      <c r="S908" s="11"/>
    </row>
    <row r="909" spans="1:19" ht="15.75">
      <c r="A909" s="13">
        <v>69184</v>
      </c>
      <c r="B909" s="8">
        <f>CHOOSE( CONTROL!$C$32, 41.8344, 41.8308) * CHOOSE(CONTROL!$C$15, $D$11, 100%, $F$11)</f>
        <v>41.834400000000002</v>
      </c>
      <c r="C909" s="8">
        <f>CHOOSE( CONTROL!$C$32, 41.8424, 41.8388) * CHOOSE(CONTROL!$C$15, $D$11, 100%, $F$11)</f>
        <v>41.842399999999998</v>
      </c>
      <c r="D909" s="8">
        <f>CHOOSE( CONTROL!$C$32, 41.8484, 41.8448) * CHOOSE( CONTROL!$C$15, $D$11, 100%, $F$11)</f>
        <v>41.848399999999998</v>
      </c>
      <c r="E909" s="12">
        <f>CHOOSE( CONTROL!$C$32, 41.845, 41.8414) * CHOOSE( CONTROL!$C$15, $D$11, 100%, $F$11)</f>
        <v>41.844999999999999</v>
      </c>
      <c r="F909" s="4">
        <f>CHOOSE( CONTROL!$C$32, 42.5226, 42.5191) * CHOOSE(CONTROL!$C$15, $D$11, 100%, $F$11)</f>
        <v>42.522599999999997</v>
      </c>
      <c r="G909" s="8">
        <f>CHOOSE( CONTROL!$C$32, 41.1084, 41.1049) * CHOOSE( CONTROL!$C$15, $D$11, 100%, $F$11)</f>
        <v>41.108400000000003</v>
      </c>
      <c r="H909" s="4">
        <f>CHOOSE( CONTROL!$C$32, 42.0463, 42.0428) * CHOOSE(CONTROL!$C$15, $D$11, 100%, $F$11)</f>
        <v>42.046300000000002</v>
      </c>
      <c r="I909" s="8">
        <f>CHOOSE( CONTROL!$C$32, 40.5203, 40.5169) * CHOOSE(CONTROL!$C$15, $D$11, 100%, $F$11)</f>
        <v>40.520299999999999</v>
      </c>
      <c r="J909" s="4">
        <f>CHOOSE( CONTROL!$C$32, 40.41, 40.4066) * CHOOSE(CONTROL!$C$15, $D$11, 100%, $F$11)</f>
        <v>40.409999999999997</v>
      </c>
      <c r="K909" s="4"/>
      <c r="L909" s="9">
        <v>30.7165</v>
      </c>
      <c r="M909" s="9">
        <v>12.063700000000001</v>
      </c>
      <c r="N909" s="9">
        <v>4.9444999999999997</v>
      </c>
      <c r="O909" s="9">
        <v>0.37409999999999999</v>
      </c>
      <c r="P909" s="9">
        <v>1.2183999999999999</v>
      </c>
      <c r="Q909" s="9">
        <v>19.688099999999999</v>
      </c>
      <c r="R909" s="9"/>
      <c r="S909" s="11"/>
    </row>
    <row r="910" spans="1:19" ht="15.75">
      <c r="A910" s="13">
        <v>69214</v>
      </c>
      <c r="B910" s="8">
        <f>CHOOSE( CONTROL!$C$32, 41.1623, 41.1588) * CHOOSE(CONTROL!$C$15, $D$11, 100%, $F$11)</f>
        <v>41.162300000000002</v>
      </c>
      <c r="C910" s="8">
        <f>CHOOSE( CONTROL!$C$32, 41.1704, 41.1668) * CHOOSE(CONTROL!$C$15, $D$11, 100%, $F$11)</f>
        <v>41.170400000000001</v>
      </c>
      <c r="D910" s="8">
        <f>CHOOSE( CONTROL!$C$32, 41.1766, 41.1731) * CHOOSE( CONTROL!$C$15, $D$11, 100%, $F$11)</f>
        <v>41.176600000000001</v>
      </c>
      <c r="E910" s="12">
        <f>CHOOSE( CONTROL!$C$32, 41.1731, 41.1696) * CHOOSE( CONTROL!$C$15, $D$11, 100%, $F$11)</f>
        <v>41.173099999999998</v>
      </c>
      <c r="F910" s="4">
        <f>CHOOSE( CONTROL!$C$32, 41.8506, 41.847) * CHOOSE(CONTROL!$C$15, $D$11, 100%, $F$11)</f>
        <v>41.8506</v>
      </c>
      <c r="G910" s="8">
        <f>CHOOSE( CONTROL!$C$32, 40.448, 40.4445) * CHOOSE( CONTROL!$C$15, $D$11, 100%, $F$11)</f>
        <v>40.448</v>
      </c>
      <c r="H910" s="4">
        <f>CHOOSE( CONTROL!$C$32, 41.3854, 41.3819) * CHOOSE(CONTROL!$C$15, $D$11, 100%, $F$11)</f>
        <v>41.385399999999997</v>
      </c>
      <c r="I910" s="8">
        <f>CHOOSE( CONTROL!$C$32, 39.8717, 39.8682) * CHOOSE(CONTROL!$C$15, $D$11, 100%, $F$11)</f>
        <v>39.871699999999997</v>
      </c>
      <c r="J910" s="4">
        <f>CHOOSE( CONTROL!$C$32, 39.7604, 39.757) * CHOOSE(CONTROL!$C$15, $D$11, 100%, $F$11)</f>
        <v>39.760399999999997</v>
      </c>
      <c r="K910" s="4"/>
      <c r="L910" s="9">
        <v>29.7257</v>
      </c>
      <c r="M910" s="9">
        <v>11.6745</v>
      </c>
      <c r="N910" s="9">
        <v>4.7850000000000001</v>
      </c>
      <c r="O910" s="9">
        <v>0.36199999999999999</v>
      </c>
      <c r="P910" s="9">
        <v>1.1791</v>
      </c>
      <c r="Q910" s="9">
        <v>19.053000000000001</v>
      </c>
      <c r="R910" s="9"/>
      <c r="S910" s="11"/>
    </row>
    <row r="911" spans="1:19" ht="15.75">
      <c r="A911" s="13">
        <v>69245</v>
      </c>
      <c r="B911" s="8">
        <f>CHOOSE( CONTROL!$C$32, 42.932, 42.9285) * CHOOSE(CONTROL!$C$15, $D$11, 100%, $F$11)</f>
        <v>42.932000000000002</v>
      </c>
      <c r="C911" s="8">
        <f>CHOOSE( CONTROL!$C$32, 42.94, 42.9365) * CHOOSE(CONTROL!$C$15, $D$11, 100%, $F$11)</f>
        <v>42.94</v>
      </c>
      <c r="D911" s="8">
        <f>CHOOSE( CONTROL!$C$32, 42.9466, 42.9431) * CHOOSE( CONTROL!$C$15, $D$11, 100%, $F$11)</f>
        <v>42.946599999999997</v>
      </c>
      <c r="E911" s="12">
        <f>CHOOSE( CONTROL!$C$32, 42.943, 42.9395) * CHOOSE( CONTROL!$C$15, $D$11, 100%, $F$11)</f>
        <v>42.942999999999998</v>
      </c>
      <c r="F911" s="4">
        <f>CHOOSE( CONTROL!$C$32, 43.6203, 43.6167) * CHOOSE(CONTROL!$C$15, $D$11, 100%, $F$11)</f>
        <v>43.6203</v>
      </c>
      <c r="G911" s="8">
        <f>CHOOSE( CONTROL!$C$32, 42.1888, 42.1853) * CHOOSE( CONTROL!$C$15, $D$11, 100%, $F$11)</f>
        <v>42.188800000000001</v>
      </c>
      <c r="H911" s="4">
        <f>CHOOSE( CONTROL!$C$32, 43.1257, 43.1222) * CHOOSE(CONTROL!$C$15, $D$11, 100%, $F$11)</f>
        <v>43.125700000000002</v>
      </c>
      <c r="I911" s="8">
        <f>CHOOSE( CONTROL!$C$32, 41.5847, 41.5813) * CHOOSE(CONTROL!$C$15, $D$11, 100%, $F$11)</f>
        <v>41.584699999999998</v>
      </c>
      <c r="J911" s="4">
        <f>CHOOSE( CONTROL!$C$32, 41.4712, 41.4677) * CHOOSE(CONTROL!$C$15, $D$11, 100%, $F$11)</f>
        <v>41.471200000000003</v>
      </c>
      <c r="K911" s="4"/>
      <c r="L911" s="9">
        <v>30.7165</v>
      </c>
      <c r="M911" s="9">
        <v>12.063700000000001</v>
      </c>
      <c r="N911" s="9">
        <v>4.9444999999999997</v>
      </c>
      <c r="O911" s="9">
        <v>0.37409999999999999</v>
      </c>
      <c r="P911" s="9">
        <v>1.2183999999999999</v>
      </c>
      <c r="Q911" s="9">
        <v>19.688099999999999</v>
      </c>
      <c r="R911" s="9"/>
      <c r="S911" s="11"/>
    </row>
    <row r="912" spans="1:19" ht="15.75">
      <c r="A912" s="13">
        <v>69276</v>
      </c>
      <c r="B912" s="8">
        <f>CHOOSE( CONTROL!$C$32, 39.6208, 39.6172) * CHOOSE(CONTROL!$C$15, $D$11, 100%, $F$11)</f>
        <v>39.620800000000003</v>
      </c>
      <c r="C912" s="8">
        <f>CHOOSE( CONTROL!$C$32, 39.6288, 39.6252) * CHOOSE(CONTROL!$C$15, $D$11, 100%, $F$11)</f>
        <v>39.628799999999998</v>
      </c>
      <c r="D912" s="8">
        <f>CHOOSE( CONTROL!$C$32, 39.6355, 39.6319) * CHOOSE( CONTROL!$C$15, $D$11, 100%, $F$11)</f>
        <v>39.6355</v>
      </c>
      <c r="E912" s="12">
        <f>CHOOSE( CONTROL!$C$32, 39.6319, 39.6283) * CHOOSE( CONTROL!$C$15, $D$11, 100%, $F$11)</f>
        <v>39.631900000000002</v>
      </c>
      <c r="F912" s="4">
        <f>CHOOSE( CONTROL!$C$32, 40.309, 40.3055) * CHOOSE(CONTROL!$C$15, $D$11, 100%, $F$11)</f>
        <v>40.308999999999997</v>
      </c>
      <c r="G912" s="8">
        <f>CHOOSE( CONTROL!$C$32, 38.9325, 38.929) * CHOOSE( CONTROL!$C$15, $D$11, 100%, $F$11)</f>
        <v>38.932499999999997</v>
      </c>
      <c r="H912" s="4">
        <f>CHOOSE( CONTROL!$C$32, 39.8694, 39.8659) * CHOOSE(CONTROL!$C$15, $D$11, 100%, $F$11)</f>
        <v>39.869399999999999</v>
      </c>
      <c r="I912" s="8">
        <f>CHOOSE( CONTROL!$C$32, 38.3826, 38.3792) * CHOOSE(CONTROL!$C$15, $D$11, 100%, $F$11)</f>
        <v>38.382599999999996</v>
      </c>
      <c r="J912" s="4">
        <f>CHOOSE( CONTROL!$C$32, 38.2701, 38.2667) * CHOOSE(CONTROL!$C$15, $D$11, 100%, $F$11)</f>
        <v>38.270099999999999</v>
      </c>
      <c r="K912" s="4"/>
      <c r="L912" s="9">
        <v>30.7165</v>
      </c>
      <c r="M912" s="9">
        <v>12.063700000000001</v>
      </c>
      <c r="N912" s="9">
        <v>4.9444999999999997</v>
      </c>
      <c r="O912" s="9">
        <v>0.37409999999999999</v>
      </c>
      <c r="P912" s="9">
        <v>1.2183999999999999</v>
      </c>
      <c r="Q912" s="9">
        <v>19.688099999999999</v>
      </c>
      <c r="R912" s="9"/>
      <c r="S912" s="11"/>
    </row>
    <row r="913" spans="1:19" ht="15.75">
      <c r="A913" s="13">
        <v>69306</v>
      </c>
      <c r="B913" s="8">
        <f>CHOOSE( CONTROL!$C$32, 38.7916, 38.788) * CHOOSE(CONTROL!$C$15, $D$11, 100%, $F$11)</f>
        <v>38.791600000000003</v>
      </c>
      <c r="C913" s="8">
        <f>CHOOSE( CONTROL!$C$32, 38.7996, 38.796) * CHOOSE(CONTROL!$C$15, $D$11, 100%, $F$11)</f>
        <v>38.799599999999998</v>
      </c>
      <c r="D913" s="8">
        <f>CHOOSE( CONTROL!$C$32, 38.8063, 38.8027) * CHOOSE( CONTROL!$C$15, $D$11, 100%, $F$11)</f>
        <v>38.8063</v>
      </c>
      <c r="E913" s="12">
        <f>CHOOSE( CONTROL!$C$32, 38.8027, 38.7991) * CHOOSE( CONTROL!$C$15, $D$11, 100%, $F$11)</f>
        <v>38.802700000000002</v>
      </c>
      <c r="F913" s="4">
        <f>CHOOSE( CONTROL!$C$32, 39.4798, 39.4763) * CHOOSE(CONTROL!$C$15, $D$11, 100%, $F$11)</f>
        <v>39.479799999999997</v>
      </c>
      <c r="G913" s="8">
        <f>CHOOSE( CONTROL!$C$32, 38.1171, 38.1136) * CHOOSE( CONTROL!$C$15, $D$11, 100%, $F$11)</f>
        <v>38.117100000000001</v>
      </c>
      <c r="H913" s="4">
        <f>CHOOSE( CONTROL!$C$32, 39.054, 39.0504) * CHOOSE(CONTROL!$C$15, $D$11, 100%, $F$11)</f>
        <v>39.054000000000002</v>
      </c>
      <c r="I913" s="8">
        <f>CHOOSE( CONTROL!$C$32, 37.5806, 37.5772) * CHOOSE(CONTROL!$C$15, $D$11, 100%, $F$11)</f>
        <v>37.580599999999997</v>
      </c>
      <c r="J913" s="4">
        <f>CHOOSE( CONTROL!$C$32, 37.4686, 37.4651) * CHOOSE(CONTROL!$C$15, $D$11, 100%, $F$11)</f>
        <v>37.468600000000002</v>
      </c>
      <c r="K913" s="4"/>
      <c r="L913" s="9">
        <v>29.7257</v>
      </c>
      <c r="M913" s="9">
        <v>11.6745</v>
      </c>
      <c r="N913" s="9">
        <v>4.7850000000000001</v>
      </c>
      <c r="O913" s="9">
        <v>0.36199999999999999</v>
      </c>
      <c r="P913" s="9">
        <v>1.1791</v>
      </c>
      <c r="Q913" s="9">
        <v>19.053000000000001</v>
      </c>
      <c r="R913" s="9"/>
      <c r="S913" s="11"/>
    </row>
    <row r="914" spans="1:19" ht="15.75">
      <c r="A914" s="13">
        <v>69337</v>
      </c>
      <c r="B914" s="8">
        <f>40.5079 * CHOOSE(CONTROL!$C$15, $D$11, 100%, $F$11)</f>
        <v>40.507899999999999</v>
      </c>
      <c r="C914" s="8">
        <f>40.5133 * CHOOSE(CONTROL!$C$15, $D$11, 100%, $F$11)</f>
        <v>40.513300000000001</v>
      </c>
      <c r="D914" s="8">
        <f>40.5248 * CHOOSE( CONTROL!$C$15, $D$11, 100%, $F$11)</f>
        <v>40.524799999999999</v>
      </c>
      <c r="E914" s="12">
        <f>40.5204 * CHOOSE( CONTROL!$C$15, $D$11, 100%, $F$11)</f>
        <v>40.520400000000002</v>
      </c>
      <c r="F914" s="4">
        <f>41.1979 * CHOOSE(CONTROL!$C$15, $D$11, 100%, $F$11)</f>
        <v>41.197899999999997</v>
      </c>
      <c r="G914" s="8">
        <f>39.8062 * CHOOSE( CONTROL!$C$15, $D$11, 100%, $F$11)</f>
        <v>39.806199999999997</v>
      </c>
      <c r="H914" s="4">
        <f>40.7436 * CHOOSE(CONTROL!$C$15, $D$11, 100%, $F$11)</f>
        <v>40.743600000000001</v>
      </c>
      <c r="I914" s="8">
        <f>39.2431 * CHOOSE(CONTROL!$C$15, $D$11, 100%, $F$11)</f>
        <v>39.243099999999998</v>
      </c>
      <c r="J914" s="4">
        <f>39.1295 * CHOOSE(CONTROL!$C$15, $D$11, 100%, $F$11)</f>
        <v>39.1295</v>
      </c>
      <c r="K914" s="4"/>
      <c r="L914" s="9">
        <v>31.095300000000002</v>
      </c>
      <c r="M914" s="9">
        <v>12.063700000000001</v>
      </c>
      <c r="N914" s="9">
        <v>4.9444999999999997</v>
      </c>
      <c r="O914" s="9">
        <v>0.37409999999999999</v>
      </c>
      <c r="P914" s="9">
        <v>1.2183999999999999</v>
      </c>
      <c r="Q914" s="9">
        <v>19.688099999999999</v>
      </c>
      <c r="R914" s="9"/>
      <c r="S914" s="11"/>
    </row>
    <row r="915" spans="1:19" ht="15.75">
      <c r="A915" s="13">
        <v>69367</v>
      </c>
      <c r="B915" s="8">
        <f>43.6854 * CHOOSE(CONTROL!$C$15, $D$11, 100%, $F$11)</f>
        <v>43.685400000000001</v>
      </c>
      <c r="C915" s="8">
        <f>43.6905 * CHOOSE(CONTROL!$C$15, $D$11, 100%, $F$11)</f>
        <v>43.6905</v>
      </c>
      <c r="D915" s="8">
        <f>43.6675 * CHOOSE( CONTROL!$C$15, $D$11, 100%, $F$11)</f>
        <v>43.667499999999997</v>
      </c>
      <c r="E915" s="12">
        <f>43.6754 * CHOOSE( CONTROL!$C$15, $D$11, 100%, $F$11)</f>
        <v>43.675400000000003</v>
      </c>
      <c r="F915" s="4">
        <f>44.3303 * CHOOSE(CONTROL!$C$15, $D$11, 100%, $F$11)</f>
        <v>44.330300000000001</v>
      </c>
      <c r="G915" s="8">
        <f>42.9422 * CHOOSE( CONTROL!$C$15, $D$11, 100%, $F$11)</f>
        <v>42.9422</v>
      </c>
      <c r="H915" s="4">
        <f>43.824 * CHOOSE(CONTROL!$C$15, $D$11, 100%, $F$11)</f>
        <v>43.823999999999998</v>
      </c>
      <c r="I915" s="8">
        <f>42.3413 * CHOOSE(CONTROL!$C$15, $D$11, 100%, $F$11)</f>
        <v>42.341299999999997</v>
      </c>
      <c r="J915" s="4">
        <f>42.2015 * CHOOSE(CONTROL!$C$15, $D$11, 100%, $F$11)</f>
        <v>42.201500000000003</v>
      </c>
      <c r="K915" s="4"/>
      <c r="L915" s="9">
        <v>28.360600000000002</v>
      </c>
      <c r="M915" s="9">
        <v>11.6745</v>
      </c>
      <c r="N915" s="9">
        <v>4.7850000000000001</v>
      </c>
      <c r="O915" s="9">
        <v>0.36199999999999999</v>
      </c>
      <c r="P915" s="9">
        <v>1.2509999999999999</v>
      </c>
      <c r="Q915" s="9">
        <v>19.053000000000001</v>
      </c>
      <c r="R915" s="9"/>
      <c r="S915" s="11"/>
    </row>
    <row r="916" spans="1:19" ht="15.75">
      <c r="A916" s="13">
        <v>69398</v>
      </c>
      <c r="B916" s="8">
        <f>43.606 * CHOOSE(CONTROL!$C$15, $D$11, 100%, $F$11)</f>
        <v>43.606000000000002</v>
      </c>
      <c r="C916" s="8">
        <f>43.6111 * CHOOSE(CONTROL!$C$15, $D$11, 100%, $F$11)</f>
        <v>43.6111</v>
      </c>
      <c r="D916" s="8">
        <f>43.5894 * CHOOSE( CONTROL!$C$15, $D$11, 100%, $F$11)</f>
        <v>43.589399999999998</v>
      </c>
      <c r="E916" s="12">
        <f>43.5968 * CHOOSE( CONTROL!$C$15, $D$11, 100%, $F$11)</f>
        <v>43.596800000000002</v>
      </c>
      <c r="F916" s="4">
        <f>44.2509 * CHOOSE(CONTROL!$C$15, $D$11, 100%, $F$11)</f>
        <v>44.250900000000001</v>
      </c>
      <c r="G916" s="8">
        <f>42.8651 * CHOOSE( CONTROL!$C$15, $D$11, 100%, $F$11)</f>
        <v>42.865099999999998</v>
      </c>
      <c r="H916" s="4">
        <f>43.7459 * CHOOSE(CONTROL!$C$15, $D$11, 100%, $F$11)</f>
        <v>43.745899999999999</v>
      </c>
      <c r="I916" s="8">
        <f>42.2689 * CHOOSE(CONTROL!$C$15, $D$11, 100%, $F$11)</f>
        <v>42.268900000000002</v>
      </c>
      <c r="J916" s="4">
        <f>42.1247 * CHOOSE(CONTROL!$C$15, $D$11, 100%, $F$11)</f>
        <v>42.124699999999997</v>
      </c>
      <c r="K916" s="4"/>
      <c r="L916" s="9">
        <v>29.306000000000001</v>
      </c>
      <c r="M916" s="9">
        <v>12.063700000000001</v>
      </c>
      <c r="N916" s="9">
        <v>4.9444999999999997</v>
      </c>
      <c r="O916" s="9">
        <v>0.37409999999999999</v>
      </c>
      <c r="P916" s="9">
        <v>1.2927</v>
      </c>
      <c r="Q916" s="9">
        <v>19.688099999999999</v>
      </c>
      <c r="R916" s="9"/>
      <c r="S916" s="11"/>
    </row>
    <row r="917" spans="1:19" ht="15.75">
      <c r="A917" s="13">
        <v>69429</v>
      </c>
      <c r="B917" s="8">
        <f>45.2714 * CHOOSE(CONTROL!$C$15, $D$11, 100%, $F$11)</f>
        <v>45.2714</v>
      </c>
      <c r="C917" s="8">
        <f>45.2765 * CHOOSE(CONTROL!$C$15, $D$11, 100%, $F$11)</f>
        <v>45.276499999999999</v>
      </c>
      <c r="D917" s="8">
        <f>45.2507 * CHOOSE( CONTROL!$C$15, $D$11, 100%, $F$11)</f>
        <v>45.250700000000002</v>
      </c>
      <c r="E917" s="12">
        <f>45.2596 * CHOOSE( CONTROL!$C$15, $D$11, 100%, $F$11)</f>
        <v>45.259599999999999</v>
      </c>
      <c r="F917" s="4">
        <f>45.9154 * CHOOSE(CONTROL!$C$15, $D$11, 100%, $F$11)</f>
        <v>45.915399999999998</v>
      </c>
      <c r="G917" s="8">
        <f>44.4966 * CHOOSE( CONTROL!$C$15, $D$11, 100%, $F$11)</f>
        <v>44.496600000000001</v>
      </c>
      <c r="H917" s="4">
        <f>45.3828 * CHOOSE(CONTROL!$C$15, $D$11, 100%, $F$11)</f>
        <v>45.382800000000003</v>
      </c>
      <c r="I917" s="8">
        <f>43.8502 * CHOOSE(CONTROL!$C$15, $D$11, 100%, $F$11)</f>
        <v>43.850200000000001</v>
      </c>
      <c r="J917" s="4">
        <f>43.7347 * CHOOSE(CONTROL!$C$15, $D$11, 100%, $F$11)</f>
        <v>43.734699999999997</v>
      </c>
      <c r="K917" s="4"/>
      <c r="L917" s="9">
        <v>29.306000000000001</v>
      </c>
      <c r="M917" s="9">
        <v>12.063700000000001</v>
      </c>
      <c r="N917" s="9">
        <v>4.9444999999999997</v>
      </c>
      <c r="O917" s="9">
        <v>0.37409999999999999</v>
      </c>
      <c r="P917" s="9">
        <v>1.2927</v>
      </c>
      <c r="Q917" s="9">
        <v>19.688099999999999</v>
      </c>
      <c r="R917" s="9"/>
      <c r="S917" s="11"/>
    </row>
    <row r="918" spans="1:19" ht="15.75">
      <c r="A918" s="13">
        <v>69457</v>
      </c>
      <c r="B918" s="8">
        <f>42.3467 * CHOOSE(CONTROL!$C$15, $D$11, 100%, $F$11)</f>
        <v>42.346699999999998</v>
      </c>
      <c r="C918" s="8">
        <f>42.3518 * CHOOSE(CONTROL!$C$15, $D$11, 100%, $F$11)</f>
        <v>42.351799999999997</v>
      </c>
      <c r="D918" s="8">
        <f>42.3262 * CHOOSE( CONTROL!$C$15, $D$11, 100%, $F$11)</f>
        <v>42.3262</v>
      </c>
      <c r="E918" s="12">
        <f>42.335 * CHOOSE( CONTROL!$C$15, $D$11, 100%, $F$11)</f>
        <v>42.335000000000001</v>
      </c>
      <c r="F918" s="4">
        <f>42.9907 * CHOOSE(CONTROL!$C$15, $D$11, 100%, $F$11)</f>
        <v>42.990699999999997</v>
      </c>
      <c r="G918" s="8">
        <f>41.6205 * CHOOSE( CONTROL!$C$15, $D$11, 100%, $F$11)</f>
        <v>41.6205</v>
      </c>
      <c r="H918" s="4">
        <f>42.5066 * CHOOSE(CONTROL!$C$15, $D$11, 100%, $F$11)</f>
        <v>42.506599999999999</v>
      </c>
      <c r="I918" s="8">
        <f>41.0222 * CHOOSE(CONTROL!$C$15, $D$11, 100%, $F$11)</f>
        <v>41.022199999999998</v>
      </c>
      <c r="J918" s="4">
        <f>40.9073 * CHOOSE(CONTROL!$C$15, $D$11, 100%, $F$11)</f>
        <v>40.907299999999999</v>
      </c>
      <c r="K918" s="4"/>
      <c r="L918" s="9">
        <v>26.469899999999999</v>
      </c>
      <c r="M918" s="9">
        <v>10.8962</v>
      </c>
      <c r="N918" s="9">
        <v>4.4660000000000002</v>
      </c>
      <c r="O918" s="9">
        <v>0.33789999999999998</v>
      </c>
      <c r="P918" s="9">
        <v>1.1676</v>
      </c>
      <c r="Q918" s="9">
        <v>17.782800000000002</v>
      </c>
      <c r="R918" s="9"/>
      <c r="S918" s="11"/>
    </row>
    <row r="919" spans="1:19" ht="15.75">
      <c r="A919" s="13">
        <v>69488</v>
      </c>
      <c r="B919" s="8">
        <f>41.4458 * CHOOSE(CONTROL!$C$15, $D$11, 100%, $F$11)</f>
        <v>41.445799999999998</v>
      </c>
      <c r="C919" s="8">
        <f>41.451 * CHOOSE(CONTROL!$C$15, $D$11, 100%, $F$11)</f>
        <v>41.451000000000001</v>
      </c>
      <c r="D919" s="8">
        <f>41.4253 * CHOOSE( CONTROL!$C$15, $D$11, 100%, $F$11)</f>
        <v>41.4253</v>
      </c>
      <c r="E919" s="12">
        <f>41.4341 * CHOOSE( CONTROL!$C$15, $D$11, 100%, $F$11)</f>
        <v>41.434100000000001</v>
      </c>
      <c r="F919" s="4">
        <f>42.0899 * CHOOSE(CONTROL!$C$15, $D$11, 100%, $F$11)</f>
        <v>42.0899</v>
      </c>
      <c r="G919" s="8">
        <f>40.7346 * CHOOSE( CONTROL!$C$15, $D$11, 100%, $F$11)</f>
        <v>40.7346</v>
      </c>
      <c r="H919" s="4">
        <f>41.6207 * CHOOSE(CONTROL!$C$15, $D$11, 100%, $F$11)</f>
        <v>41.620699999999999</v>
      </c>
      <c r="I919" s="8">
        <f>40.1507 * CHOOSE(CONTROL!$C$15, $D$11, 100%, $F$11)</f>
        <v>40.150700000000001</v>
      </c>
      <c r="J919" s="4">
        <f>40.0365 * CHOOSE(CONTROL!$C$15, $D$11, 100%, $F$11)</f>
        <v>40.036499999999997</v>
      </c>
      <c r="K919" s="4"/>
      <c r="L919" s="9">
        <v>29.306000000000001</v>
      </c>
      <c r="M919" s="9">
        <v>12.063700000000001</v>
      </c>
      <c r="N919" s="9">
        <v>4.9444999999999997</v>
      </c>
      <c r="O919" s="9">
        <v>0.37409999999999999</v>
      </c>
      <c r="P919" s="9">
        <v>1.2927</v>
      </c>
      <c r="Q919" s="9">
        <v>19.688099999999999</v>
      </c>
      <c r="R919" s="9"/>
      <c r="S919" s="11"/>
    </row>
    <row r="920" spans="1:19" ht="15.75">
      <c r="A920" s="13">
        <v>69518</v>
      </c>
      <c r="B920" s="8">
        <f>42.0761 * CHOOSE(CONTROL!$C$15, $D$11, 100%, $F$11)</f>
        <v>42.076099999999997</v>
      </c>
      <c r="C920" s="8">
        <f>42.0806 * CHOOSE(CONTROL!$C$15, $D$11, 100%, $F$11)</f>
        <v>42.080599999999997</v>
      </c>
      <c r="D920" s="8">
        <f>42.0916 * CHOOSE( CONTROL!$C$15, $D$11, 100%, $F$11)</f>
        <v>42.0916</v>
      </c>
      <c r="E920" s="12">
        <f>42.0875 * CHOOSE( CONTROL!$C$15, $D$11, 100%, $F$11)</f>
        <v>42.087499999999999</v>
      </c>
      <c r="F920" s="4">
        <f>42.7657 * CHOOSE(CONTROL!$C$15, $D$11, 100%, $F$11)</f>
        <v>42.765700000000002</v>
      </c>
      <c r="G920" s="8">
        <f>41.3465 * CHOOSE( CONTROL!$C$15, $D$11, 100%, $F$11)</f>
        <v>41.346499999999999</v>
      </c>
      <c r="H920" s="4">
        <f>42.2853 * CHOOSE(CONTROL!$C$15, $D$11, 100%, $F$11)</f>
        <v>42.285299999999999</v>
      </c>
      <c r="I920" s="8">
        <f>40.7545 * CHOOSE(CONTROL!$C$15, $D$11, 100%, $F$11)</f>
        <v>40.7545</v>
      </c>
      <c r="J920" s="4">
        <f>40.645 * CHOOSE(CONTROL!$C$15, $D$11, 100%, $F$11)</f>
        <v>40.645000000000003</v>
      </c>
      <c r="K920" s="4"/>
      <c r="L920" s="9">
        <v>30.092199999999998</v>
      </c>
      <c r="M920" s="9">
        <v>11.6745</v>
      </c>
      <c r="N920" s="9">
        <v>4.7850000000000001</v>
      </c>
      <c r="O920" s="9">
        <v>0.36199999999999999</v>
      </c>
      <c r="P920" s="9">
        <v>1.1791</v>
      </c>
      <c r="Q920" s="9">
        <v>19.053000000000001</v>
      </c>
      <c r="R920" s="9"/>
      <c r="S920" s="11"/>
    </row>
    <row r="921" spans="1:19" ht="15.75">
      <c r="A921" s="13">
        <v>69549</v>
      </c>
      <c r="B921" s="8">
        <f>CHOOSE( CONTROL!$C$32, 43.2013, 43.1978) * CHOOSE(CONTROL!$C$15, $D$11, 100%, $F$11)</f>
        <v>43.201300000000003</v>
      </c>
      <c r="C921" s="8">
        <f>CHOOSE( CONTROL!$C$32, 43.2093, 43.2058) * CHOOSE(CONTROL!$C$15, $D$11, 100%, $F$11)</f>
        <v>43.209299999999999</v>
      </c>
      <c r="D921" s="8">
        <f>CHOOSE( CONTROL!$C$32, 43.2153, 43.2118) * CHOOSE( CONTROL!$C$15, $D$11, 100%, $F$11)</f>
        <v>43.215299999999999</v>
      </c>
      <c r="E921" s="12">
        <f>CHOOSE( CONTROL!$C$32, 43.2119, 43.2084) * CHOOSE( CONTROL!$C$15, $D$11, 100%, $F$11)</f>
        <v>43.2119</v>
      </c>
      <c r="F921" s="4">
        <f>CHOOSE( CONTROL!$C$32, 43.8896, 43.886) * CHOOSE(CONTROL!$C$15, $D$11, 100%, $F$11)</f>
        <v>43.889600000000002</v>
      </c>
      <c r="G921" s="8">
        <f>CHOOSE( CONTROL!$C$32, 42.4527, 42.4492) * CHOOSE( CONTROL!$C$15, $D$11, 100%, $F$11)</f>
        <v>42.4527</v>
      </c>
      <c r="H921" s="4">
        <f>CHOOSE( CONTROL!$C$32, 43.3906, 43.3871) * CHOOSE(CONTROL!$C$15, $D$11, 100%, $F$11)</f>
        <v>43.390599999999999</v>
      </c>
      <c r="I921" s="8">
        <f>CHOOSE( CONTROL!$C$32, 41.8424, 41.839) * CHOOSE(CONTROL!$C$15, $D$11, 100%, $F$11)</f>
        <v>41.842399999999998</v>
      </c>
      <c r="J921" s="4">
        <f>CHOOSE( CONTROL!$C$32, 41.7315, 41.728) * CHOOSE(CONTROL!$C$15, $D$11, 100%, $F$11)</f>
        <v>41.731499999999997</v>
      </c>
      <c r="K921" s="4"/>
      <c r="L921" s="9">
        <v>30.7165</v>
      </c>
      <c r="M921" s="9">
        <v>12.063700000000001</v>
      </c>
      <c r="N921" s="9">
        <v>4.9444999999999997</v>
      </c>
      <c r="O921" s="9">
        <v>0.37409999999999999</v>
      </c>
      <c r="P921" s="9">
        <v>1.2183999999999999</v>
      </c>
      <c r="Q921" s="9">
        <v>19.688099999999999</v>
      </c>
      <c r="R921" s="9"/>
      <c r="S921" s="11"/>
    </row>
    <row r="922" spans="1:19" ht="15.75">
      <c r="A922" s="13">
        <v>69579</v>
      </c>
      <c r="B922" s="8">
        <f>CHOOSE( CONTROL!$C$32, 42.5073, 42.5038) * CHOOSE(CONTROL!$C$15, $D$11, 100%, $F$11)</f>
        <v>42.507300000000001</v>
      </c>
      <c r="C922" s="8">
        <f>CHOOSE( CONTROL!$C$32, 42.5153, 42.5118) * CHOOSE(CONTROL!$C$15, $D$11, 100%, $F$11)</f>
        <v>42.515300000000003</v>
      </c>
      <c r="D922" s="8">
        <f>CHOOSE( CONTROL!$C$32, 42.5216, 42.5181) * CHOOSE( CONTROL!$C$15, $D$11, 100%, $F$11)</f>
        <v>42.521599999999999</v>
      </c>
      <c r="E922" s="12">
        <f>CHOOSE( CONTROL!$C$32, 42.5181, 42.5146) * CHOOSE( CONTROL!$C$15, $D$11, 100%, $F$11)</f>
        <v>42.518099999999997</v>
      </c>
      <c r="F922" s="4">
        <f>CHOOSE( CONTROL!$C$32, 43.1956, 43.192) * CHOOSE(CONTROL!$C$15, $D$11, 100%, $F$11)</f>
        <v>43.195599999999999</v>
      </c>
      <c r="G922" s="8">
        <f>CHOOSE( CONTROL!$C$32, 41.7707, 41.7671) * CHOOSE( CONTROL!$C$15, $D$11, 100%, $F$11)</f>
        <v>41.770699999999998</v>
      </c>
      <c r="H922" s="4">
        <f>CHOOSE( CONTROL!$C$32, 42.7081, 42.7046) * CHOOSE(CONTROL!$C$15, $D$11, 100%, $F$11)</f>
        <v>42.708100000000002</v>
      </c>
      <c r="I922" s="8">
        <f>CHOOSE( CONTROL!$C$32, 41.1725, 41.1691) * CHOOSE(CONTROL!$C$15, $D$11, 100%, $F$11)</f>
        <v>41.172499999999999</v>
      </c>
      <c r="J922" s="4">
        <f>CHOOSE( CONTROL!$C$32, 41.0606, 41.0572) * CHOOSE(CONTROL!$C$15, $D$11, 100%, $F$11)</f>
        <v>41.060600000000001</v>
      </c>
      <c r="K922" s="4"/>
      <c r="L922" s="9">
        <v>29.7257</v>
      </c>
      <c r="M922" s="9">
        <v>11.6745</v>
      </c>
      <c r="N922" s="9">
        <v>4.7850000000000001</v>
      </c>
      <c r="O922" s="9">
        <v>0.36199999999999999</v>
      </c>
      <c r="P922" s="9">
        <v>1.1791</v>
      </c>
      <c r="Q922" s="9">
        <v>19.053000000000001</v>
      </c>
      <c r="R922" s="9"/>
      <c r="S922" s="11"/>
    </row>
    <row r="923" spans="1:19" ht="15.75">
      <c r="A923" s="13">
        <v>69610</v>
      </c>
      <c r="B923" s="8">
        <f>CHOOSE( CONTROL!$C$32, 44.3349, 44.3313) * CHOOSE(CONTROL!$C$15, $D$11, 100%, $F$11)</f>
        <v>44.334899999999998</v>
      </c>
      <c r="C923" s="8">
        <f>CHOOSE( CONTROL!$C$32, 44.3429, 44.3393) * CHOOSE(CONTROL!$C$15, $D$11, 100%, $F$11)</f>
        <v>44.3429</v>
      </c>
      <c r="D923" s="8">
        <f>CHOOSE( CONTROL!$C$32, 44.3495, 44.3459) * CHOOSE( CONTROL!$C$15, $D$11, 100%, $F$11)</f>
        <v>44.349499999999999</v>
      </c>
      <c r="E923" s="12">
        <f>CHOOSE( CONTROL!$C$32, 44.3459, 44.3423) * CHOOSE( CONTROL!$C$15, $D$11, 100%, $F$11)</f>
        <v>44.3459</v>
      </c>
      <c r="F923" s="4">
        <f>CHOOSE( CONTROL!$C$32, 45.0232, 45.0196) * CHOOSE(CONTROL!$C$15, $D$11, 100%, $F$11)</f>
        <v>45.023200000000003</v>
      </c>
      <c r="G923" s="8">
        <f>CHOOSE( CONTROL!$C$32, 43.5684, 43.5649) * CHOOSE( CONTROL!$C$15, $D$11, 100%, $F$11)</f>
        <v>43.568399999999997</v>
      </c>
      <c r="H923" s="4">
        <f>CHOOSE( CONTROL!$C$32, 44.5053, 44.5018) * CHOOSE(CONTROL!$C$15, $D$11, 100%, $F$11)</f>
        <v>44.505299999999998</v>
      </c>
      <c r="I923" s="8">
        <f>CHOOSE( CONTROL!$C$32, 42.9416, 42.9381) * CHOOSE(CONTROL!$C$15, $D$11, 100%, $F$11)</f>
        <v>42.941600000000001</v>
      </c>
      <c r="J923" s="4">
        <f>CHOOSE( CONTROL!$C$32, 42.8273, 42.8239) * CHOOSE(CONTROL!$C$15, $D$11, 100%, $F$11)</f>
        <v>42.827300000000001</v>
      </c>
      <c r="K923" s="4"/>
      <c r="L923" s="9">
        <v>30.7165</v>
      </c>
      <c r="M923" s="9">
        <v>12.063700000000001</v>
      </c>
      <c r="N923" s="9">
        <v>4.9444999999999997</v>
      </c>
      <c r="O923" s="9">
        <v>0.37409999999999999</v>
      </c>
      <c r="P923" s="9">
        <v>1.2183999999999999</v>
      </c>
      <c r="Q923" s="9">
        <v>19.688099999999999</v>
      </c>
      <c r="R923" s="9"/>
      <c r="S923" s="11"/>
    </row>
    <row r="924" spans="1:19" ht="15.75">
      <c r="A924" s="13">
        <v>69641</v>
      </c>
      <c r="B924" s="8">
        <f>CHOOSE( CONTROL!$C$32, 40.9153, 40.9118) * CHOOSE(CONTROL!$C$15, $D$11, 100%, $F$11)</f>
        <v>40.915300000000002</v>
      </c>
      <c r="C924" s="8">
        <f>CHOOSE( CONTROL!$C$32, 40.9233, 40.9198) * CHOOSE(CONTROL!$C$15, $D$11, 100%, $F$11)</f>
        <v>40.923299999999998</v>
      </c>
      <c r="D924" s="8">
        <f>CHOOSE( CONTROL!$C$32, 40.93, 40.9265) * CHOOSE( CONTROL!$C$15, $D$11, 100%, $F$11)</f>
        <v>40.93</v>
      </c>
      <c r="E924" s="12">
        <f>CHOOSE( CONTROL!$C$32, 40.9264, 40.9229) * CHOOSE( CONTROL!$C$15, $D$11, 100%, $F$11)</f>
        <v>40.926400000000001</v>
      </c>
      <c r="F924" s="4">
        <f>CHOOSE( CONTROL!$C$32, 41.6036, 41.6) * CHOOSE(CONTROL!$C$15, $D$11, 100%, $F$11)</f>
        <v>41.6036</v>
      </c>
      <c r="G924" s="8">
        <f>CHOOSE( CONTROL!$C$32, 40.2057, 40.2021) * CHOOSE( CONTROL!$C$15, $D$11, 100%, $F$11)</f>
        <v>40.2057</v>
      </c>
      <c r="H924" s="4">
        <f>CHOOSE( CONTROL!$C$32, 41.1425, 41.139) * CHOOSE(CONTROL!$C$15, $D$11, 100%, $F$11)</f>
        <v>41.142499999999998</v>
      </c>
      <c r="I924" s="8">
        <f>CHOOSE( CONTROL!$C$32, 39.6347, 39.6312) * CHOOSE(CONTROL!$C$15, $D$11, 100%, $F$11)</f>
        <v>39.634700000000002</v>
      </c>
      <c r="J924" s="4">
        <f>CHOOSE( CONTROL!$C$32, 39.5216, 39.5182) * CHOOSE(CONTROL!$C$15, $D$11, 100%, $F$11)</f>
        <v>39.521599999999999</v>
      </c>
      <c r="K924" s="4"/>
      <c r="L924" s="9">
        <v>30.7165</v>
      </c>
      <c r="M924" s="9">
        <v>12.063700000000001</v>
      </c>
      <c r="N924" s="9">
        <v>4.9444999999999997</v>
      </c>
      <c r="O924" s="9">
        <v>0.37409999999999999</v>
      </c>
      <c r="P924" s="9">
        <v>1.2183999999999999</v>
      </c>
      <c r="Q924" s="9">
        <v>19.688099999999999</v>
      </c>
      <c r="R924" s="9"/>
      <c r="S924" s="11"/>
    </row>
    <row r="925" spans="1:19" ht="15.75">
      <c r="A925" s="13">
        <v>69671</v>
      </c>
      <c r="B925" s="8">
        <f>CHOOSE( CONTROL!$C$32, 40.059, 40.0555) * CHOOSE(CONTROL!$C$15, $D$11, 100%, $F$11)</f>
        <v>40.058999999999997</v>
      </c>
      <c r="C925" s="8">
        <f>CHOOSE( CONTROL!$C$32, 40.067, 40.0635) * CHOOSE(CONTROL!$C$15, $D$11, 100%, $F$11)</f>
        <v>40.067</v>
      </c>
      <c r="D925" s="8">
        <f>CHOOSE( CONTROL!$C$32, 40.0737, 40.0702) * CHOOSE( CONTROL!$C$15, $D$11, 100%, $F$11)</f>
        <v>40.073700000000002</v>
      </c>
      <c r="E925" s="12">
        <f>CHOOSE( CONTROL!$C$32, 40.0701, 40.0666) * CHOOSE( CONTROL!$C$15, $D$11, 100%, $F$11)</f>
        <v>40.070099999999996</v>
      </c>
      <c r="F925" s="4">
        <f>CHOOSE( CONTROL!$C$32, 40.7473, 40.7437) * CHOOSE(CONTROL!$C$15, $D$11, 100%, $F$11)</f>
        <v>40.747300000000003</v>
      </c>
      <c r="G925" s="8">
        <f>CHOOSE( CONTROL!$C$32, 39.3636, 39.36) * CHOOSE( CONTROL!$C$15, $D$11, 100%, $F$11)</f>
        <v>39.363599999999998</v>
      </c>
      <c r="H925" s="4">
        <f>CHOOSE( CONTROL!$C$32, 40.3004, 40.2969) * CHOOSE(CONTROL!$C$15, $D$11, 100%, $F$11)</f>
        <v>40.300400000000003</v>
      </c>
      <c r="I925" s="8">
        <f>CHOOSE( CONTROL!$C$32, 38.8065, 38.803) * CHOOSE(CONTROL!$C$15, $D$11, 100%, $F$11)</f>
        <v>38.8065</v>
      </c>
      <c r="J925" s="4">
        <f>CHOOSE( CONTROL!$C$32, 38.6938, 38.6904) * CHOOSE(CONTROL!$C$15, $D$11, 100%, $F$11)</f>
        <v>38.693800000000003</v>
      </c>
      <c r="K925" s="4"/>
      <c r="L925" s="9">
        <v>29.7257</v>
      </c>
      <c r="M925" s="9">
        <v>11.6745</v>
      </c>
      <c r="N925" s="9">
        <v>4.7850000000000001</v>
      </c>
      <c r="O925" s="9">
        <v>0.36199999999999999</v>
      </c>
      <c r="P925" s="9">
        <v>1.1791</v>
      </c>
      <c r="Q925" s="9">
        <v>19.053000000000001</v>
      </c>
      <c r="R925" s="9"/>
      <c r="S925" s="11"/>
    </row>
    <row r="926" spans="1:19" ht="15.75">
      <c r="A926" s="13">
        <v>69702</v>
      </c>
      <c r="B926" s="8">
        <f>41.8317 * CHOOSE(CONTROL!$C$15, $D$11, 100%, $F$11)</f>
        <v>41.831699999999998</v>
      </c>
      <c r="C926" s="8">
        <f>41.8371 * CHOOSE(CONTROL!$C$15, $D$11, 100%, $F$11)</f>
        <v>41.8371</v>
      </c>
      <c r="D926" s="8">
        <f>41.8486 * CHOOSE( CONTROL!$C$15, $D$11, 100%, $F$11)</f>
        <v>41.848599999999998</v>
      </c>
      <c r="E926" s="12">
        <f>41.8442 * CHOOSE( CONTROL!$C$15, $D$11, 100%, $F$11)</f>
        <v>41.844200000000001</v>
      </c>
      <c r="F926" s="4">
        <f>42.5217 * CHOOSE(CONTROL!$C$15, $D$11, 100%, $F$11)</f>
        <v>42.521700000000003</v>
      </c>
      <c r="G926" s="8">
        <f>41.108 * CHOOSE( CONTROL!$C$15, $D$11, 100%, $F$11)</f>
        <v>41.107999999999997</v>
      </c>
      <c r="H926" s="4">
        <f>42.0454 * CHOOSE(CONTROL!$C$15, $D$11, 100%, $F$11)</f>
        <v>42.045400000000001</v>
      </c>
      <c r="I926" s="8">
        <f>40.5234 * CHOOSE(CONTROL!$C$15, $D$11, 100%, $F$11)</f>
        <v>40.523400000000002</v>
      </c>
      <c r="J926" s="4">
        <f>40.4091 * CHOOSE(CONTROL!$C$15, $D$11, 100%, $F$11)</f>
        <v>40.409100000000002</v>
      </c>
      <c r="K926" s="4"/>
      <c r="L926" s="9">
        <v>31.095300000000002</v>
      </c>
      <c r="M926" s="9">
        <v>12.063700000000001</v>
      </c>
      <c r="N926" s="9">
        <v>4.9444999999999997</v>
      </c>
      <c r="O926" s="9">
        <v>0.37409999999999999</v>
      </c>
      <c r="P926" s="9">
        <v>1.2183999999999999</v>
      </c>
      <c r="Q926" s="9">
        <v>19.688099999999999</v>
      </c>
      <c r="R926" s="9"/>
      <c r="S926" s="11"/>
    </row>
    <row r="927" spans="1:19" ht="15.75">
      <c r="A927" s="13">
        <v>69732</v>
      </c>
      <c r="B927" s="8">
        <f>45.1131 * CHOOSE(CONTROL!$C$15, $D$11, 100%, $F$11)</f>
        <v>45.113100000000003</v>
      </c>
      <c r="C927" s="8">
        <f>45.1182 * CHOOSE(CONTROL!$C$15, $D$11, 100%, $F$11)</f>
        <v>45.118200000000002</v>
      </c>
      <c r="D927" s="8">
        <f>45.0951 * CHOOSE( CONTROL!$C$15, $D$11, 100%, $F$11)</f>
        <v>45.095100000000002</v>
      </c>
      <c r="E927" s="12">
        <f>45.103 * CHOOSE( CONTROL!$C$15, $D$11, 100%, $F$11)</f>
        <v>45.103000000000002</v>
      </c>
      <c r="F927" s="4">
        <f>45.758 * CHOOSE(CONTROL!$C$15, $D$11, 100%, $F$11)</f>
        <v>45.758000000000003</v>
      </c>
      <c r="G927" s="8">
        <f>44.3462 * CHOOSE( CONTROL!$C$15, $D$11, 100%, $F$11)</f>
        <v>44.346200000000003</v>
      </c>
      <c r="H927" s="4">
        <f>45.228 * CHOOSE(CONTROL!$C$15, $D$11, 100%, $F$11)</f>
        <v>45.228000000000002</v>
      </c>
      <c r="I927" s="8">
        <f>43.7221 * CHOOSE(CONTROL!$C$15, $D$11, 100%, $F$11)</f>
        <v>43.722099999999998</v>
      </c>
      <c r="J927" s="4">
        <f>43.5816 * CHOOSE(CONTROL!$C$15, $D$11, 100%, $F$11)</f>
        <v>43.581600000000002</v>
      </c>
      <c r="K927" s="4"/>
      <c r="L927" s="9">
        <v>28.360600000000002</v>
      </c>
      <c r="M927" s="9">
        <v>11.6745</v>
      </c>
      <c r="N927" s="9">
        <v>4.7850000000000001</v>
      </c>
      <c r="O927" s="9">
        <v>0.36199999999999999</v>
      </c>
      <c r="P927" s="9">
        <v>1.2509999999999999</v>
      </c>
      <c r="Q927" s="9">
        <v>19.053000000000001</v>
      </c>
      <c r="R927" s="9"/>
      <c r="S927" s="11"/>
    </row>
    <row r="928" spans="1:19" ht="15.75">
      <c r="A928" s="13">
        <v>69763</v>
      </c>
      <c r="B928" s="8">
        <f>45.0311 * CHOOSE(CONTROL!$C$15, $D$11, 100%, $F$11)</f>
        <v>45.031100000000002</v>
      </c>
      <c r="C928" s="8">
        <f>45.0362 * CHOOSE(CONTROL!$C$15, $D$11, 100%, $F$11)</f>
        <v>45.036200000000001</v>
      </c>
      <c r="D928" s="8">
        <f>45.0145 * CHOOSE( CONTROL!$C$15, $D$11, 100%, $F$11)</f>
        <v>45.014499999999998</v>
      </c>
      <c r="E928" s="12">
        <f>45.0219 * CHOOSE( CONTROL!$C$15, $D$11, 100%, $F$11)</f>
        <v>45.021900000000002</v>
      </c>
      <c r="F928" s="4">
        <f>45.676 * CHOOSE(CONTROL!$C$15, $D$11, 100%, $F$11)</f>
        <v>45.676000000000002</v>
      </c>
      <c r="G928" s="8">
        <f>44.2665 * CHOOSE( CONTROL!$C$15, $D$11, 100%, $F$11)</f>
        <v>44.266500000000001</v>
      </c>
      <c r="H928" s="4">
        <f>45.1473 * CHOOSE(CONTROL!$C$15, $D$11, 100%, $F$11)</f>
        <v>45.147300000000001</v>
      </c>
      <c r="I928" s="8">
        <f>43.6472 * CHOOSE(CONTROL!$C$15, $D$11, 100%, $F$11)</f>
        <v>43.647199999999998</v>
      </c>
      <c r="J928" s="4">
        <f>43.5024 * CHOOSE(CONTROL!$C$15, $D$11, 100%, $F$11)</f>
        <v>43.502400000000002</v>
      </c>
      <c r="K928" s="4"/>
      <c r="L928" s="9">
        <v>29.306000000000001</v>
      </c>
      <c r="M928" s="9">
        <v>12.063700000000001</v>
      </c>
      <c r="N928" s="9">
        <v>4.9444999999999997</v>
      </c>
      <c r="O928" s="9">
        <v>0.37409999999999999</v>
      </c>
      <c r="P928" s="9">
        <v>1.2927</v>
      </c>
      <c r="Q928" s="9">
        <v>19.688099999999999</v>
      </c>
      <c r="R928" s="9"/>
      <c r="S928" s="11"/>
    </row>
    <row r="929" spans="1:19" ht="15.75">
      <c r="A929" s="13">
        <v>69794</v>
      </c>
      <c r="B929" s="8">
        <f>46.751 * CHOOSE(CONTROL!$C$15, $D$11, 100%, $F$11)</f>
        <v>46.750999999999998</v>
      </c>
      <c r="C929" s="8">
        <f>46.7561 * CHOOSE(CONTROL!$C$15, $D$11, 100%, $F$11)</f>
        <v>46.756100000000004</v>
      </c>
      <c r="D929" s="8">
        <f>46.7303 * CHOOSE( CONTROL!$C$15, $D$11, 100%, $F$11)</f>
        <v>46.7303</v>
      </c>
      <c r="E929" s="12">
        <f>46.7392 * CHOOSE( CONTROL!$C$15, $D$11, 100%, $F$11)</f>
        <v>46.739199999999997</v>
      </c>
      <c r="F929" s="4">
        <f>47.395 * CHOOSE(CONTROL!$C$15, $D$11, 100%, $F$11)</f>
        <v>47.395000000000003</v>
      </c>
      <c r="G929" s="8">
        <f>45.9516 * CHOOSE( CONTROL!$C$15, $D$11, 100%, $F$11)</f>
        <v>45.951599999999999</v>
      </c>
      <c r="H929" s="4">
        <f>46.8379 * CHOOSE(CONTROL!$C$15, $D$11, 100%, $F$11)</f>
        <v>46.837899999999998</v>
      </c>
      <c r="I929" s="8">
        <f>45.2812 * CHOOSE(CONTROL!$C$15, $D$11, 100%, $F$11)</f>
        <v>45.281199999999998</v>
      </c>
      <c r="J929" s="4">
        <f>45.165 * CHOOSE(CONTROL!$C$15, $D$11, 100%, $F$11)</f>
        <v>45.164999999999999</v>
      </c>
      <c r="K929" s="4"/>
      <c r="L929" s="9">
        <v>29.306000000000001</v>
      </c>
      <c r="M929" s="9">
        <v>12.063700000000001</v>
      </c>
      <c r="N929" s="9">
        <v>4.9444999999999997</v>
      </c>
      <c r="O929" s="9">
        <v>0.37409999999999999</v>
      </c>
      <c r="P929" s="9">
        <v>1.2927</v>
      </c>
      <c r="Q929" s="9">
        <v>19.688099999999999</v>
      </c>
      <c r="R929" s="9"/>
      <c r="S929" s="11"/>
    </row>
    <row r="930" spans="1:19" ht="15.75">
      <c r="A930" s="13">
        <v>69822</v>
      </c>
      <c r="B930" s="8">
        <f>43.7306 * CHOOSE(CONTROL!$C$15, $D$11, 100%, $F$11)</f>
        <v>43.730600000000003</v>
      </c>
      <c r="C930" s="8">
        <f>43.7357 * CHOOSE(CONTROL!$C$15, $D$11, 100%, $F$11)</f>
        <v>43.735700000000001</v>
      </c>
      <c r="D930" s="8">
        <f>43.7101 * CHOOSE( CONTROL!$C$15, $D$11, 100%, $F$11)</f>
        <v>43.710099999999997</v>
      </c>
      <c r="E930" s="12">
        <f>43.7189 * CHOOSE( CONTROL!$C$15, $D$11, 100%, $F$11)</f>
        <v>43.718899999999998</v>
      </c>
      <c r="F930" s="4">
        <f>44.3746 * CHOOSE(CONTROL!$C$15, $D$11, 100%, $F$11)</f>
        <v>44.374600000000001</v>
      </c>
      <c r="G930" s="8">
        <f>42.9815 * CHOOSE( CONTROL!$C$15, $D$11, 100%, $F$11)</f>
        <v>42.981499999999997</v>
      </c>
      <c r="H930" s="4">
        <f>43.8675 * CHOOSE(CONTROL!$C$15, $D$11, 100%, $F$11)</f>
        <v>43.8675</v>
      </c>
      <c r="I930" s="8">
        <f>42.3607 * CHOOSE(CONTROL!$C$15, $D$11, 100%, $F$11)</f>
        <v>42.360700000000001</v>
      </c>
      <c r="J930" s="4">
        <f>42.2452 * CHOOSE(CONTROL!$C$15, $D$11, 100%, $F$11)</f>
        <v>42.245199999999997</v>
      </c>
      <c r="K930" s="4"/>
      <c r="L930" s="9">
        <v>26.469899999999999</v>
      </c>
      <c r="M930" s="9">
        <v>10.8962</v>
      </c>
      <c r="N930" s="9">
        <v>4.4660000000000002</v>
      </c>
      <c r="O930" s="9">
        <v>0.33789999999999998</v>
      </c>
      <c r="P930" s="9">
        <v>1.1676</v>
      </c>
      <c r="Q930" s="9">
        <v>17.782800000000002</v>
      </c>
      <c r="R930" s="9"/>
      <c r="S930" s="11"/>
    </row>
    <row r="931" spans="1:19" ht="15.75">
      <c r="A931" s="13">
        <v>69853</v>
      </c>
      <c r="B931" s="8">
        <f>42.8003 * CHOOSE(CONTROL!$C$15, $D$11, 100%, $F$11)</f>
        <v>42.8003</v>
      </c>
      <c r="C931" s="8">
        <f>42.8054 * CHOOSE(CONTROL!$C$15, $D$11, 100%, $F$11)</f>
        <v>42.805399999999999</v>
      </c>
      <c r="D931" s="8">
        <f>42.7797 * CHOOSE( CONTROL!$C$15, $D$11, 100%, $F$11)</f>
        <v>42.779699999999998</v>
      </c>
      <c r="E931" s="12">
        <f>42.7886 * CHOOSE( CONTROL!$C$15, $D$11, 100%, $F$11)</f>
        <v>42.788600000000002</v>
      </c>
      <c r="F931" s="4">
        <f>43.4443 * CHOOSE(CONTROL!$C$15, $D$11, 100%, $F$11)</f>
        <v>43.444299999999998</v>
      </c>
      <c r="G931" s="8">
        <f>42.0666 * CHOOSE( CONTROL!$C$15, $D$11, 100%, $F$11)</f>
        <v>42.066600000000001</v>
      </c>
      <c r="H931" s="4">
        <f>42.9527 * CHOOSE(CONTROL!$C$15, $D$11, 100%, $F$11)</f>
        <v>42.9527</v>
      </c>
      <c r="I931" s="8">
        <f>41.4607 * CHOOSE(CONTROL!$C$15, $D$11, 100%, $F$11)</f>
        <v>41.460700000000003</v>
      </c>
      <c r="J931" s="4">
        <f>41.3459 * CHOOSE(CONTROL!$C$15, $D$11, 100%, $F$11)</f>
        <v>41.3459</v>
      </c>
      <c r="K931" s="4"/>
      <c r="L931" s="9">
        <v>29.306000000000001</v>
      </c>
      <c r="M931" s="9">
        <v>12.063700000000001</v>
      </c>
      <c r="N931" s="9">
        <v>4.9444999999999997</v>
      </c>
      <c r="O931" s="9">
        <v>0.37409999999999999</v>
      </c>
      <c r="P931" s="9">
        <v>1.2927</v>
      </c>
      <c r="Q931" s="9">
        <v>19.688099999999999</v>
      </c>
      <c r="R931" s="9"/>
      <c r="S931" s="11"/>
    </row>
    <row r="932" spans="1:19" ht="15.75">
      <c r="A932" s="13">
        <v>69883</v>
      </c>
      <c r="B932" s="8">
        <f>43.4511 * CHOOSE(CONTROL!$C$15, $D$11, 100%, $F$11)</f>
        <v>43.451099999999997</v>
      </c>
      <c r="C932" s="8">
        <f>43.4557 * CHOOSE(CONTROL!$C$15, $D$11, 100%, $F$11)</f>
        <v>43.4557</v>
      </c>
      <c r="D932" s="8">
        <f>43.4667 * CHOOSE( CONTROL!$C$15, $D$11, 100%, $F$11)</f>
        <v>43.466700000000003</v>
      </c>
      <c r="E932" s="12">
        <f>43.4625 * CHOOSE( CONTROL!$C$15, $D$11, 100%, $F$11)</f>
        <v>43.462499999999999</v>
      </c>
      <c r="F932" s="4">
        <f>44.1407 * CHOOSE(CONTROL!$C$15, $D$11, 100%, $F$11)</f>
        <v>44.140700000000002</v>
      </c>
      <c r="G932" s="8">
        <f>42.6987 * CHOOSE( CONTROL!$C$15, $D$11, 100%, $F$11)</f>
        <v>42.698700000000002</v>
      </c>
      <c r="H932" s="4">
        <f>43.6376 * CHOOSE(CONTROL!$C$15, $D$11, 100%, $F$11)</f>
        <v>43.637599999999999</v>
      </c>
      <c r="I932" s="8">
        <f>42.0845 * CHOOSE(CONTROL!$C$15, $D$11, 100%, $F$11)</f>
        <v>42.084499999999998</v>
      </c>
      <c r="J932" s="4">
        <f>41.9743 * CHOOSE(CONTROL!$C$15, $D$11, 100%, $F$11)</f>
        <v>41.974299999999999</v>
      </c>
      <c r="K932" s="4"/>
      <c r="L932" s="9">
        <v>30.092199999999998</v>
      </c>
      <c r="M932" s="9">
        <v>11.6745</v>
      </c>
      <c r="N932" s="9">
        <v>4.7850000000000001</v>
      </c>
      <c r="O932" s="9">
        <v>0.36199999999999999</v>
      </c>
      <c r="P932" s="9">
        <v>1.1791</v>
      </c>
      <c r="Q932" s="9">
        <v>19.053000000000001</v>
      </c>
      <c r="R932" s="9"/>
      <c r="S932" s="11"/>
    </row>
    <row r="933" spans="1:19" ht="15.75">
      <c r="A933" s="13">
        <v>69914</v>
      </c>
      <c r="B933" s="8">
        <f>CHOOSE( CONTROL!$C$32, 44.613, 44.6094) * CHOOSE(CONTROL!$C$15, $D$11, 100%, $F$11)</f>
        <v>44.613</v>
      </c>
      <c r="C933" s="8">
        <f>CHOOSE( CONTROL!$C$32, 44.621, 44.6174) * CHOOSE(CONTROL!$C$15, $D$11, 100%, $F$11)</f>
        <v>44.621000000000002</v>
      </c>
      <c r="D933" s="8">
        <f>CHOOSE( CONTROL!$C$32, 44.627, 44.6235) * CHOOSE( CONTROL!$C$15, $D$11, 100%, $F$11)</f>
        <v>44.627000000000002</v>
      </c>
      <c r="E933" s="12">
        <f>CHOOSE( CONTROL!$C$32, 44.6236, 44.6201) * CHOOSE( CONTROL!$C$15, $D$11, 100%, $F$11)</f>
        <v>44.623600000000003</v>
      </c>
      <c r="F933" s="4">
        <f>CHOOSE( CONTROL!$C$32, 45.3013, 45.2977) * CHOOSE(CONTROL!$C$15, $D$11, 100%, $F$11)</f>
        <v>45.301299999999998</v>
      </c>
      <c r="G933" s="8">
        <f>CHOOSE( CONTROL!$C$32, 43.841, 43.8375) * CHOOSE( CONTROL!$C$15, $D$11, 100%, $F$11)</f>
        <v>43.841000000000001</v>
      </c>
      <c r="H933" s="4">
        <f>CHOOSE( CONTROL!$C$32, 44.7788, 44.7753) * CHOOSE(CONTROL!$C$15, $D$11, 100%, $F$11)</f>
        <v>44.778799999999997</v>
      </c>
      <c r="I933" s="8">
        <f>CHOOSE( CONTROL!$C$32, 43.2078, 43.2043) * CHOOSE(CONTROL!$C$15, $D$11, 100%, $F$11)</f>
        <v>43.207799999999999</v>
      </c>
      <c r="J933" s="4">
        <f>CHOOSE( CONTROL!$C$32, 43.0961, 43.0927) * CHOOSE(CONTROL!$C$15, $D$11, 100%, $F$11)</f>
        <v>43.0961</v>
      </c>
      <c r="K933" s="4"/>
      <c r="L933" s="9">
        <v>30.7165</v>
      </c>
      <c r="M933" s="9">
        <v>12.063700000000001</v>
      </c>
      <c r="N933" s="9">
        <v>4.9444999999999997</v>
      </c>
      <c r="O933" s="9">
        <v>0.37409999999999999</v>
      </c>
      <c r="P933" s="9">
        <v>1.2183999999999999</v>
      </c>
      <c r="Q933" s="9">
        <v>19.688099999999999</v>
      </c>
      <c r="R933" s="9"/>
      <c r="S933" s="11"/>
    </row>
    <row r="934" spans="1:19" ht="15.75">
      <c r="A934" s="13">
        <v>69944</v>
      </c>
      <c r="B934" s="8">
        <f>CHOOSE( CONTROL!$C$32, 43.8963, 43.8927) * CHOOSE(CONTROL!$C$15, $D$11, 100%, $F$11)</f>
        <v>43.896299999999997</v>
      </c>
      <c r="C934" s="8">
        <f>CHOOSE( CONTROL!$C$32, 43.9043, 43.9007) * CHOOSE(CONTROL!$C$15, $D$11, 100%, $F$11)</f>
        <v>43.904299999999999</v>
      </c>
      <c r="D934" s="8">
        <f>CHOOSE( CONTROL!$C$32, 43.9106, 43.907) * CHOOSE( CONTROL!$C$15, $D$11, 100%, $F$11)</f>
        <v>43.910600000000002</v>
      </c>
      <c r="E934" s="12">
        <f>CHOOSE( CONTROL!$C$32, 43.9071, 43.9035) * CHOOSE( CONTROL!$C$15, $D$11, 100%, $F$11)</f>
        <v>43.9071</v>
      </c>
      <c r="F934" s="4">
        <f>CHOOSE( CONTROL!$C$32, 44.5846, 44.581) * CHOOSE(CONTROL!$C$15, $D$11, 100%, $F$11)</f>
        <v>44.584600000000002</v>
      </c>
      <c r="G934" s="8">
        <f>CHOOSE( CONTROL!$C$32, 43.1366, 43.1331) * CHOOSE( CONTROL!$C$15, $D$11, 100%, $F$11)</f>
        <v>43.136600000000001</v>
      </c>
      <c r="H934" s="4">
        <f>CHOOSE( CONTROL!$C$32, 44.074, 44.0705) * CHOOSE(CONTROL!$C$15, $D$11, 100%, $F$11)</f>
        <v>44.073999999999998</v>
      </c>
      <c r="I934" s="8">
        <f>CHOOSE( CONTROL!$C$32, 42.5159, 42.5125) * CHOOSE(CONTROL!$C$15, $D$11, 100%, $F$11)</f>
        <v>42.515900000000002</v>
      </c>
      <c r="J934" s="4">
        <f>CHOOSE( CONTROL!$C$32, 42.4033, 42.3999) * CHOOSE(CONTROL!$C$15, $D$11, 100%, $F$11)</f>
        <v>42.403300000000002</v>
      </c>
      <c r="K934" s="4"/>
      <c r="L934" s="9">
        <v>29.7257</v>
      </c>
      <c r="M934" s="9">
        <v>11.6745</v>
      </c>
      <c r="N934" s="9">
        <v>4.7850000000000001</v>
      </c>
      <c r="O934" s="9">
        <v>0.36199999999999999</v>
      </c>
      <c r="P934" s="9">
        <v>1.1791</v>
      </c>
      <c r="Q934" s="9">
        <v>19.053000000000001</v>
      </c>
      <c r="R934" s="9"/>
      <c r="S934" s="11"/>
    </row>
    <row r="935" spans="1:19" ht="15.75">
      <c r="A935" s="13">
        <v>69975</v>
      </c>
      <c r="B935" s="8">
        <f>CHOOSE( CONTROL!$C$32, 45.7836, 45.7801) * CHOOSE(CONTROL!$C$15, $D$11, 100%, $F$11)</f>
        <v>45.7836</v>
      </c>
      <c r="C935" s="8">
        <f>CHOOSE( CONTROL!$C$32, 45.7916, 45.7881) * CHOOSE(CONTROL!$C$15, $D$11, 100%, $F$11)</f>
        <v>45.791600000000003</v>
      </c>
      <c r="D935" s="8">
        <f>CHOOSE( CONTROL!$C$32, 45.7982, 45.7947) * CHOOSE( CONTROL!$C$15, $D$11, 100%, $F$11)</f>
        <v>45.798200000000001</v>
      </c>
      <c r="E935" s="12">
        <f>CHOOSE( CONTROL!$C$32, 45.7946, 45.7911) * CHOOSE( CONTROL!$C$15, $D$11, 100%, $F$11)</f>
        <v>45.794600000000003</v>
      </c>
      <c r="F935" s="4">
        <f>CHOOSE( CONTROL!$C$32, 46.4719, 46.4683) * CHOOSE(CONTROL!$C$15, $D$11, 100%, $F$11)</f>
        <v>46.471899999999998</v>
      </c>
      <c r="G935" s="8">
        <f>CHOOSE( CONTROL!$C$32, 44.9931, 44.9896) * CHOOSE( CONTROL!$C$15, $D$11, 100%, $F$11)</f>
        <v>44.993099999999998</v>
      </c>
      <c r="H935" s="4">
        <f>CHOOSE( CONTROL!$C$32, 45.9301, 45.9266) * CHOOSE(CONTROL!$C$15, $D$11, 100%, $F$11)</f>
        <v>45.930100000000003</v>
      </c>
      <c r="I935" s="8">
        <f>CHOOSE( CONTROL!$C$32, 44.3428, 44.3393) * CHOOSE(CONTROL!$C$15, $D$11, 100%, $F$11)</f>
        <v>44.342799999999997</v>
      </c>
      <c r="J935" s="4">
        <f>CHOOSE( CONTROL!$C$32, 44.2278, 44.2244) * CHOOSE(CONTROL!$C$15, $D$11, 100%, $F$11)</f>
        <v>44.227800000000002</v>
      </c>
      <c r="K935" s="4"/>
      <c r="L935" s="9">
        <v>30.7165</v>
      </c>
      <c r="M935" s="9">
        <v>12.063700000000001</v>
      </c>
      <c r="N935" s="9">
        <v>4.9444999999999997</v>
      </c>
      <c r="O935" s="9">
        <v>0.37409999999999999</v>
      </c>
      <c r="P935" s="9">
        <v>1.2183999999999999</v>
      </c>
      <c r="Q935" s="9">
        <v>19.688099999999999</v>
      </c>
      <c r="R935" s="9"/>
      <c r="S935" s="11"/>
    </row>
    <row r="936" spans="1:19" ht="15.75">
      <c r="A936" s="13">
        <v>70006</v>
      </c>
      <c r="B936" s="8">
        <f>CHOOSE( CONTROL!$C$32, 42.2522, 42.2487) * CHOOSE(CONTROL!$C$15, $D$11, 100%, $F$11)</f>
        <v>42.252200000000002</v>
      </c>
      <c r="C936" s="8">
        <f>CHOOSE( CONTROL!$C$32, 42.2602, 42.2567) * CHOOSE(CONTROL!$C$15, $D$11, 100%, $F$11)</f>
        <v>42.260199999999998</v>
      </c>
      <c r="D936" s="8">
        <f>CHOOSE( CONTROL!$C$32, 42.2669, 42.2634) * CHOOSE( CONTROL!$C$15, $D$11, 100%, $F$11)</f>
        <v>42.2669</v>
      </c>
      <c r="E936" s="12">
        <f>CHOOSE( CONTROL!$C$32, 42.2633, 42.2598) * CHOOSE( CONTROL!$C$15, $D$11, 100%, $F$11)</f>
        <v>42.263300000000001</v>
      </c>
      <c r="F936" s="4">
        <f>CHOOSE( CONTROL!$C$32, 42.9405, 42.9369) * CHOOSE(CONTROL!$C$15, $D$11, 100%, $F$11)</f>
        <v>42.9405</v>
      </c>
      <c r="G936" s="8">
        <f>CHOOSE( CONTROL!$C$32, 41.5204, 41.5169) * CHOOSE( CONTROL!$C$15, $D$11, 100%, $F$11)</f>
        <v>41.520400000000002</v>
      </c>
      <c r="H936" s="4">
        <f>CHOOSE( CONTROL!$C$32, 42.4572, 42.4537) * CHOOSE(CONTROL!$C$15, $D$11, 100%, $F$11)</f>
        <v>42.4572</v>
      </c>
      <c r="I936" s="8">
        <f>CHOOSE( CONTROL!$C$32, 40.9277, 40.9243) * CHOOSE(CONTROL!$C$15, $D$11, 100%, $F$11)</f>
        <v>40.927700000000002</v>
      </c>
      <c r="J936" s="4">
        <f>CHOOSE( CONTROL!$C$32, 40.814, 40.8106) * CHOOSE(CONTROL!$C$15, $D$11, 100%, $F$11)</f>
        <v>40.814</v>
      </c>
      <c r="K936" s="4"/>
      <c r="L936" s="9">
        <v>30.7165</v>
      </c>
      <c r="M936" s="9">
        <v>12.063700000000001</v>
      </c>
      <c r="N936" s="9">
        <v>4.9444999999999997</v>
      </c>
      <c r="O936" s="9">
        <v>0.37409999999999999</v>
      </c>
      <c r="P936" s="9">
        <v>1.2183999999999999</v>
      </c>
      <c r="Q936" s="9">
        <v>19.688099999999999</v>
      </c>
      <c r="R936" s="9"/>
      <c r="S936" s="11"/>
    </row>
    <row r="937" spans="1:19" ht="15.75">
      <c r="A937" s="13">
        <v>70036</v>
      </c>
      <c r="B937" s="8">
        <f>CHOOSE( CONTROL!$C$32, 41.3679, 41.3644) * CHOOSE(CONTROL!$C$15, $D$11, 100%, $F$11)</f>
        <v>41.367899999999999</v>
      </c>
      <c r="C937" s="8">
        <f>CHOOSE( CONTROL!$C$32, 41.3759, 41.3724) * CHOOSE(CONTROL!$C$15, $D$11, 100%, $F$11)</f>
        <v>41.375900000000001</v>
      </c>
      <c r="D937" s="8">
        <f>CHOOSE( CONTROL!$C$32, 41.3826, 41.3791) * CHOOSE( CONTROL!$C$15, $D$11, 100%, $F$11)</f>
        <v>41.382599999999996</v>
      </c>
      <c r="E937" s="12">
        <f>CHOOSE( CONTROL!$C$32, 41.379, 41.3755) * CHOOSE( CONTROL!$C$15, $D$11, 100%, $F$11)</f>
        <v>41.378999999999998</v>
      </c>
      <c r="F937" s="4">
        <f>CHOOSE( CONTROL!$C$32, 42.0562, 42.0526) * CHOOSE(CONTROL!$C$15, $D$11, 100%, $F$11)</f>
        <v>42.056199999999997</v>
      </c>
      <c r="G937" s="8">
        <f>CHOOSE( CONTROL!$C$32, 40.6508, 40.6472) * CHOOSE( CONTROL!$C$15, $D$11, 100%, $F$11)</f>
        <v>40.650799999999997</v>
      </c>
      <c r="H937" s="4">
        <f>CHOOSE( CONTROL!$C$32, 41.5876, 41.5841) * CHOOSE(CONTROL!$C$15, $D$11, 100%, $F$11)</f>
        <v>41.587600000000002</v>
      </c>
      <c r="I937" s="8">
        <f>CHOOSE( CONTROL!$C$32, 40.0724, 40.069) * CHOOSE(CONTROL!$C$15, $D$11, 100%, $F$11)</f>
        <v>40.072400000000002</v>
      </c>
      <c r="J937" s="4">
        <f>CHOOSE( CONTROL!$C$32, 39.9591, 39.9557) * CHOOSE(CONTROL!$C$15, $D$11, 100%, $F$11)</f>
        <v>39.959099999999999</v>
      </c>
      <c r="K937" s="4"/>
      <c r="L937" s="9">
        <v>29.7257</v>
      </c>
      <c r="M937" s="9">
        <v>11.6745</v>
      </c>
      <c r="N937" s="9">
        <v>4.7850000000000001</v>
      </c>
      <c r="O937" s="9">
        <v>0.36199999999999999</v>
      </c>
      <c r="P937" s="9">
        <v>1.1791</v>
      </c>
      <c r="Q937" s="9">
        <v>19.053000000000001</v>
      </c>
      <c r="R937" s="9"/>
      <c r="S937" s="11"/>
    </row>
    <row r="938" spans="1:19" ht="15.75">
      <c r="A938" s="13">
        <v>70067</v>
      </c>
      <c r="B938" s="8">
        <f>43.1988 * CHOOSE(CONTROL!$C$15, $D$11, 100%, $F$11)</f>
        <v>43.198799999999999</v>
      </c>
      <c r="C938" s="8">
        <f>43.2041 * CHOOSE(CONTROL!$C$15, $D$11, 100%, $F$11)</f>
        <v>43.204099999999997</v>
      </c>
      <c r="D938" s="8">
        <f>43.2157 * CHOOSE( CONTROL!$C$15, $D$11, 100%, $F$11)</f>
        <v>43.215699999999998</v>
      </c>
      <c r="E938" s="12">
        <f>43.2113 * CHOOSE( CONTROL!$C$15, $D$11, 100%, $F$11)</f>
        <v>43.211300000000001</v>
      </c>
      <c r="F938" s="4">
        <f>43.8888 * CHOOSE(CONTROL!$C$15, $D$11, 100%, $F$11)</f>
        <v>43.888800000000003</v>
      </c>
      <c r="G938" s="8">
        <f>42.4524 * CHOOSE( CONTROL!$C$15, $D$11, 100%, $F$11)</f>
        <v>42.452399999999997</v>
      </c>
      <c r="H938" s="4">
        <f>43.3898 * CHOOSE(CONTROL!$C$15, $D$11, 100%, $F$11)</f>
        <v>43.389800000000001</v>
      </c>
      <c r="I938" s="8">
        <f>41.8456 * CHOOSE(CONTROL!$C$15, $D$11, 100%, $F$11)</f>
        <v>41.845599999999997</v>
      </c>
      <c r="J938" s="4">
        <f>41.7307 * CHOOSE(CONTROL!$C$15, $D$11, 100%, $F$11)</f>
        <v>41.730699999999999</v>
      </c>
      <c r="K938" s="4"/>
      <c r="L938" s="9">
        <v>31.095300000000002</v>
      </c>
      <c r="M938" s="9">
        <v>12.063700000000001</v>
      </c>
      <c r="N938" s="9">
        <v>4.9444999999999997</v>
      </c>
      <c r="O938" s="9">
        <v>0.37409999999999999</v>
      </c>
      <c r="P938" s="9">
        <v>1.2183999999999999</v>
      </c>
      <c r="Q938" s="9">
        <v>19.688099999999999</v>
      </c>
      <c r="R938" s="9"/>
      <c r="S938" s="11"/>
    </row>
    <row r="939" spans="1:19" ht="15.75">
      <c r="A939" s="13">
        <v>70097</v>
      </c>
      <c r="B939" s="8">
        <f>46.5874 * CHOOSE(CONTROL!$C$15, $D$11, 100%, $F$11)</f>
        <v>46.587400000000002</v>
      </c>
      <c r="C939" s="8">
        <f>46.5926 * CHOOSE(CONTROL!$C$15, $D$11, 100%, $F$11)</f>
        <v>46.592599999999997</v>
      </c>
      <c r="D939" s="8">
        <f>46.5695 * CHOOSE( CONTROL!$C$15, $D$11, 100%, $F$11)</f>
        <v>46.569499999999998</v>
      </c>
      <c r="E939" s="12">
        <f>46.5774 * CHOOSE( CONTROL!$C$15, $D$11, 100%, $F$11)</f>
        <v>46.577399999999997</v>
      </c>
      <c r="F939" s="4">
        <f>47.2323 * CHOOSE(CONTROL!$C$15, $D$11, 100%, $F$11)</f>
        <v>47.232300000000002</v>
      </c>
      <c r="G939" s="8">
        <f>45.7961 * CHOOSE( CONTROL!$C$15, $D$11, 100%, $F$11)</f>
        <v>45.796100000000003</v>
      </c>
      <c r="H939" s="4">
        <f>46.6779 * CHOOSE(CONTROL!$C$15, $D$11, 100%, $F$11)</f>
        <v>46.677900000000001</v>
      </c>
      <c r="I939" s="8">
        <f>45.1481 * CHOOSE(CONTROL!$C$15, $D$11, 100%, $F$11)</f>
        <v>45.148099999999999</v>
      </c>
      <c r="J939" s="4">
        <f>45.0069 * CHOOSE(CONTROL!$C$15, $D$11, 100%, $F$11)</f>
        <v>45.006900000000002</v>
      </c>
      <c r="K939" s="4"/>
      <c r="L939" s="9">
        <v>28.360600000000002</v>
      </c>
      <c r="M939" s="9">
        <v>11.6745</v>
      </c>
      <c r="N939" s="9">
        <v>4.7850000000000001</v>
      </c>
      <c r="O939" s="9">
        <v>0.36199999999999999</v>
      </c>
      <c r="P939" s="9">
        <v>1.2509999999999999</v>
      </c>
      <c r="Q939" s="9">
        <v>19.053000000000001</v>
      </c>
      <c r="R939" s="9"/>
      <c r="S939" s="11"/>
    </row>
    <row r="940" spans="1:19" ht="15.75">
      <c r="A940" s="13">
        <v>70128</v>
      </c>
      <c r="B940" s="8">
        <f>46.5028 * CHOOSE(CONTROL!$C$15, $D$11, 100%, $F$11)</f>
        <v>46.502800000000001</v>
      </c>
      <c r="C940" s="8">
        <f>46.5079 * CHOOSE(CONTROL!$C$15, $D$11, 100%, $F$11)</f>
        <v>46.507899999999999</v>
      </c>
      <c r="D940" s="8">
        <f>46.4862 * CHOOSE( CONTROL!$C$15, $D$11, 100%, $F$11)</f>
        <v>46.486199999999997</v>
      </c>
      <c r="E940" s="12">
        <f>46.4936 * CHOOSE( CONTROL!$C$15, $D$11, 100%, $F$11)</f>
        <v>46.493600000000001</v>
      </c>
      <c r="F940" s="4">
        <f>47.1477 * CHOOSE(CONTROL!$C$15, $D$11, 100%, $F$11)</f>
        <v>47.1477</v>
      </c>
      <c r="G940" s="8">
        <f>45.7138 * CHOOSE( CONTROL!$C$15, $D$11, 100%, $F$11)</f>
        <v>45.713799999999999</v>
      </c>
      <c r="H940" s="4">
        <f>46.5946 * CHOOSE(CONTROL!$C$15, $D$11, 100%, $F$11)</f>
        <v>46.5946</v>
      </c>
      <c r="I940" s="8">
        <f>45.0706 * CHOOSE(CONTROL!$C$15, $D$11, 100%, $F$11)</f>
        <v>45.070599999999999</v>
      </c>
      <c r="J940" s="4">
        <f>44.9251 * CHOOSE(CONTROL!$C$15, $D$11, 100%, $F$11)</f>
        <v>44.9251</v>
      </c>
      <c r="K940" s="4"/>
      <c r="L940" s="9">
        <v>29.306000000000001</v>
      </c>
      <c r="M940" s="9">
        <v>12.063700000000001</v>
      </c>
      <c r="N940" s="9">
        <v>4.9444999999999997</v>
      </c>
      <c r="O940" s="9">
        <v>0.37409999999999999</v>
      </c>
      <c r="P940" s="9">
        <v>1.2927</v>
      </c>
      <c r="Q940" s="9">
        <v>19.688099999999999</v>
      </c>
      <c r="R940" s="9"/>
      <c r="S940" s="11"/>
    </row>
    <row r="941" spans="1:19" ht="15.75">
      <c r="A941" s="13">
        <v>70159</v>
      </c>
      <c r="B941" s="8">
        <f>48.2789 * CHOOSE(CONTROL!$C$15, $D$11, 100%, $F$11)</f>
        <v>48.2789</v>
      </c>
      <c r="C941" s="8">
        <f>48.284 * CHOOSE(CONTROL!$C$15, $D$11, 100%, $F$11)</f>
        <v>48.283999999999999</v>
      </c>
      <c r="D941" s="8">
        <f>48.2582 * CHOOSE( CONTROL!$C$15, $D$11, 100%, $F$11)</f>
        <v>48.258200000000002</v>
      </c>
      <c r="E941" s="12">
        <f>48.2671 * CHOOSE( CONTROL!$C$15, $D$11, 100%, $F$11)</f>
        <v>48.267099999999999</v>
      </c>
      <c r="F941" s="4">
        <f>48.923 * CHOOSE(CONTROL!$C$15, $D$11, 100%, $F$11)</f>
        <v>48.923000000000002</v>
      </c>
      <c r="G941" s="8">
        <f>47.4543 * CHOOSE( CONTROL!$C$15, $D$11, 100%, $F$11)</f>
        <v>47.454300000000003</v>
      </c>
      <c r="H941" s="4">
        <f>48.3405 * CHOOSE(CONTROL!$C$15, $D$11, 100%, $F$11)</f>
        <v>48.340499999999999</v>
      </c>
      <c r="I941" s="8">
        <f>46.759 * CHOOSE(CONTROL!$C$15, $D$11, 100%, $F$11)</f>
        <v>46.759</v>
      </c>
      <c r="J941" s="4">
        <f>46.6421 * CHOOSE(CONTROL!$C$15, $D$11, 100%, $F$11)</f>
        <v>46.642099999999999</v>
      </c>
      <c r="K941" s="4"/>
      <c r="L941" s="9">
        <v>29.306000000000001</v>
      </c>
      <c r="M941" s="9">
        <v>12.063700000000001</v>
      </c>
      <c r="N941" s="9">
        <v>4.9444999999999997</v>
      </c>
      <c r="O941" s="9">
        <v>0.37409999999999999</v>
      </c>
      <c r="P941" s="9">
        <v>1.2927</v>
      </c>
      <c r="Q941" s="9">
        <v>19.688099999999999</v>
      </c>
      <c r="R941" s="9"/>
      <c r="S941" s="11"/>
    </row>
    <row r="942" spans="1:19" ht="15.75">
      <c r="A942" s="13">
        <v>70188</v>
      </c>
      <c r="B942" s="8">
        <f>45.1597 * CHOOSE(CONTROL!$C$15, $D$11, 100%, $F$11)</f>
        <v>45.159700000000001</v>
      </c>
      <c r="C942" s="8">
        <f>45.1648 * CHOOSE(CONTROL!$C$15, $D$11, 100%, $F$11)</f>
        <v>45.1648</v>
      </c>
      <c r="D942" s="8">
        <f>45.1392 * CHOOSE( CONTROL!$C$15, $D$11, 100%, $F$11)</f>
        <v>45.139200000000002</v>
      </c>
      <c r="E942" s="12">
        <f>45.148 * CHOOSE( CONTROL!$C$15, $D$11, 100%, $F$11)</f>
        <v>45.148000000000003</v>
      </c>
      <c r="F942" s="4">
        <f>45.8037 * CHOOSE(CONTROL!$C$15, $D$11, 100%, $F$11)</f>
        <v>45.803699999999999</v>
      </c>
      <c r="G942" s="8">
        <f>44.3869 * CHOOSE( CONTROL!$C$15, $D$11, 100%, $F$11)</f>
        <v>44.386899999999997</v>
      </c>
      <c r="H942" s="4">
        <f>45.273 * CHOOSE(CONTROL!$C$15, $D$11, 100%, $F$11)</f>
        <v>45.273000000000003</v>
      </c>
      <c r="I942" s="8">
        <f>43.7429 * CHOOSE(CONTROL!$C$15, $D$11, 100%, $F$11)</f>
        <v>43.742899999999999</v>
      </c>
      <c r="J942" s="4">
        <f>43.6267 * CHOOSE(CONTROL!$C$15, $D$11, 100%, $F$11)</f>
        <v>43.6267</v>
      </c>
      <c r="K942" s="4"/>
      <c r="L942" s="9">
        <v>27.415299999999998</v>
      </c>
      <c r="M942" s="9">
        <v>11.285299999999999</v>
      </c>
      <c r="N942" s="9">
        <v>4.6254999999999997</v>
      </c>
      <c r="O942" s="9">
        <v>0.34989999999999999</v>
      </c>
      <c r="P942" s="9">
        <v>1.2093</v>
      </c>
      <c r="Q942" s="9">
        <v>18.417899999999999</v>
      </c>
      <c r="R942" s="9"/>
      <c r="S942" s="11"/>
    </row>
    <row r="943" spans="1:19" ht="15.75">
      <c r="A943" s="13">
        <v>70219</v>
      </c>
      <c r="B943" s="8">
        <f>44.199 * CHOOSE(CONTROL!$C$15, $D$11, 100%, $F$11)</f>
        <v>44.198999999999998</v>
      </c>
      <c r="C943" s="8">
        <f>44.2041 * CHOOSE(CONTROL!$C$15, $D$11, 100%, $F$11)</f>
        <v>44.204099999999997</v>
      </c>
      <c r="D943" s="8">
        <f>44.1785 * CHOOSE( CONTROL!$C$15, $D$11, 100%, $F$11)</f>
        <v>44.1785</v>
      </c>
      <c r="E943" s="12">
        <f>44.1873 * CHOOSE( CONTROL!$C$15, $D$11, 100%, $F$11)</f>
        <v>44.1873</v>
      </c>
      <c r="F943" s="4">
        <f>44.843 * CHOOSE(CONTROL!$C$15, $D$11, 100%, $F$11)</f>
        <v>44.843000000000004</v>
      </c>
      <c r="G943" s="8">
        <f>43.4421 * CHOOSE( CONTROL!$C$15, $D$11, 100%, $F$11)</f>
        <v>43.442100000000003</v>
      </c>
      <c r="H943" s="4">
        <f>44.3282 * CHOOSE(CONTROL!$C$15, $D$11, 100%, $F$11)</f>
        <v>44.328200000000002</v>
      </c>
      <c r="I943" s="8">
        <f>42.8135 * CHOOSE(CONTROL!$C$15, $D$11, 100%, $F$11)</f>
        <v>42.813499999999998</v>
      </c>
      <c r="J943" s="4">
        <f>42.698 * CHOOSE(CONTROL!$C$15, $D$11, 100%, $F$11)</f>
        <v>42.698</v>
      </c>
      <c r="K943" s="4"/>
      <c r="L943" s="9">
        <v>29.306000000000001</v>
      </c>
      <c r="M943" s="9">
        <v>12.063700000000001</v>
      </c>
      <c r="N943" s="9">
        <v>4.9444999999999997</v>
      </c>
      <c r="O943" s="9">
        <v>0.37409999999999999</v>
      </c>
      <c r="P943" s="9">
        <v>1.2927</v>
      </c>
      <c r="Q943" s="9">
        <v>19.688099999999999</v>
      </c>
      <c r="R943" s="9"/>
      <c r="S943" s="11"/>
    </row>
    <row r="944" spans="1:19" ht="15.75">
      <c r="A944" s="13">
        <v>70249</v>
      </c>
      <c r="B944" s="8">
        <f>44.8711 * CHOOSE(CONTROL!$C$15, $D$11, 100%, $F$11)</f>
        <v>44.871099999999998</v>
      </c>
      <c r="C944" s="8">
        <f>44.8757 * CHOOSE(CONTROL!$C$15, $D$11, 100%, $F$11)</f>
        <v>44.875700000000002</v>
      </c>
      <c r="D944" s="8">
        <f>44.8867 * CHOOSE( CONTROL!$C$15, $D$11, 100%, $F$11)</f>
        <v>44.886699999999998</v>
      </c>
      <c r="E944" s="12">
        <f>44.8825 * CHOOSE( CONTROL!$C$15, $D$11, 100%, $F$11)</f>
        <v>44.8825</v>
      </c>
      <c r="F944" s="4">
        <f>45.5607 * CHOOSE(CONTROL!$C$15, $D$11, 100%, $F$11)</f>
        <v>45.560699999999997</v>
      </c>
      <c r="G944" s="8">
        <f>44.0952 * CHOOSE( CONTROL!$C$15, $D$11, 100%, $F$11)</f>
        <v>44.095199999999998</v>
      </c>
      <c r="H944" s="4">
        <f>45.034 * CHOOSE(CONTROL!$C$15, $D$11, 100%, $F$11)</f>
        <v>45.033999999999999</v>
      </c>
      <c r="I944" s="8">
        <f>43.4579 * CHOOSE(CONTROL!$C$15, $D$11, 100%, $F$11)</f>
        <v>43.457900000000002</v>
      </c>
      <c r="J944" s="4">
        <f>43.347 * CHOOSE(CONTROL!$C$15, $D$11, 100%, $F$11)</f>
        <v>43.347000000000001</v>
      </c>
      <c r="K944" s="4"/>
      <c r="L944" s="9">
        <v>30.092199999999998</v>
      </c>
      <c r="M944" s="9">
        <v>11.6745</v>
      </c>
      <c r="N944" s="9">
        <v>4.7850000000000001</v>
      </c>
      <c r="O944" s="9">
        <v>0.36199999999999999</v>
      </c>
      <c r="P944" s="9">
        <v>1.1791</v>
      </c>
      <c r="Q944" s="9">
        <v>19.053000000000001</v>
      </c>
      <c r="R944" s="9"/>
      <c r="S944" s="11"/>
    </row>
    <row r="945" spans="1:19" ht="15.75">
      <c r="A945" s="13">
        <v>70280</v>
      </c>
      <c r="B945" s="8">
        <f>CHOOSE( CONTROL!$C$32, 46.0708, 46.0673) * CHOOSE(CONTROL!$C$15, $D$11, 100%, $F$11)</f>
        <v>46.070799999999998</v>
      </c>
      <c r="C945" s="8">
        <f>CHOOSE( CONTROL!$C$32, 46.0788, 46.0753) * CHOOSE(CONTROL!$C$15, $D$11, 100%, $F$11)</f>
        <v>46.078800000000001</v>
      </c>
      <c r="D945" s="8">
        <f>CHOOSE( CONTROL!$C$32, 46.0849, 46.0813) * CHOOSE( CONTROL!$C$15, $D$11, 100%, $F$11)</f>
        <v>46.084899999999998</v>
      </c>
      <c r="E945" s="12">
        <f>CHOOSE( CONTROL!$C$32, 46.0815, 46.0779) * CHOOSE( CONTROL!$C$15, $D$11, 100%, $F$11)</f>
        <v>46.081499999999998</v>
      </c>
      <c r="F945" s="4">
        <f>CHOOSE( CONTROL!$C$32, 46.7591, 46.7555) * CHOOSE(CONTROL!$C$15, $D$11, 100%, $F$11)</f>
        <v>46.759099999999997</v>
      </c>
      <c r="G945" s="8">
        <f>CHOOSE( CONTROL!$C$32, 45.2747, 45.2711) * CHOOSE( CONTROL!$C$15, $D$11, 100%, $F$11)</f>
        <v>45.274700000000003</v>
      </c>
      <c r="H945" s="4">
        <f>CHOOSE( CONTROL!$C$32, 46.2125, 46.209) * CHOOSE(CONTROL!$C$15, $D$11, 100%, $F$11)</f>
        <v>46.212499999999999</v>
      </c>
      <c r="I945" s="8">
        <f>CHOOSE( CONTROL!$C$32, 44.6178, 44.6143) * CHOOSE(CONTROL!$C$15, $D$11, 100%, $F$11)</f>
        <v>44.617800000000003</v>
      </c>
      <c r="J945" s="4">
        <f>CHOOSE( CONTROL!$C$32, 44.5054, 44.502) * CHOOSE(CONTROL!$C$15, $D$11, 100%, $F$11)</f>
        <v>44.505400000000002</v>
      </c>
      <c r="K945" s="4"/>
      <c r="L945" s="9">
        <v>30.7165</v>
      </c>
      <c r="M945" s="9">
        <v>12.063700000000001</v>
      </c>
      <c r="N945" s="9">
        <v>4.9444999999999997</v>
      </c>
      <c r="O945" s="9">
        <v>0.37409999999999999</v>
      </c>
      <c r="P945" s="9">
        <v>1.2183999999999999</v>
      </c>
      <c r="Q945" s="9">
        <v>19.688099999999999</v>
      </c>
      <c r="R945" s="9"/>
      <c r="S945" s="11"/>
    </row>
    <row r="946" spans="1:19" ht="15.75">
      <c r="A946" s="13">
        <v>70310</v>
      </c>
      <c r="B946" s="8">
        <f>CHOOSE( CONTROL!$C$32, 45.3307, 45.3271) * CHOOSE(CONTROL!$C$15, $D$11, 100%, $F$11)</f>
        <v>45.3307</v>
      </c>
      <c r="C946" s="8">
        <f>CHOOSE( CONTROL!$C$32, 45.3387, 45.3351) * CHOOSE(CONTROL!$C$15, $D$11, 100%, $F$11)</f>
        <v>45.338700000000003</v>
      </c>
      <c r="D946" s="8">
        <f>CHOOSE( CONTROL!$C$32, 45.345, 45.3414) * CHOOSE( CONTROL!$C$15, $D$11, 100%, $F$11)</f>
        <v>45.344999999999999</v>
      </c>
      <c r="E946" s="12">
        <f>CHOOSE( CONTROL!$C$32, 45.3415, 45.3379) * CHOOSE( CONTROL!$C$15, $D$11, 100%, $F$11)</f>
        <v>45.341500000000003</v>
      </c>
      <c r="F946" s="4">
        <f>CHOOSE( CONTROL!$C$32, 46.019, 46.0154) * CHOOSE(CONTROL!$C$15, $D$11, 100%, $F$11)</f>
        <v>46.018999999999998</v>
      </c>
      <c r="G946" s="8">
        <f>CHOOSE( CONTROL!$C$32, 44.5472, 44.5437) * CHOOSE( CONTROL!$C$15, $D$11, 100%, $F$11)</f>
        <v>44.547199999999997</v>
      </c>
      <c r="H946" s="4">
        <f>CHOOSE( CONTROL!$C$32, 45.4847, 45.4811) * CHOOSE(CONTROL!$C$15, $D$11, 100%, $F$11)</f>
        <v>45.484699999999997</v>
      </c>
      <c r="I946" s="8">
        <f>CHOOSE( CONTROL!$C$32, 43.9032, 43.8998) * CHOOSE(CONTROL!$C$15, $D$11, 100%, $F$11)</f>
        <v>43.903199999999998</v>
      </c>
      <c r="J946" s="4">
        <f>CHOOSE( CONTROL!$C$32, 43.79, 43.7865) * CHOOSE(CONTROL!$C$15, $D$11, 100%, $F$11)</f>
        <v>43.79</v>
      </c>
      <c r="K946" s="4"/>
      <c r="L946" s="9">
        <v>29.7257</v>
      </c>
      <c r="M946" s="9">
        <v>11.6745</v>
      </c>
      <c r="N946" s="9">
        <v>4.7850000000000001</v>
      </c>
      <c r="O946" s="9">
        <v>0.36199999999999999</v>
      </c>
      <c r="P946" s="9">
        <v>1.1791</v>
      </c>
      <c r="Q946" s="9">
        <v>19.053000000000001</v>
      </c>
      <c r="R946" s="9"/>
      <c r="S946" s="11"/>
    </row>
    <row r="947" spans="1:19" ht="15.75">
      <c r="A947" s="13">
        <v>70341</v>
      </c>
      <c r="B947" s="8">
        <f>CHOOSE( CONTROL!$C$32, 47.2797, 47.2762) * CHOOSE(CONTROL!$C$15, $D$11, 100%, $F$11)</f>
        <v>47.279699999999998</v>
      </c>
      <c r="C947" s="8">
        <f>CHOOSE( CONTROL!$C$32, 47.2878, 47.2842) * CHOOSE(CONTROL!$C$15, $D$11, 100%, $F$11)</f>
        <v>47.287799999999997</v>
      </c>
      <c r="D947" s="8">
        <f>CHOOSE( CONTROL!$C$32, 47.2944, 47.2908) * CHOOSE( CONTROL!$C$15, $D$11, 100%, $F$11)</f>
        <v>47.294400000000003</v>
      </c>
      <c r="E947" s="12">
        <f>CHOOSE( CONTROL!$C$32, 47.2908, 47.2872) * CHOOSE( CONTROL!$C$15, $D$11, 100%, $F$11)</f>
        <v>47.290799999999997</v>
      </c>
      <c r="F947" s="4">
        <f>CHOOSE( CONTROL!$C$32, 47.968, 47.9645) * CHOOSE(CONTROL!$C$15, $D$11, 100%, $F$11)</f>
        <v>47.968000000000004</v>
      </c>
      <c r="G947" s="8">
        <f>CHOOSE( CONTROL!$C$32, 46.4644, 46.4609) * CHOOSE( CONTROL!$C$15, $D$11, 100%, $F$11)</f>
        <v>46.464399999999998</v>
      </c>
      <c r="H947" s="4">
        <f>CHOOSE( CONTROL!$C$32, 47.4014, 47.3979) * CHOOSE(CONTROL!$C$15, $D$11, 100%, $F$11)</f>
        <v>47.401400000000002</v>
      </c>
      <c r="I947" s="8">
        <f>CHOOSE( CONTROL!$C$32, 45.7898, 45.7863) * CHOOSE(CONTROL!$C$15, $D$11, 100%, $F$11)</f>
        <v>45.7898</v>
      </c>
      <c r="J947" s="4">
        <f>CHOOSE( CONTROL!$C$32, 45.6741, 45.6707) * CHOOSE(CONTROL!$C$15, $D$11, 100%, $F$11)</f>
        <v>45.674100000000003</v>
      </c>
      <c r="K947" s="4"/>
      <c r="L947" s="9">
        <v>30.7165</v>
      </c>
      <c r="M947" s="9">
        <v>12.063700000000001</v>
      </c>
      <c r="N947" s="9">
        <v>4.9444999999999997</v>
      </c>
      <c r="O947" s="9">
        <v>0.37409999999999999</v>
      </c>
      <c r="P947" s="9">
        <v>1.2183999999999999</v>
      </c>
      <c r="Q947" s="9">
        <v>19.688099999999999</v>
      </c>
      <c r="R947" s="9"/>
      <c r="S947" s="11"/>
    </row>
    <row r="948" spans="1:19" ht="15.75">
      <c r="A948" s="13">
        <v>70372</v>
      </c>
      <c r="B948" s="8">
        <f>CHOOSE( CONTROL!$C$32, 43.6329, 43.6293) * CHOOSE(CONTROL!$C$15, $D$11, 100%, $F$11)</f>
        <v>43.632899999999999</v>
      </c>
      <c r="C948" s="8">
        <f>CHOOSE( CONTROL!$C$32, 43.6409, 43.6373) * CHOOSE(CONTROL!$C$15, $D$11, 100%, $F$11)</f>
        <v>43.640900000000002</v>
      </c>
      <c r="D948" s="8">
        <f>CHOOSE( CONTROL!$C$32, 43.6476, 43.644) * CHOOSE( CONTROL!$C$15, $D$11, 100%, $F$11)</f>
        <v>43.647599999999997</v>
      </c>
      <c r="E948" s="12">
        <f>CHOOSE( CONTROL!$C$32, 43.644, 43.6404) * CHOOSE( CONTROL!$C$15, $D$11, 100%, $F$11)</f>
        <v>43.643999999999998</v>
      </c>
      <c r="F948" s="4">
        <f>CHOOSE( CONTROL!$C$32, 44.3211, 44.3176) * CHOOSE(CONTROL!$C$15, $D$11, 100%, $F$11)</f>
        <v>44.321100000000001</v>
      </c>
      <c r="G948" s="8">
        <f>CHOOSE( CONTROL!$C$32, 42.8781, 42.8746) * CHOOSE( CONTROL!$C$15, $D$11, 100%, $F$11)</f>
        <v>42.878100000000003</v>
      </c>
      <c r="H948" s="4">
        <f>CHOOSE( CONTROL!$C$32, 43.815, 43.8115) * CHOOSE(CONTROL!$C$15, $D$11, 100%, $F$11)</f>
        <v>43.814999999999998</v>
      </c>
      <c r="I948" s="8">
        <f>CHOOSE( CONTROL!$C$32, 42.263, 42.2596) * CHOOSE(CONTROL!$C$15, $D$11, 100%, $F$11)</f>
        <v>42.262999999999998</v>
      </c>
      <c r="J948" s="4">
        <f>CHOOSE( CONTROL!$C$32, 42.1487, 42.1452) * CHOOSE(CONTROL!$C$15, $D$11, 100%, $F$11)</f>
        <v>42.148699999999998</v>
      </c>
      <c r="K948" s="4"/>
      <c r="L948" s="9">
        <v>30.7165</v>
      </c>
      <c r="M948" s="9">
        <v>12.063700000000001</v>
      </c>
      <c r="N948" s="9">
        <v>4.9444999999999997</v>
      </c>
      <c r="O948" s="9">
        <v>0.37409999999999999</v>
      </c>
      <c r="P948" s="9">
        <v>1.2183999999999999</v>
      </c>
      <c r="Q948" s="9">
        <v>19.688099999999999</v>
      </c>
      <c r="R948" s="9"/>
      <c r="S948" s="11"/>
    </row>
    <row r="949" spans="1:19" ht="15.75">
      <c r="A949" s="13">
        <v>70402</v>
      </c>
      <c r="B949" s="8">
        <f>CHOOSE( CONTROL!$C$32, 42.7196, 42.7161) * CHOOSE(CONTROL!$C$15, $D$11, 100%, $F$11)</f>
        <v>42.7196</v>
      </c>
      <c r="C949" s="8">
        <f>CHOOSE( CONTROL!$C$32, 42.7277, 42.7241) * CHOOSE(CONTROL!$C$15, $D$11, 100%, $F$11)</f>
        <v>42.727699999999999</v>
      </c>
      <c r="D949" s="8">
        <f>CHOOSE( CONTROL!$C$32, 42.7343, 42.7308) * CHOOSE( CONTROL!$C$15, $D$11, 100%, $F$11)</f>
        <v>42.734299999999998</v>
      </c>
      <c r="E949" s="12">
        <f>CHOOSE( CONTROL!$C$32, 42.7307, 42.7272) * CHOOSE( CONTROL!$C$15, $D$11, 100%, $F$11)</f>
        <v>42.730699999999999</v>
      </c>
      <c r="F949" s="4">
        <f>CHOOSE( CONTROL!$C$32, 43.4079, 43.4043) * CHOOSE(CONTROL!$C$15, $D$11, 100%, $F$11)</f>
        <v>43.407899999999998</v>
      </c>
      <c r="G949" s="8">
        <f>CHOOSE( CONTROL!$C$32, 41.9801, 41.9765) * CHOOSE( CONTROL!$C$15, $D$11, 100%, $F$11)</f>
        <v>41.9801</v>
      </c>
      <c r="H949" s="4">
        <f>CHOOSE( CONTROL!$C$32, 42.9169, 42.9134) * CHOOSE(CONTROL!$C$15, $D$11, 100%, $F$11)</f>
        <v>42.916899999999998</v>
      </c>
      <c r="I949" s="8">
        <f>CHOOSE( CONTROL!$C$32, 41.3798, 41.3763) * CHOOSE(CONTROL!$C$15, $D$11, 100%, $F$11)</f>
        <v>41.379800000000003</v>
      </c>
      <c r="J949" s="4">
        <f>CHOOSE( CONTROL!$C$32, 41.2658, 41.2624) * CHOOSE(CONTROL!$C$15, $D$11, 100%, $F$11)</f>
        <v>41.265799999999999</v>
      </c>
      <c r="K949" s="4"/>
      <c r="L949" s="9">
        <v>29.7257</v>
      </c>
      <c r="M949" s="9">
        <v>11.6745</v>
      </c>
      <c r="N949" s="9">
        <v>4.7850000000000001</v>
      </c>
      <c r="O949" s="9">
        <v>0.36199999999999999</v>
      </c>
      <c r="P949" s="9">
        <v>1.1791</v>
      </c>
      <c r="Q949" s="9">
        <v>19.053000000000001</v>
      </c>
      <c r="R949" s="9"/>
      <c r="S949" s="11"/>
    </row>
    <row r="950" spans="1:19" ht="15.75">
      <c r="A950" s="13">
        <v>70433</v>
      </c>
      <c r="B950" s="8">
        <f>44.6105 * CHOOSE(CONTROL!$C$15, $D$11, 100%, $F$11)</f>
        <v>44.610500000000002</v>
      </c>
      <c r="C950" s="8">
        <f>44.6159 * CHOOSE(CONTROL!$C$15, $D$11, 100%, $F$11)</f>
        <v>44.615900000000003</v>
      </c>
      <c r="D950" s="8">
        <f>44.6274 * CHOOSE( CONTROL!$C$15, $D$11, 100%, $F$11)</f>
        <v>44.627400000000002</v>
      </c>
      <c r="E950" s="12">
        <f>44.623 * CHOOSE( CONTROL!$C$15, $D$11, 100%, $F$11)</f>
        <v>44.622999999999998</v>
      </c>
      <c r="F950" s="4">
        <f>45.3005 * CHOOSE(CONTROL!$C$15, $D$11, 100%, $F$11)</f>
        <v>45.3005</v>
      </c>
      <c r="G950" s="8">
        <f>43.8408 * CHOOSE( CONTROL!$C$15, $D$11, 100%, $F$11)</f>
        <v>43.840800000000002</v>
      </c>
      <c r="H950" s="4">
        <f>44.7781 * CHOOSE(CONTROL!$C$15, $D$11, 100%, $F$11)</f>
        <v>44.778100000000002</v>
      </c>
      <c r="I950" s="8">
        <f>43.211 * CHOOSE(CONTROL!$C$15, $D$11, 100%, $F$11)</f>
        <v>43.210999999999999</v>
      </c>
      <c r="J950" s="4">
        <f>43.0954 * CHOOSE(CONTROL!$C$15, $D$11, 100%, $F$11)</f>
        <v>43.095399999999998</v>
      </c>
      <c r="K950" s="4"/>
      <c r="L950" s="9">
        <v>31.095300000000002</v>
      </c>
      <c r="M950" s="9">
        <v>12.063700000000001</v>
      </c>
      <c r="N950" s="9">
        <v>4.9444999999999997</v>
      </c>
      <c r="O950" s="9">
        <v>0.37409999999999999</v>
      </c>
      <c r="P950" s="9">
        <v>1.2183999999999999</v>
      </c>
      <c r="Q950" s="9">
        <v>19.688099999999999</v>
      </c>
      <c r="R950" s="9"/>
      <c r="S950" s="11"/>
    </row>
    <row r="951" spans="1:19" ht="15.75">
      <c r="A951" s="13">
        <v>70463</v>
      </c>
      <c r="B951" s="8">
        <f>48.11 * CHOOSE(CONTROL!$C$15, $D$11, 100%, $F$11)</f>
        <v>48.11</v>
      </c>
      <c r="C951" s="8">
        <f>48.1152 * CHOOSE(CONTROL!$C$15, $D$11, 100%, $F$11)</f>
        <v>48.115200000000002</v>
      </c>
      <c r="D951" s="8">
        <f>48.0921 * CHOOSE( CONTROL!$C$15, $D$11, 100%, $F$11)</f>
        <v>48.092100000000002</v>
      </c>
      <c r="E951" s="12">
        <f>48.1 * CHOOSE( CONTROL!$C$15, $D$11, 100%, $F$11)</f>
        <v>48.1</v>
      </c>
      <c r="F951" s="4">
        <f>48.7549 * CHOOSE(CONTROL!$C$15, $D$11, 100%, $F$11)</f>
        <v>48.754899999999999</v>
      </c>
      <c r="G951" s="8">
        <f>47.2934 * CHOOSE( CONTROL!$C$15, $D$11, 100%, $F$11)</f>
        <v>47.293399999999998</v>
      </c>
      <c r="H951" s="4">
        <f>48.1752 * CHOOSE(CONTROL!$C$15, $D$11, 100%, $F$11)</f>
        <v>48.175199999999997</v>
      </c>
      <c r="I951" s="8">
        <f>46.6208 * CHOOSE(CONTROL!$C$15, $D$11, 100%, $F$11)</f>
        <v>46.620800000000003</v>
      </c>
      <c r="J951" s="4">
        <f>46.4788 * CHOOSE(CONTROL!$C$15, $D$11, 100%, $F$11)</f>
        <v>46.4788</v>
      </c>
      <c r="K951" s="4"/>
      <c r="L951" s="9">
        <v>28.360600000000002</v>
      </c>
      <c r="M951" s="9">
        <v>11.6745</v>
      </c>
      <c r="N951" s="9">
        <v>4.7850000000000001</v>
      </c>
      <c r="O951" s="9">
        <v>0.36199999999999999</v>
      </c>
      <c r="P951" s="9">
        <v>1.2509999999999999</v>
      </c>
      <c r="Q951" s="9">
        <v>19.053000000000001</v>
      </c>
      <c r="R951" s="9"/>
      <c r="S951" s="11"/>
    </row>
    <row r="952" spans="1:19" ht="15.75">
      <c r="A952" s="13">
        <v>70494</v>
      </c>
      <c r="B952" s="8">
        <f>48.0226 * CHOOSE(CONTROL!$C$15, $D$11, 100%, $F$11)</f>
        <v>48.022599999999997</v>
      </c>
      <c r="C952" s="8">
        <f>48.0277 * CHOOSE(CONTROL!$C$15, $D$11, 100%, $F$11)</f>
        <v>48.027700000000003</v>
      </c>
      <c r="D952" s="8">
        <f>48.006 * CHOOSE( CONTROL!$C$15, $D$11, 100%, $F$11)</f>
        <v>48.006</v>
      </c>
      <c r="E952" s="12">
        <f>48.0134 * CHOOSE( CONTROL!$C$15, $D$11, 100%, $F$11)</f>
        <v>48.013399999999997</v>
      </c>
      <c r="F952" s="4">
        <f>48.6675 * CHOOSE(CONTROL!$C$15, $D$11, 100%, $F$11)</f>
        <v>48.667499999999997</v>
      </c>
      <c r="G952" s="8">
        <f>47.2085 * CHOOSE( CONTROL!$C$15, $D$11, 100%, $F$11)</f>
        <v>47.208500000000001</v>
      </c>
      <c r="H952" s="4">
        <f>48.0893 * CHOOSE(CONTROL!$C$15, $D$11, 100%, $F$11)</f>
        <v>48.089300000000001</v>
      </c>
      <c r="I952" s="8">
        <f>46.5405 * CHOOSE(CONTROL!$C$15, $D$11, 100%, $F$11)</f>
        <v>46.540500000000002</v>
      </c>
      <c r="J952" s="4">
        <f>46.3943 * CHOOSE(CONTROL!$C$15, $D$11, 100%, $F$11)</f>
        <v>46.394300000000001</v>
      </c>
      <c r="K952" s="4"/>
      <c r="L952" s="9">
        <v>29.306000000000001</v>
      </c>
      <c r="M952" s="9">
        <v>12.063700000000001</v>
      </c>
      <c r="N952" s="9">
        <v>4.9444999999999997</v>
      </c>
      <c r="O952" s="9">
        <v>0.37409999999999999</v>
      </c>
      <c r="P952" s="9">
        <v>1.2927</v>
      </c>
      <c r="Q952" s="9">
        <v>19.688099999999999</v>
      </c>
      <c r="R952" s="9"/>
      <c r="S952" s="11"/>
    </row>
    <row r="953" spans="1:19" ht="15.75">
      <c r="A953" s="13">
        <v>70525</v>
      </c>
      <c r="B953" s="8">
        <f>49.8568 * CHOOSE(CONTROL!$C$15, $D$11, 100%, $F$11)</f>
        <v>49.8568</v>
      </c>
      <c r="C953" s="8">
        <f>49.862 * CHOOSE(CONTROL!$C$15, $D$11, 100%, $F$11)</f>
        <v>49.862000000000002</v>
      </c>
      <c r="D953" s="8">
        <f>49.8361 * CHOOSE( CONTROL!$C$15, $D$11, 100%, $F$11)</f>
        <v>49.836100000000002</v>
      </c>
      <c r="E953" s="12">
        <f>49.845 * CHOOSE( CONTROL!$C$15, $D$11, 100%, $F$11)</f>
        <v>49.844999999999999</v>
      </c>
      <c r="F953" s="4">
        <f>50.5009 * CHOOSE(CONTROL!$C$15, $D$11, 100%, $F$11)</f>
        <v>50.500900000000001</v>
      </c>
      <c r="G953" s="8">
        <f>49.006 * CHOOSE( CONTROL!$C$15, $D$11, 100%, $F$11)</f>
        <v>49.006</v>
      </c>
      <c r="H953" s="4">
        <f>49.8922 * CHOOSE(CONTROL!$C$15, $D$11, 100%, $F$11)</f>
        <v>49.892200000000003</v>
      </c>
      <c r="I953" s="8">
        <f>48.2851 * CHOOSE(CONTROL!$C$15, $D$11, 100%, $F$11)</f>
        <v>48.2851</v>
      </c>
      <c r="J953" s="4">
        <f>48.1674 * CHOOSE(CONTROL!$C$15, $D$11, 100%, $F$11)</f>
        <v>48.167400000000001</v>
      </c>
      <c r="K953" s="4"/>
      <c r="L953" s="9">
        <v>29.306000000000001</v>
      </c>
      <c r="M953" s="9">
        <v>12.063700000000001</v>
      </c>
      <c r="N953" s="9">
        <v>4.9444999999999997</v>
      </c>
      <c r="O953" s="9">
        <v>0.37409999999999999</v>
      </c>
      <c r="P953" s="9">
        <v>1.2927</v>
      </c>
      <c r="Q953" s="9">
        <v>19.688099999999999</v>
      </c>
      <c r="R953" s="9"/>
      <c r="S953" s="11"/>
    </row>
    <row r="954" spans="1:19" ht="15.75">
      <c r="A954" s="13">
        <v>70553</v>
      </c>
      <c r="B954" s="8">
        <f>46.6356 * CHOOSE(CONTROL!$C$15, $D$11, 100%, $F$11)</f>
        <v>46.635599999999997</v>
      </c>
      <c r="C954" s="8">
        <f>46.6407 * CHOOSE(CONTROL!$C$15, $D$11, 100%, $F$11)</f>
        <v>46.640700000000002</v>
      </c>
      <c r="D954" s="8">
        <f>46.6151 * CHOOSE( CONTROL!$C$15, $D$11, 100%, $F$11)</f>
        <v>46.615099999999998</v>
      </c>
      <c r="E954" s="12">
        <f>46.6239 * CHOOSE( CONTROL!$C$15, $D$11, 100%, $F$11)</f>
        <v>46.623899999999999</v>
      </c>
      <c r="F954" s="4">
        <f>47.2797 * CHOOSE(CONTROL!$C$15, $D$11, 100%, $F$11)</f>
        <v>47.279699999999998</v>
      </c>
      <c r="G954" s="8">
        <f>45.8384 * CHOOSE( CONTROL!$C$15, $D$11, 100%, $F$11)</f>
        <v>45.8384</v>
      </c>
      <c r="H954" s="4">
        <f>46.7244 * CHOOSE(CONTROL!$C$15, $D$11, 100%, $F$11)</f>
        <v>46.724400000000003</v>
      </c>
      <c r="I954" s="8">
        <f>45.1704 * CHOOSE(CONTROL!$C$15, $D$11, 100%, $F$11)</f>
        <v>45.170400000000001</v>
      </c>
      <c r="J954" s="4">
        <f>45.0535 * CHOOSE(CONTROL!$C$15, $D$11, 100%, $F$11)</f>
        <v>45.0535</v>
      </c>
      <c r="K954" s="4"/>
      <c r="L954" s="9">
        <v>26.469899999999999</v>
      </c>
      <c r="M954" s="9">
        <v>10.8962</v>
      </c>
      <c r="N954" s="9">
        <v>4.4660000000000002</v>
      </c>
      <c r="O954" s="9">
        <v>0.33789999999999998</v>
      </c>
      <c r="P954" s="9">
        <v>1.1676</v>
      </c>
      <c r="Q954" s="9">
        <v>17.782800000000002</v>
      </c>
      <c r="R954" s="9"/>
      <c r="S954" s="11"/>
    </row>
    <row r="955" spans="1:19" ht="15.75">
      <c r="A955" s="13">
        <v>70584</v>
      </c>
      <c r="B955" s="8">
        <f>45.6435 * CHOOSE(CONTROL!$C$15, $D$11, 100%, $F$11)</f>
        <v>45.643500000000003</v>
      </c>
      <c r="C955" s="8">
        <f>45.6486 * CHOOSE(CONTROL!$C$15, $D$11, 100%, $F$11)</f>
        <v>45.648600000000002</v>
      </c>
      <c r="D955" s="8">
        <f>45.6229 * CHOOSE( CONTROL!$C$15, $D$11, 100%, $F$11)</f>
        <v>45.622900000000001</v>
      </c>
      <c r="E955" s="12">
        <f>45.6318 * CHOOSE( CONTROL!$C$15, $D$11, 100%, $F$11)</f>
        <v>45.631799999999998</v>
      </c>
      <c r="F955" s="4">
        <f>46.2875 * CHOOSE(CONTROL!$C$15, $D$11, 100%, $F$11)</f>
        <v>46.287500000000001</v>
      </c>
      <c r="G955" s="8">
        <f>44.8627 * CHOOSE( CONTROL!$C$15, $D$11, 100%, $F$11)</f>
        <v>44.862699999999997</v>
      </c>
      <c r="H955" s="4">
        <f>45.7488 * CHOOSE(CONTROL!$C$15, $D$11, 100%, $F$11)</f>
        <v>45.748800000000003</v>
      </c>
      <c r="I955" s="8">
        <f>44.2106 * CHOOSE(CONTROL!$C$15, $D$11, 100%, $F$11)</f>
        <v>44.210599999999999</v>
      </c>
      <c r="J955" s="4">
        <f>44.0944 * CHOOSE(CONTROL!$C$15, $D$11, 100%, $F$11)</f>
        <v>44.0944</v>
      </c>
      <c r="K955" s="4"/>
      <c r="L955" s="9">
        <v>29.306000000000001</v>
      </c>
      <c r="M955" s="9">
        <v>12.063700000000001</v>
      </c>
      <c r="N955" s="9">
        <v>4.9444999999999997</v>
      </c>
      <c r="O955" s="9">
        <v>0.37409999999999999</v>
      </c>
      <c r="P955" s="9">
        <v>1.2927</v>
      </c>
      <c r="Q955" s="9">
        <v>19.688099999999999</v>
      </c>
      <c r="R955" s="9"/>
      <c r="S955" s="11"/>
    </row>
    <row r="956" spans="1:19" ht="15.75">
      <c r="A956" s="13">
        <v>70614</v>
      </c>
      <c r="B956" s="8">
        <f>46.3375 * CHOOSE(CONTROL!$C$15, $D$11, 100%, $F$11)</f>
        <v>46.337499999999999</v>
      </c>
      <c r="C956" s="8">
        <f>46.3421 * CHOOSE(CONTROL!$C$15, $D$11, 100%, $F$11)</f>
        <v>46.342100000000002</v>
      </c>
      <c r="D956" s="8">
        <f>46.3531 * CHOOSE( CONTROL!$C$15, $D$11, 100%, $F$11)</f>
        <v>46.353099999999998</v>
      </c>
      <c r="E956" s="12">
        <f>46.3489 * CHOOSE( CONTROL!$C$15, $D$11, 100%, $F$11)</f>
        <v>46.3489</v>
      </c>
      <c r="F956" s="4">
        <f>47.0272 * CHOOSE(CONTROL!$C$15, $D$11, 100%, $F$11)</f>
        <v>47.027200000000001</v>
      </c>
      <c r="G956" s="8">
        <f>45.5373 * CHOOSE( CONTROL!$C$15, $D$11, 100%, $F$11)</f>
        <v>45.537300000000002</v>
      </c>
      <c r="H956" s="4">
        <f>46.4761 * CHOOSE(CONTROL!$C$15, $D$11, 100%, $F$11)</f>
        <v>46.476100000000002</v>
      </c>
      <c r="I956" s="8">
        <f>44.8762 * CHOOSE(CONTROL!$C$15, $D$11, 100%, $F$11)</f>
        <v>44.876199999999997</v>
      </c>
      <c r="J956" s="4">
        <f>44.7646 * CHOOSE(CONTROL!$C$15, $D$11, 100%, $F$11)</f>
        <v>44.764600000000002</v>
      </c>
      <c r="K956" s="4"/>
      <c r="L956" s="9">
        <v>30.092199999999998</v>
      </c>
      <c r="M956" s="9">
        <v>11.6745</v>
      </c>
      <c r="N956" s="9">
        <v>4.7850000000000001</v>
      </c>
      <c r="O956" s="9">
        <v>0.36199999999999999</v>
      </c>
      <c r="P956" s="9">
        <v>1.1791</v>
      </c>
      <c r="Q956" s="9">
        <v>19.053000000000001</v>
      </c>
      <c r="R956" s="9"/>
      <c r="S956" s="11"/>
    </row>
    <row r="957" spans="1:19" ht="15.75">
      <c r="A957" s="13">
        <v>70645</v>
      </c>
      <c r="B957" s="8">
        <f>CHOOSE( CONTROL!$C$32, 47.5763, 47.5728) * CHOOSE(CONTROL!$C$15, $D$11, 100%, $F$11)</f>
        <v>47.576300000000003</v>
      </c>
      <c r="C957" s="8">
        <f>CHOOSE( CONTROL!$C$32, 47.5844, 47.5808) * CHOOSE(CONTROL!$C$15, $D$11, 100%, $F$11)</f>
        <v>47.584400000000002</v>
      </c>
      <c r="D957" s="8">
        <f>CHOOSE( CONTROL!$C$32, 47.5904, 47.5868) * CHOOSE( CONTROL!$C$15, $D$11, 100%, $F$11)</f>
        <v>47.590400000000002</v>
      </c>
      <c r="E957" s="12">
        <f>CHOOSE( CONTROL!$C$32, 47.587, 47.5834) * CHOOSE( CONTROL!$C$15, $D$11, 100%, $F$11)</f>
        <v>47.587000000000003</v>
      </c>
      <c r="F957" s="4">
        <f>CHOOSE( CONTROL!$C$32, 48.2646, 48.2611) * CHOOSE(CONTROL!$C$15, $D$11, 100%, $F$11)</f>
        <v>48.264600000000002</v>
      </c>
      <c r="G957" s="8">
        <f>CHOOSE( CONTROL!$C$32, 46.7552, 46.7517) * CHOOSE( CONTROL!$C$15, $D$11, 100%, $F$11)</f>
        <v>46.755200000000002</v>
      </c>
      <c r="H957" s="4">
        <f>CHOOSE( CONTROL!$C$32, 47.6931, 47.6896) * CHOOSE(CONTROL!$C$15, $D$11, 100%, $F$11)</f>
        <v>47.693100000000001</v>
      </c>
      <c r="I957" s="8">
        <f>CHOOSE( CONTROL!$C$32, 46.0739, 46.0704) * CHOOSE(CONTROL!$C$15, $D$11, 100%, $F$11)</f>
        <v>46.073900000000002</v>
      </c>
      <c r="J957" s="4">
        <f>CHOOSE( CONTROL!$C$32, 45.9608, 45.9574) * CHOOSE(CONTROL!$C$15, $D$11, 100%, $F$11)</f>
        <v>45.960799999999999</v>
      </c>
      <c r="K957" s="4"/>
      <c r="L957" s="9">
        <v>30.7165</v>
      </c>
      <c r="M957" s="9">
        <v>12.063700000000001</v>
      </c>
      <c r="N957" s="9">
        <v>4.9444999999999997</v>
      </c>
      <c r="O957" s="9">
        <v>0.37409999999999999</v>
      </c>
      <c r="P957" s="9">
        <v>1.2183999999999999</v>
      </c>
      <c r="Q957" s="9">
        <v>19.688099999999999</v>
      </c>
      <c r="R957" s="9"/>
      <c r="S957" s="11"/>
    </row>
    <row r="958" spans="1:19" ht="15.75">
      <c r="A958" s="13">
        <v>70675</v>
      </c>
      <c r="B958" s="8">
        <f>CHOOSE( CONTROL!$C$32, 46.812, 46.8084) * CHOOSE(CONTROL!$C$15, $D$11, 100%, $F$11)</f>
        <v>46.811999999999998</v>
      </c>
      <c r="C958" s="8">
        <f>CHOOSE( CONTROL!$C$32, 46.82, 46.8165) * CHOOSE(CONTROL!$C$15, $D$11, 100%, $F$11)</f>
        <v>46.82</v>
      </c>
      <c r="D958" s="8">
        <f>CHOOSE( CONTROL!$C$32, 46.8263, 46.8227) * CHOOSE( CONTROL!$C$15, $D$11, 100%, $F$11)</f>
        <v>46.826300000000003</v>
      </c>
      <c r="E958" s="12">
        <f>CHOOSE( CONTROL!$C$32, 46.8228, 46.8192) * CHOOSE( CONTROL!$C$15, $D$11, 100%, $F$11)</f>
        <v>46.822800000000001</v>
      </c>
      <c r="F958" s="4">
        <f>CHOOSE( CONTROL!$C$32, 47.5003, 47.4967) * CHOOSE(CONTROL!$C$15, $D$11, 100%, $F$11)</f>
        <v>47.500300000000003</v>
      </c>
      <c r="G958" s="8">
        <f>CHOOSE( CONTROL!$C$32, 46.004, 46.0004) * CHOOSE( CONTROL!$C$15, $D$11, 100%, $F$11)</f>
        <v>46.003999999999998</v>
      </c>
      <c r="H958" s="4">
        <f>CHOOSE( CONTROL!$C$32, 46.9414, 46.9379) * CHOOSE(CONTROL!$C$15, $D$11, 100%, $F$11)</f>
        <v>46.941400000000002</v>
      </c>
      <c r="I958" s="8">
        <f>CHOOSE( CONTROL!$C$32, 45.3359, 45.3325) * CHOOSE(CONTROL!$C$15, $D$11, 100%, $F$11)</f>
        <v>45.335900000000002</v>
      </c>
      <c r="J958" s="4">
        <f>CHOOSE( CONTROL!$C$32, 45.2219, 45.2185) * CHOOSE(CONTROL!$C$15, $D$11, 100%, $F$11)</f>
        <v>45.221899999999998</v>
      </c>
      <c r="K958" s="4"/>
      <c r="L958" s="9">
        <v>29.7257</v>
      </c>
      <c r="M958" s="9">
        <v>11.6745</v>
      </c>
      <c r="N958" s="9">
        <v>4.7850000000000001</v>
      </c>
      <c r="O958" s="9">
        <v>0.36199999999999999</v>
      </c>
      <c r="P958" s="9">
        <v>1.1791</v>
      </c>
      <c r="Q958" s="9">
        <v>19.053000000000001</v>
      </c>
      <c r="R958" s="9"/>
      <c r="S958" s="11"/>
    </row>
    <row r="959" spans="1:19" ht="15.75">
      <c r="A959" s="13">
        <v>70706</v>
      </c>
      <c r="B959" s="8">
        <f>CHOOSE( CONTROL!$C$32, 48.8248, 48.8212) * CHOOSE(CONTROL!$C$15, $D$11, 100%, $F$11)</f>
        <v>48.824800000000003</v>
      </c>
      <c r="C959" s="8">
        <f>CHOOSE( CONTROL!$C$32, 48.8328, 48.8292) * CHOOSE(CONTROL!$C$15, $D$11, 100%, $F$11)</f>
        <v>48.832799999999999</v>
      </c>
      <c r="D959" s="8">
        <f>CHOOSE( CONTROL!$C$32, 48.8394, 48.8358) * CHOOSE( CONTROL!$C$15, $D$11, 100%, $F$11)</f>
        <v>48.839399999999998</v>
      </c>
      <c r="E959" s="12">
        <f>CHOOSE( CONTROL!$C$32, 48.8358, 48.8322) * CHOOSE( CONTROL!$C$15, $D$11, 100%, $F$11)</f>
        <v>48.835799999999999</v>
      </c>
      <c r="F959" s="4">
        <f>CHOOSE( CONTROL!$C$32, 49.5131, 49.5095) * CHOOSE(CONTROL!$C$15, $D$11, 100%, $F$11)</f>
        <v>49.513100000000001</v>
      </c>
      <c r="G959" s="8">
        <f>CHOOSE( CONTROL!$C$32, 47.9838, 47.9803) * CHOOSE( CONTROL!$C$15, $D$11, 100%, $F$11)</f>
        <v>47.983800000000002</v>
      </c>
      <c r="H959" s="4">
        <f>CHOOSE( CONTROL!$C$32, 48.9208, 48.9173) * CHOOSE(CONTROL!$C$15, $D$11, 100%, $F$11)</f>
        <v>48.9208</v>
      </c>
      <c r="I959" s="8">
        <f>CHOOSE( CONTROL!$C$32, 47.2841, 47.2807) * CHOOSE(CONTROL!$C$15, $D$11, 100%, $F$11)</f>
        <v>47.284100000000002</v>
      </c>
      <c r="J959" s="4">
        <f>CHOOSE( CONTROL!$C$32, 47.1677, 47.1643) * CHOOSE(CONTROL!$C$15, $D$11, 100%, $F$11)</f>
        <v>47.167700000000004</v>
      </c>
      <c r="K959" s="4"/>
      <c r="L959" s="9">
        <v>30.7165</v>
      </c>
      <c r="M959" s="9">
        <v>12.063700000000001</v>
      </c>
      <c r="N959" s="9">
        <v>4.9444999999999997</v>
      </c>
      <c r="O959" s="9">
        <v>0.37409999999999999</v>
      </c>
      <c r="P959" s="9">
        <v>1.2183999999999999</v>
      </c>
      <c r="Q959" s="9">
        <v>19.688099999999999</v>
      </c>
      <c r="R959" s="9"/>
      <c r="S959" s="11"/>
    </row>
    <row r="960" spans="1:19" ht="15.75">
      <c r="A960" s="13">
        <v>70737</v>
      </c>
      <c r="B960" s="8">
        <f>CHOOSE( CONTROL!$C$32, 45.0586, 45.0551) * CHOOSE(CONTROL!$C$15, $D$11, 100%, $F$11)</f>
        <v>45.058599999999998</v>
      </c>
      <c r="C960" s="8">
        <f>CHOOSE( CONTROL!$C$32, 45.0667, 45.0631) * CHOOSE(CONTROL!$C$15, $D$11, 100%, $F$11)</f>
        <v>45.066699999999997</v>
      </c>
      <c r="D960" s="8">
        <f>CHOOSE( CONTROL!$C$32, 45.0734, 45.0698) * CHOOSE( CONTROL!$C$15, $D$11, 100%, $F$11)</f>
        <v>45.073399999999999</v>
      </c>
      <c r="E960" s="12">
        <f>CHOOSE( CONTROL!$C$32, 45.0697, 45.0662) * CHOOSE( CONTROL!$C$15, $D$11, 100%, $F$11)</f>
        <v>45.069699999999997</v>
      </c>
      <c r="F960" s="4">
        <f>CHOOSE( CONTROL!$C$32, 45.7469, 45.7434) * CHOOSE(CONTROL!$C$15, $D$11, 100%, $F$11)</f>
        <v>45.746899999999997</v>
      </c>
      <c r="G960" s="8">
        <f>CHOOSE( CONTROL!$C$32, 44.2803, 44.2768) * CHOOSE( CONTROL!$C$15, $D$11, 100%, $F$11)</f>
        <v>44.280299999999997</v>
      </c>
      <c r="H960" s="4">
        <f>CHOOSE( CONTROL!$C$32, 45.2171, 45.2136) * CHOOSE(CONTROL!$C$15, $D$11, 100%, $F$11)</f>
        <v>45.217100000000002</v>
      </c>
      <c r="I960" s="8">
        <f>CHOOSE( CONTROL!$C$32, 43.642, 43.6386) * CHOOSE(CONTROL!$C$15, $D$11, 100%, $F$11)</f>
        <v>43.642000000000003</v>
      </c>
      <c r="J960" s="4">
        <f>CHOOSE( CONTROL!$C$32, 43.527, 43.5235) * CHOOSE(CONTROL!$C$15, $D$11, 100%, $F$11)</f>
        <v>43.527000000000001</v>
      </c>
      <c r="K960" s="4"/>
      <c r="L960" s="9">
        <v>30.7165</v>
      </c>
      <c r="M960" s="9">
        <v>12.063700000000001</v>
      </c>
      <c r="N960" s="9">
        <v>4.9444999999999997</v>
      </c>
      <c r="O960" s="9">
        <v>0.37409999999999999</v>
      </c>
      <c r="P960" s="9">
        <v>1.2183999999999999</v>
      </c>
      <c r="Q960" s="9">
        <v>19.688099999999999</v>
      </c>
      <c r="R960" s="9"/>
      <c r="S960" s="11"/>
    </row>
    <row r="961" spans="1:19" ht="15.75">
      <c r="A961" s="13">
        <v>70767</v>
      </c>
      <c r="B961" s="8">
        <f>CHOOSE( CONTROL!$C$32, 44.1156, 44.112) * CHOOSE(CONTROL!$C$15, $D$11, 100%, $F$11)</f>
        <v>44.115600000000001</v>
      </c>
      <c r="C961" s="8">
        <f>CHOOSE( CONTROL!$C$32, 44.1236, 44.12) * CHOOSE(CONTROL!$C$15, $D$11, 100%, $F$11)</f>
        <v>44.123600000000003</v>
      </c>
      <c r="D961" s="8">
        <f>CHOOSE( CONTROL!$C$32, 44.1303, 44.1267) * CHOOSE( CONTROL!$C$15, $D$11, 100%, $F$11)</f>
        <v>44.130299999999998</v>
      </c>
      <c r="E961" s="12">
        <f>CHOOSE( CONTROL!$C$32, 44.1267, 44.1231) * CHOOSE( CONTROL!$C$15, $D$11, 100%, $F$11)</f>
        <v>44.1267</v>
      </c>
      <c r="F961" s="4">
        <f>CHOOSE( CONTROL!$C$32, 44.8038, 44.8003) * CHOOSE(CONTROL!$C$15, $D$11, 100%, $F$11)</f>
        <v>44.803800000000003</v>
      </c>
      <c r="G961" s="8">
        <f>CHOOSE( CONTROL!$C$32, 43.3528, 43.3493) * CHOOSE( CONTROL!$C$15, $D$11, 100%, $F$11)</f>
        <v>43.352800000000002</v>
      </c>
      <c r="H961" s="4">
        <f>CHOOSE( CONTROL!$C$32, 44.2897, 44.2862) * CHOOSE(CONTROL!$C$15, $D$11, 100%, $F$11)</f>
        <v>44.289700000000003</v>
      </c>
      <c r="I961" s="8">
        <f>CHOOSE( CONTROL!$C$32, 42.7299, 42.7265) * CHOOSE(CONTROL!$C$15, $D$11, 100%, $F$11)</f>
        <v>42.729900000000001</v>
      </c>
      <c r="J961" s="4">
        <f>CHOOSE( CONTROL!$C$32, 42.6153, 42.6118) * CHOOSE(CONTROL!$C$15, $D$11, 100%, $F$11)</f>
        <v>42.615299999999998</v>
      </c>
      <c r="K961" s="4"/>
      <c r="L961" s="9">
        <v>29.7257</v>
      </c>
      <c r="M961" s="9">
        <v>11.6745</v>
      </c>
      <c r="N961" s="9">
        <v>4.7850000000000001</v>
      </c>
      <c r="O961" s="9">
        <v>0.36199999999999999</v>
      </c>
      <c r="P961" s="9">
        <v>1.1791</v>
      </c>
      <c r="Q961" s="9">
        <v>19.053000000000001</v>
      </c>
      <c r="R961" s="9"/>
      <c r="S961" s="11"/>
    </row>
    <row r="962" spans="1:19" ht="15.75">
      <c r="A962" s="13">
        <v>70798</v>
      </c>
      <c r="B962" s="8">
        <f>46.0684 * CHOOSE(CONTROL!$C$15, $D$11, 100%, $F$11)</f>
        <v>46.068399999999997</v>
      </c>
      <c r="C962" s="8">
        <f>46.0738 * CHOOSE(CONTROL!$C$15, $D$11, 100%, $F$11)</f>
        <v>46.073799999999999</v>
      </c>
      <c r="D962" s="8">
        <f>46.0853 * CHOOSE( CONTROL!$C$15, $D$11, 100%, $F$11)</f>
        <v>46.085299999999997</v>
      </c>
      <c r="E962" s="12">
        <f>46.0809 * CHOOSE( CONTROL!$C$15, $D$11, 100%, $F$11)</f>
        <v>46.0809</v>
      </c>
      <c r="F962" s="4">
        <f>46.7584 * CHOOSE(CONTROL!$C$15, $D$11, 100%, $F$11)</f>
        <v>46.758400000000002</v>
      </c>
      <c r="G962" s="8">
        <f>45.2745 * CHOOSE( CONTROL!$C$15, $D$11, 100%, $F$11)</f>
        <v>45.274500000000003</v>
      </c>
      <c r="H962" s="4">
        <f>46.2119 * CHOOSE(CONTROL!$C$15, $D$11, 100%, $F$11)</f>
        <v>46.2119</v>
      </c>
      <c r="I962" s="8">
        <f>44.6211 * CHOOSE(CONTROL!$C$15, $D$11, 100%, $F$11)</f>
        <v>44.621099999999998</v>
      </c>
      <c r="J962" s="4">
        <f>44.5048 * CHOOSE(CONTROL!$C$15, $D$11, 100%, $F$11)</f>
        <v>44.504800000000003</v>
      </c>
      <c r="K962" s="4"/>
      <c r="L962" s="9">
        <v>31.095300000000002</v>
      </c>
      <c r="M962" s="9">
        <v>12.063700000000001</v>
      </c>
      <c r="N962" s="9">
        <v>4.9444999999999997</v>
      </c>
      <c r="O962" s="9">
        <v>0.37409999999999999</v>
      </c>
      <c r="P962" s="9">
        <v>1.2183999999999999</v>
      </c>
      <c r="Q962" s="9">
        <v>19.688099999999999</v>
      </c>
      <c r="R962" s="9"/>
      <c r="S962" s="11"/>
    </row>
    <row r="963" spans="1:19" ht="15.75">
      <c r="A963" s="13">
        <v>70828</v>
      </c>
      <c r="B963" s="8">
        <f>49.6824 * CHOOSE(CONTROL!$C$15, $D$11, 100%, $F$11)</f>
        <v>49.682400000000001</v>
      </c>
      <c r="C963" s="8">
        <f>49.6876 * CHOOSE(CONTROL!$C$15, $D$11, 100%, $F$11)</f>
        <v>49.687600000000003</v>
      </c>
      <c r="D963" s="8">
        <f>49.6645 * CHOOSE( CONTROL!$C$15, $D$11, 100%, $F$11)</f>
        <v>49.664499999999997</v>
      </c>
      <c r="E963" s="12">
        <f>49.6724 * CHOOSE( CONTROL!$C$15, $D$11, 100%, $F$11)</f>
        <v>49.672400000000003</v>
      </c>
      <c r="F963" s="4">
        <f>50.3273 * CHOOSE(CONTROL!$C$15, $D$11, 100%, $F$11)</f>
        <v>50.327300000000001</v>
      </c>
      <c r="G963" s="8">
        <f>48.8398 * CHOOSE( CONTROL!$C$15, $D$11, 100%, $F$11)</f>
        <v>48.839799999999997</v>
      </c>
      <c r="H963" s="4">
        <f>49.7216 * CHOOSE(CONTROL!$C$15, $D$11, 100%, $F$11)</f>
        <v>49.721600000000002</v>
      </c>
      <c r="I963" s="8">
        <f>48.1415 * CHOOSE(CONTROL!$C$15, $D$11, 100%, $F$11)</f>
        <v>48.141500000000001</v>
      </c>
      <c r="J963" s="4">
        <f>47.9988 * CHOOSE(CONTROL!$C$15, $D$11, 100%, $F$11)</f>
        <v>47.998800000000003</v>
      </c>
      <c r="K963" s="4"/>
      <c r="L963" s="9">
        <v>28.360600000000002</v>
      </c>
      <c r="M963" s="9">
        <v>11.6745</v>
      </c>
      <c r="N963" s="9">
        <v>4.7850000000000001</v>
      </c>
      <c r="O963" s="9">
        <v>0.36199999999999999</v>
      </c>
      <c r="P963" s="9">
        <v>1.2509999999999999</v>
      </c>
      <c r="Q963" s="9">
        <v>19.053000000000001</v>
      </c>
      <c r="R963" s="9"/>
      <c r="S963" s="11"/>
    </row>
    <row r="964" spans="1:19" ht="15.75">
      <c r="A964" s="13">
        <v>70859</v>
      </c>
      <c r="B964" s="8">
        <f>49.5921 * CHOOSE(CONTROL!$C$15, $D$11, 100%, $F$11)</f>
        <v>49.592100000000002</v>
      </c>
      <c r="C964" s="8">
        <f>49.5972 * CHOOSE(CONTROL!$C$15, $D$11, 100%, $F$11)</f>
        <v>49.597200000000001</v>
      </c>
      <c r="D964" s="8">
        <f>49.5756 * CHOOSE( CONTROL!$C$15, $D$11, 100%, $F$11)</f>
        <v>49.575600000000001</v>
      </c>
      <c r="E964" s="12">
        <f>49.583 * CHOOSE( CONTROL!$C$15, $D$11, 100%, $F$11)</f>
        <v>49.582999999999998</v>
      </c>
      <c r="F964" s="4">
        <f>50.237 * CHOOSE(CONTROL!$C$15, $D$11, 100%, $F$11)</f>
        <v>50.237000000000002</v>
      </c>
      <c r="G964" s="8">
        <f>48.752 * CHOOSE( CONTROL!$C$15, $D$11, 100%, $F$11)</f>
        <v>48.752000000000002</v>
      </c>
      <c r="H964" s="4">
        <f>49.6328 * CHOOSE(CONTROL!$C$15, $D$11, 100%, $F$11)</f>
        <v>49.632800000000003</v>
      </c>
      <c r="I964" s="8">
        <f>48.0586 * CHOOSE(CONTROL!$C$15, $D$11, 100%, $F$11)</f>
        <v>48.058599999999998</v>
      </c>
      <c r="J964" s="4">
        <f>47.9115 * CHOOSE(CONTROL!$C$15, $D$11, 100%, $F$11)</f>
        <v>47.911499999999997</v>
      </c>
      <c r="K964" s="4"/>
      <c r="L964" s="9">
        <v>29.306000000000001</v>
      </c>
      <c r="M964" s="9">
        <v>12.063700000000001</v>
      </c>
      <c r="N964" s="9">
        <v>4.9444999999999997</v>
      </c>
      <c r="O964" s="9">
        <v>0.37409999999999999</v>
      </c>
      <c r="P964" s="9">
        <v>1.2927</v>
      </c>
      <c r="Q964" s="9">
        <v>19.688099999999999</v>
      </c>
      <c r="R964" s="9"/>
      <c r="S964" s="11"/>
    </row>
    <row r="965" spans="1:19" ht="15.75">
      <c r="A965" s="13">
        <v>70890</v>
      </c>
      <c r="B965" s="8">
        <f>51.4864 * CHOOSE(CONTROL!$C$15, $D$11, 100%, $F$11)</f>
        <v>51.486400000000003</v>
      </c>
      <c r="C965" s="8">
        <f>51.4915 * CHOOSE(CONTROL!$C$15, $D$11, 100%, $F$11)</f>
        <v>51.491500000000002</v>
      </c>
      <c r="D965" s="8">
        <f>51.4656 * CHOOSE( CONTROL!$C$15, $D$11, 100%, $F$11)</f>
        <v>51.465600000000002</v>
      </c>
      <c r="E965" s="12">
        <f>51.4745 * CHOOSE( CONTROL!$C$15, $D$11, 100%, $F$11)</f>
        <v>51.474499999999999</v>
      </c>
      <c r="F965" s="4">
        <f>52.1304 * CHOOSE(CONTROL!$C$15, $D$11, 100%, $F$11)</f>
        <v>52.130400000000002</v>
      </c>
      <c r="G965" s="8">
        <f>50.6085 * CHOOSE( CONTROL!$C$15, $D$11, 100%, $F$11)</f>
        <v>50.608499999999999</v>
      </c>
      <c r="H965" s="4">
        <f>51.4947 * CHOOSE(CONTROL!$C$15, $D$11, 100%, $F$11)</f>
        <v>51.494700000000002</v>
      </c>
      <c r="I965" s="8">
        <f>49.8612 * CHOOSE(CONTROL!$C$15, $D$11, 100%, $F$11)</f>
        <v>49.861199999999997</v>
      </c>
      <c r="J965" s="4">
        <f>49.7427 * CHOOSE(CONTROL!$C$15, $D$11, 100%, $F$11)</f>
        <v>49.742699999999999</v>
      </c>
      <c r="K965" s="4"/>
      <c r="L965" s="9">
        <v>29.306000000000001</v>
      </c>
      <c r="M965" s="9">
        <v>12.063700000000001</v>
      </c>
      <c r="N965" s="9">
        <v>4.9444999999999997</v>
      </c>
      <c r="O965" s="9">
        <v>0.37409999999999999</v>
      </c>
      <c r="P965" s="9">
        <v>1.2927</v>
      </c>
      <c r="Q965" s="9">
        <v>19.688099999999999</v>
      </c>
      <c r="R965" s="9"/>
      <c r="S965" s="11"/>
    </row>
    <row r="966" spans="1:19" ht="15.75">
      <c r="A966" s="13">
        <v>70918</v>
      </c>
      <c r="B966" s="8">
        <f>48.1598 * CHOOSE(CONTROL!$C$15, $D$11, 100%, $F$11)</f>
        <v>48.159799999999997</v>
      </c>
      <c r="C966" s="8">
        <f>48.1649 * CHOOSE(CONTROL!$C$15, $D$11, 100%, $F$11)</f>
        <v>48.164900000000003</v>
      </c>
      <c r="D966" s="8">
        <f>48.1393 * CHOOSE( CONTROL!$C$15, $D$11, 100%, $F$11)</f>
        <v>48.139299999999999</v>
      </c>
      <c r="E966" s="12">
        <f>48.1481 * CHOOSE( CONTROL!$C$15, $D$11, 100%, $F$11)</f>
        <v>48.148099999999999</v>
      </c>
      <c r="F966" s="4">
        <f>48.8038 * CHOOSE(CONTROL!$C$15, $D$11, 100%, $F$11)</f>
        <v>48.803800000000003</v>
      </c>
      <c r="G966" s="8">
        <f>47.3373 * CHOOSE( CONTROL!$C$15, $D$11, 100%, $F$11)</f>
        <v>47.337299999999999</v>
      </c>
      <c r="H966" s="4">
        <f>48.2233 * CHOOSE(CONTROL!$C$15, $D$11, 100%, $F$11)</f>
        <v>48.223300000000002</v>
      </c>
      <c r="I966" s="8">
        <f>46.6446 * CHOOSE(CONTROL!$C$15, $D$11, 100%, $F$11)</f>
        <v>46.644599999999997</v>
      </c>
      <c r="J966" s="4">
        <f>46.5269 * CHOOSE(CONTROL!$C$15, $D$11, 100%, $F$11)</f>
        <v>46.526899999999998</v>
      </c>
      <c r="K966" s="4"/>
      <c r="L966" s="9">
        <v>26.469899999999999</v>
      </c>
      <c r="M966" s="9">
        <v>10.8962</v>
      </c>
      <c r="N966" s="9">
        <v>4.4660000000000002</v>
      </c>
      <c r="O966" s="9">
        <v>0.33789999999999998</v>
      </c>
      <c r="P966" s="9">
        <v>1.1676</v>
      </c>
      <c r="Q966" s="9">
        <v>17.782800000000002</v>
      </c>
      <c r="R966" s="9"/>
      <c r="S966" s="11"/>
    </row>
    <row r="967" spans="1:19" ht="15.75">
      <c r="A967" s="13">
        <v>70949</v>
      </c>
      <c r="B967" s="8">
        <f>47.1352 * CHOOSE(CONTROL!$C$15, $D$11, 100%, $F$11)</f>
        <v>47.135199999999998</v>
      </c>
      <c r="C967" s="8">
        <f>47.1404 * CHOOSE(CONTROL!$C$15, $D$11, 100%, $F$11)</f>
        <v>47.1404</v>
      </c>
      <c r="D967" s="8">
        <f>47.1147 * CHOOSE( CONTROL!$C$15, $D$11, 100%, $F$11)</f>
        <v>47.114699999999999</v>
      </c>
      <c r="E967" s="12">
        <f>47.1235 * CHOOSE( CONTROL!$C$15, $D$11, 100%, $F$11)</f>
        <v>47.1235</v>
      </c>
      <c r="F967" s="4">
        <f>47.7793 * CHOOSE(CONTROL!$C$15, $D$11, 100%, $F$11)</f>
        <v>47.779299999999999</v>
      </c>
      <c r="G967" s="8">
        <f>46.3296 * CHOOSE( CONTROL!$C$15, $D$11, 100%, $F$11)</f>
        <v>46.329599999999999</v>
      </c>
      <c r="H967" s="4">
        <f>47.2158 * CHOOSE(CONTROL!$C$15, $D$11, 100%, $F$11)</f>
        <v>47.215800000000002</v>
      </c>
      <c r="I967" s="8">
        <f>45.6534 * CHOOSE(CONTROL!$C$15, $D$11, 100%, $F$11)</f>
        <v>45.653399999999998</v>
      </c>
      <c r="J967" s="4">
        <f>45.5365 * CHOOSE(CONTROL!$C$15, $D$11, 100%, $F$11)</f>
        <v>45.536499999999997</v>
      </c>
      <c r="K967" s="4"/>
      <c r="L967" s="9">
        <v>29.306000000000001</v>
      </c>
      <c r="M967" s="9">
        <v>12.063700000000001</v>
      </c>
      <c r="N967" s="9">
        <v>4.9444999999999997</v>
      </c>
      <c r="O967" s="9">
        <v>0.37409999999999999</v>
      </c>
      <c r="P967" s="9">
        <v>1.2927</v>
      </c>
      <c r="Q967" s="9">
        <v>19.688099999999999</v>
      </c>
      <c r="R967" s="9"/>
      <c r="S967" s="11"/>
    </row>
    <row r="968" spans="1:19" ht="15.75">
      <c r="A968" s="13">
        <v>70979</v>
      </c>
      <c r="B968" s="8">
        <f>47.8519 * CHOOSE(CONTROL!$C$15, $D$11, 100%, $F$11)</f>
        <v>47.851900000000001</v>
      </c>
      <c r="C968" s="8">
        <f>47.8565 * CHOOSE(CONTROL!$C$15, $D$11, 100%, $F$11)</f>
        <v>47.856499999999997</v>
      </c>
      <c r="D968" s="8">
        <f>47.8675 * CHOOSE( CONTROL!$C$15, $D$11, 100%, $F$11)</f>
        <v>47.8675</v>
      </c>
      <c r="E968" s="12">
        <f>47.8633 * CHOOSE( CONTROL!$C$15, $D$11, 100%, $F$11)</f>
        <v>47.863300000000002</v>
      </c>
      <c r="F968" s="4">
        <f>48.5416 * CHOOSE(CONTROL!$C$15, $D$11, 100%, $F$11)</f>
        <v>48.541600000000003</v>
      </c>
      <c r="G968" s="8">
        <f>47.0266 * CHOOSE( CONTROL!$C$15, $D$11, 100%, $F$11)</f>
        <v>47.026600000000002</v>
      </c>
      <c r="H968" s="4">
        <f>47.9654 * CHOOSE(CONTROL!$C$15, $D$11, 100%, $F$11)</f>
        <v>47.965400000000002</v>
      </c>
      <c r="I968" s="8">
        <f>46.3409 * CHOOSE(CONTROL!$C$15, $D$11, 100%, $F$11)</f>
        <v>46.340899999999998</v>
      </c>
      <c r="J968" s="4">
        <f>46.2286 * CHOOSE(CONTROL!$C$15, $D$11, 100%, $F$11)</f>
        <v>46.2286</v>
      </c>
      <c r="K968" s="4"/>
      <c r="L968" s="9">
        <v>30.092199999999998</v>
      </c>
      <c r="M968" s="9">
        <v>11.6745</v>
      </c>
      <c r="N968" s="9">
        <v>4.7850000000000001</v>
      </c>
      <c r="O968" s="9">
        <v>0.36199999999999999</v>
      </c>
      <c r="P968" s="9">
        <v>1.1791</v>
      </c>
      <c r="Q968" s="9">
        <v>19.053000000000001</v>
      </c>
      <c r="R968" s="9"/>
      <c r="S968" s="11"/>
    </row>
    <row r="969" spans="1:19" ht="15.75">
      <c r="A969" s="13">
        <v>71010</v>
      </c>
      <c r="B969" s="8">
        <f>CHOOSE( CONTROL!$C$32, 49.1311, 49.1275) * CHOOSE(CONTROL!$C$15, $D$11, 100%, $F$11)</f>
        <v>49.131100000000004</v>
      </c>
      <c r="C969" s="8">
        <f>CHOOSE( CONTROL!$C$32, 49.1391, 49.1355) * CHOOSE(CONTROL!$C$15, $D$11, 100%, $F$11)</f>
        <v>49.139099999999999</v>
      </c>
      <c r="D969" s="8">
        <f>CHOOSE( CONTROL!$C$32, 49.1451, 49.1416) * CHOOSE( CONTROL!$C$15, $D$11, 100%, $F$11)</f>
        <v>49.145099999999999</v>
      </c>
      <c r="E969" s="12">
        <f>CHOOSE( CONTROL!$C$32, 49.1417, 49.1382) * CHOOSE( CONTROL!$C$15, $D$11, 100%, $F$11)</f>
        <v>49.1417</v>
      </c>
      <c r="F969" s="4">
        <f>CHOOSE( CONTROL!$C$32, 49.8194, 49.8158) * CHOOSE(CONTROL!$C$15, $D$11, 100%, $F$11)</f>
        <v>49.819400000000002</v>
      </c>
      <c r="G969" s="8">
        <f>CHOOSE( CONTROL!$C$32, 48.2842, 48.2807) * CHOOSE( CONTROL!$C$15, $D$11, 100%, $F$11)</f>
        <v>48.284199999999998</v>
      </c>
      <c r="H969" s="4">
        <f>CHOOSE( CONTROL!$C$32, 49.222, 49.2185) * CHOOSE(CONTROL!$C$15, $D$11, 100%, $F$11)</f>
        <v>49.222000000000001</v>
      </c>
      <c r="I969" s="8">
        <f>CHOOSE( CONTROL!$C$32, 47.5776, 47.5741) * CHOOSE(CONTROL!$C$15, $D$11, 100%, $F$11)</f>
        <v>47.577599999999997</v>
      </c>
      <c r="J969" s="4">
        <f>CHOOSE( CONTROL!$C$32, 47.4638, 47.4604) * CHOOSE(CONTROL!$C$15, $D$11, 100%, $F$11)</f>
        <v>47.463799999999999</v>
      </c>
      <c r="K969" s="4"/>
      <c r="L969" s="9">
        <v>30.7165</v>
      </c>
      <c r="M969" s="9">
        <v>12.063700000000001</v>
      </c>
      <c r="N969" s="9">
        <v>4.9444999999999997</v>
      </c>
      <c r="O969" s="9">
        <v>0.37409999999999999</v>
      </c>
      <c r="P969" s="9">
        <v>1.2183999999999999</v>
      </c>
      <c r="Q969" s="9">
        <v>19.688099999999999</v>
      </c>
      <c r="R969" s="9"/>
      <c r="S969" s="11"/>
    </row>
    <row r="970" spans="1:19" ht="15.75">
      <c r="A970" s="13">
        <v>71040</v>
      </c>
      <c r="B970" s="8">
        <f>CHOOSE( CONTROL!$C$32, 48.3418, 48.3382) * CHOOSE(CONTROL!$C$15, $D$11, 100%, $F$11)</f>
        <v>48.341799999999999</v>
      </c>
      <c r="C970" s="8">
        <f>CHOOSE( CONTROL!$C$32, 48.3498, 48.3462) * CHOOSE(CONTROL!$C$15, $D$11, 100%, $F$11)</f>
        <v>48.349800000000002</v>
      </c>
      <c r="D970" s="8">
        <f>CHOOSE( CONTROL!$C$32, 48.3561, 48.3525) * CHOOSE( CONTROL!$C$15, $D$11, 100%, $F$11)</f>
        <v>48.356099999999998</v>
      </c>
      <c r="E970" s="12">
        <f>CHOOSE( CONTROL!$C$32, 48.3526, 48.349) * CHOOSE( CONTROL!$C$15, $D$11, 100%, $F$11)</f>
        <v>48.352600000000002</v>
      </c>
      <c r="F970" s="4">
        <f>CHOOSE( CONTROL!$C$32, 49.03, 49.0265) * CHOOSE(CONTROL!$C$15, $D$11, 100%, $F$11)</f>
        <v>49.03</v>
      </c>
      <c r="G970" s="8">
        <f>CHOOSE( CONTROL!$C$32, 47.5083, 47.5048) * CHOOSE( CONTROL!$C$15, $D$11, 100%, $F$11)</f>
        <v>47.508299999999998</v>
      </c>
      <c r="H970" s="4">
        <f>CHOOSE( CONTROL!$C$32, 48.4458, 48.4423) * CHOOSE(CONTROL!$C$15, $D$11, 100%, $F$11)</f>
        <v>48.445799999999998</v>
      </c>
      <c r="I970" s="8">
        <f>CHOOSE( CONTROL!$C$32, 46.8155, 46.812) * CHOOSE(CONTROL!$C$15, $D$11, 100%, $F$11)</f>
        <v>46.8155</v>
      </c>
      <c r="J970" s="4">
        <f>CHOOSE( CONTROL!$C$32, 46.7007, 46.6973) * CHOOSE(CONTROL!$C$15, $D$11, 100%, $F$11)</f>
        <v>46.700699999999998</v>
      </c>
      <c r="K970" s="4"/>
      <c r="L970" s="9">
        <v>29.7257</v>
      </c>
      <c r="M970" s="9">
        <v>11.6745</v>
      </c>
      <c r="N970" s="9">
        <v>4.7850000000000001</v>
      </c>
      <c r="O970" s="9">
        <v>0.36199999999999999</v>
      </c>
      <c r="P970" s="9">
        <v>1.1791</v>
      </c>
      <c r="Q970" s="9">
        <v>19.053000000000001</v>
      </c>
      <c r="R970" s="9"/>
      <c r="S970" s="11"/>
    </row>
    <row r="971" spans="1:19" ht="15.75">
      <c r="A971" s="13">
        <v>71071</v>
      </c>
      <c r="B971" s="8">
        <f>CHOOSE( CONTROL!$C$32, 50.4204, 50.4168) * CHOOSE(CONTROL!$C$15, $D$11, 100%, $F$11)</f>
        <v>50.420400000000001</v>
      </c>
      <c r="C971" s="8">
        <f>CHOOSE( CONTROL!$C$32, 50.4284, 50.4248) * CHOOSE(CONTROL!$C$15, $D$11, 100%, $F$11)</f>
        <v>50.428400000000003</v>
      </c>
      <c r="D971" s="8">
        <f>CHOOSE( CONTROL!$C$32, 50.435, 50.4314) * CHOOSE( CONTROL!$C$15, $D$11, 100%, $F$11)</f>
        <v>50.435000000000002</v>
      </c>
      <c r="E971" s="12">
        <f>CHOOSE( CONTROL!$C$32, 50.4314, 50.4278) * CHOOSE( CONTROL!$C$15, $D$11, 100%, $F$11)</f>
        <v>50.431399999999996</v>
      </c>
      <c r="F971" s="4">
        <f>CHOOSE( CONTROL!$C$32, 51.1086, 51.1051) * CHOOSE(CONTROL!$C$15, $D$11, 100%, $F$11)</f>
        <v>51.108600000000003</v>
      </c>
      <c r="G971" s="8">
        <f>CHOOSE( CONTROL!$C$32, 49.5529, 49.5494) * CHOOSE( CONTROL!$C$15, $D$11, 100%, $F$11)</f>
        <v>49.552900000000001</v>
      </c>
      <c r="H971" s="4">
        <f>CHOOSE( CONTROL!$C$32, 50.4899, 50.4864) * CHOOSE(CONTROL!$C$15, $D$11, 100%, $F$11)</f>
        <v>50.489899999999999</v>
      </c>
      <c r="I971" s="8">
        <f>CHOOSE( CONTROL!$C$32, 48.8274, 48.8239) * CHOOSE(CONTROL!$C$15, $D$11, 100%, $F$11)</f>
        <v>48.827399999999997</v>
      </c>
      <c r="J971" s="4">
        <f>CHOOSE( CONTROL!$C$32, 48.7101, 48.7067) * CHOOSE(CONTROL!$C$15, $D$11, 100%, $F$11)</f>
        <v>48.710099999999997</v>
      </c>
      <c r="K971" s="4"/>
      <c r="L971" s="9">
        <v>30.7165</v>
      </c>
      <c r="M971" s="9">
        <v>12.063700000000001</v>
      </c>
      <c r="N971" s="9">
        <v>4.9444999999999997</v>
      </c>
      <c r="O971" s="9">
        <v>0.37409999999999999</v>
      </c>
      <c r="P971" s="9">
        <v>1.2183999999999999</v>
      </c>
      <c r="Q971" s="9">
        <v>19.688099999999999</v>
      </c>
      <c r="R971" s="9"/>
      <c r="S971" s="11"/>
    </row>
    <row r="972" spans="1:19" ht="15.75">
      <c r="A972" s="13">
        <v>71102</v>
      </c>
      <c r="B972" s="8">
        <f>CHOOSE( CONTROL!$C$32, 46.5311, 46.5275) * CHOOSE(CONTROL!$C$15, $D$11, 100%, $F$11)</f>
        <v>46.531100000000002</v>
      </c>
      <c r="C972" s="8">
        <f>CHOOSE( CONTROL!$C$32, 46.5391, 46.5355) * CHOOSE(CONTROL!$C$15, $D$11, 100%, $F$11)</f>
        <v>46.539099999999998</v>
      </c>
      <c r="D972" s="8">
        <f>CHOOSE( CONTROL!$C$32, 46.5458, 46.5422) * CHOOSE( CONTROL!$C$15, $D$11, 100%, $F$11)</f>
        <v>46.5458</v>
      </c>
      <c r="E972" s="12">
        <f>CHOOSE( CONTROL!$C$32, 46.5422, 46.5386) * CHOOSE( CONTROL!$C$15, $D$11, 100%, $F$11)</f>
        <v>46.542200000000001</v>
      </c>
      <c r="F972" s="4">
        <f>CHOOSE( CONTROL!$C$32, 47.2193, 47.2158) * CHOOSE(CONTROL!$C$15, $D$11, 100%, $F$11)</f>
        <v>47.219299999999997</v>
      </c>
      <c r="G972" s="8">
        <f>CHOOSE( CONTROL!$C$32, 45.7283, 45.7248) * CHOOSE( CONTROL!$C$15, $D$11, 100%, $F$11)</f>
        <v>45.728299999999997</v>
      </c>
      <c r="H972" s="4">
        <f>CHOOSE( CONTROL!$C$32, 46.6651, 46.6616) * CHOOSE(CONTROL!$C$15, $D$11, 100%, $F$11)</f>
        <v>46.665100000000002</v>
      </c>
      <c r="I972" s="8">
        <f>CHOOSE( CONTROL!$C$32, 45.0661, 45.0627) * CHOOSE(CONTROL!$C$15, $D$11, 100%, $F$11)</f>
        <v>45.066099999999999</v>
      </c>
      <c r="J972" s="4">
        <f>CHOOSE( CONTROL!$C$32, 44.9503, 44.9469) * CHOOSE(CONTROL!$C$15, $D$11, 100%, $F$11)</f>
        <v>44.950299999999999</v>
      </c>
      <c r="K972" s="4"/>
      <c r="L972" s="9">
        <v>30.7165</v>
      </c>
      <c r="M972" s="9">
        <v>12.063700000000001</v>
      </c>
      <c r="N972" s="9">
        <v>4.9444999999999997</v>
      </c>
      <c r="O972" s="9">
        <v>0.37409999999999999</v>
      </c>
      <c r="P972" s="9">
        <v>1.2183999999999999</v>
      </c>
      <c r="Q972" s="9">
        <v>19.688099999999999</v>
      </c>
      <c r="R972" s="9"/>
      <c r="S972" s="11"/>
    </row>
    <row r="973" spans="1:19" ht="15.75">
      <c r="A973" s="13">
        <v>71132</v>
      </c>
      <c r="B973" s="8">
        <f>CHOOSE( CONTROL!$C$32, 45.5571, 45.5536) * CHOOSE(CONTROL!$C$15, $D$11, 100%, $F$11)</f>
        <v>45.557099999999998</v>
      </c>
      <c r="C973" s="8">
        <f>CHOOSE( CONTROL!$C$32, 45.5651, 45.5616) * CHOOSE(CONTROL!$C$15, $D$11, 100%, $F$11)</f>
        <v>45.565100000000001</v>
      </c>
      <c r="D973" s="8">
        <f>CHOOSE( CONTROL!$C$32, 45.5718, 45.5683) * CHOOSE( CONTROL!$C$15, $D$11, 100%, $F$11)</f>
        <v>45.571800000000003</v>
      </c>
      <c r="E973" s="12">
        <f>CHOOSE( CONTROL!$C$32, 45.5682, 45.5647) * CHOOSE( CONTROL!$C$15, $D$11, 100%, $F$11)</f>
        <v>45.568199999999997</v>
      </c>
      <c r="F973" s="4">
        <f>CHOOSE( CONTROL!$C$32, 46.2454, 46.2418) * CHOOSE(CONTROL!$C$15, $D$11, 100%, $F$11)</f>
        <v>46.245399999999997</v>
      </c>
      <c r="G973" s="8">
        <f>CHOOSE( CONTROL!$C$32, 44.7705, 44.767) * CHOOSE( CONTROL!$C$15, $D$11, 100%, $F$11)</f>
        <v>44.770499999999998</v>
      </c>
      <c r="H973" s="4">
        <f>CHOOSE( CONTROL!$C$32, 45.7073, 45.7038) * CHOOSE(CONTROL!$C$15, $D$11, 100%, $F$11)</f>
        <v>45.707299999999996</v>
      </c>
      <c r="I973" s="8">
        <f>CHOOSE( CONTROL!$C$32, 44.1242, 44.1207) * CHOOSE(CONTROL!$C$15, $D$11, 100%, $F$11)</f>
        <v>44.124200000000002</v>
      </c>
      <c r="J973" s="4">
        <f>CHOOSE( CONTROL!$C$32, 44.0088, 44.0054) * CHOOSE(CONTROL!$C$15, $D$11, 100%, $F$11)</f>
        <v>44.008800000000001</v>
      </c>
      <c r="K973" s="4"/>
      <c r="L973" s="9">
        <v>29.7257</v>
      </c>
      <c r="M973" s="9">
        <v>11.6745</v>
      </c>
      <c r="N973" s="9">
        <v>4.7850000000000001</v>
      </c>
      <c r="O973" s="9">
        <v>0.36199999999999999</v>
      </c>
      <c r="P973" s="9">
        <v>1.1791</v>
      </c>
      <c r="Q973" s="9">
        <v>19.053000000000001</v>
      </c>
      <c r="R973" s="9"/>
      <c r="S973" s="11"/>
    </row>
    <row r="974" spans="1:19" ht="15.75">
      <c r="A974" s="13">
        <v>71163</v>
      </c>
      <c r="B974" s="8">
        <f>47.5741 * CHOOSE(CONTROL!$C$15, $D$11, 100%, $F$11)</f>
        <v>47.574100000000001</v>
      </c>
      <c r="C974" s="8">
        <f>47.5794 * CHOOSE(CONTROL!$C$15, $D$11, 100%, $F$11)</f>
        <v>47.5794</v>
      </c>
      <c r="D974" s="8">
        <f>47.591 * CHOOSE( CONTROL!$C$15, $D$11, 100%, $F$11)</f>
        <v>47.591000000000001</v>
      </c>
      <c r="E974" s="12">
        <f>47.5866 * CHOOSE( CONTROL!$C$15, $D$11, 100%, $F$11)</f>
        <v>47.586599999999997</v>
      </c>
      <c r="F974" s="4">
        <f>48.264 * CHOOSE(CONTROL!$C$15, $D$11, 100%, $F$11)</f>
        <v>48.264000000000003</v>
      </c>
      <c r="G974" s="8">
        <f>46.7552 * CHOOSE( CONTROL!$C$15, $D$11, 100%, $F$11)</f>
        <v>46.755200000000002</v>
      </c>
      <c r="H974" s="4">
        <f>47.6925 * CHOOSE(CONTROL!$C$15, $D$11, 100%, $F$11)</f>
        <v>47.692500000000003</v>
      </c>
      <c r="I974" s="8">
        <f>46.0773 * CHOOSE(CONTROL!$C$15, $D$11, 100%, $F$11)</f>
        <v>46.077300000000001</v>
      </c>
      <c r="J974" s="4">
        <f>45.9603 * CHOOSE(CONTROL!$C$15, $D$11, 100%, $F$11)</f>
        <v>45.960299999999997</v>
      </c>
      <c r="K974" s="4"/>
      <c r="L974" s="9">
        <v>31.095300000000002</v>
      </c>
      <c r="M974" s="9">
        <v>12.063700000000001</v>
      </c>
      <c r="N974" s="9">
        <v>4.9444999999999997</v>
      </c>
      <c r="O974" s="9">
        <v>0.37409999999999999</v>
      </c>
      <c r="P974" s="9">
        <v>1.2183999999999999</v>
      </c>
      <c r="Q974" s="9">
        <v>19.688099999999999</v>
      </c>
      <c r="R974" s="9"/>
      <c r="S974" s="11"/>
    </row>
    <row r="975" spans="1:19" ht="15.75">
      <c r="A975" s="13">
        <v>71193</v>
      </c>
      <c r="B975" s="8">
        <f>51.3062 * CHOOSE(CONTROL!$C$15, $D$11, 100%, $F$11)</f>
        <v>51.306199999999997</v>
      </c>
      <c r="C975" s="8">
        <f>51.3114 * CHOOSE(CONTROL!$C$15, $D$11, 100%, $F$11)</f>
        <v>51.311399999999999</v>
      </c>
      <c r="D975" s="8">
        <f>51.2883 * CHOOSE( CONTROL!$C$15, $D$11, 100%, $F$11)</f>
        <v>51.2883</v>
      </c>
      <c r="E975" s="12">
        <f>51.2962 * CHOOSE( CONTROL!$C$15, $D$11, 100%, $F$11)</f>
        <v>51.296199999999999</v>
      </c>
      <c r="F975" s="4">
        <f>51.9511 * CHOOSE(CONTROL!$C$15, $D$11, 100%, $F$11)</f>
        <v>51.951099999999997</v>
      </c>
      <c r="G975" s="8">
        <f>50.4367 * CHOOSE( CONTROL!$C$15, $D$11, 100%, $F$11)</f>
        <v>50.436700000000002</v>
      </c>
      <c r="H975" s="4">
        <f>51.3185 * CHOOSE(CONTROL!$C$15, $D$11, 100%, $F$11)</f>
        <v>51.3185</v>
      </c>
      <c r="I975" s="8">
        <f>49.7121 * CHOOSE(CONTROL!$C$15, $D$11, 100%, $F$11)</f>
        <v>49.7121</v>
      </c>
      <c r="J975" s="4">
        <f>49.5686 * CHOOSE(CONTROL!$C$15, $D$11, 100%, $F$11)</f>
        <v>49.568600000000004</v>
      </c>
      <c r="K975" s="4"/>
      <c r="L975" s="9">
        <v>28.360600000000002</v>
      </c>
      <c r="M975" s="9">
        <v>11.6745</v>
      </c>
      <c r="N975" s="9">
        <v>4.7850000000000001</v>
      </c>
      <c r="O975" s="9">
        <v>0.36199999999999999</v>
      </c>
      <c r="P975" s="9">
        <v>1.2509999999999999</v>
      </c>
      <c r="Q975" s="9">
        <v>19.053000000000001</v>
      </c>
      <c r="R975" s="9"/>
      <c r="S975" s="11"/>
    </row>
    <row r="976" spans="1:19" ht="15.75">
      <c r="A976" s="13">
        <v>71224</v>
      </c>
      <c r="B976" s="8">
        <f>51.213 * CHOOSE(CONTROL!$C$15, $D$11, 100%, $F$11)</f>
        <v>51.213000000000001</v>
      </c>
      <c r="C976" s="8">
        <f>51.2181 * CHOOSE(CONTROL!$C$15, $D$11, 100%, $F$11)</f>
        <v>51.2181</v>
      </c>
      <c r="D976" s="8">
        <f>51.1964 * CHOOSE( CONTROL!$C$15, $D$11, 100%, $F$11)</f>
        <v>51.196399999999997</v>
      </c>
      <c r="E976" s="12">
        <f>51.2038 * CHOOSE( CONTROL!$C$15, $D$11, 100%, $F$11)</f>
        <v>51.203800000000001</v>
      </c>
      <c r="F976" s="4">
        <f>51.8579 * CHOOSE(CONTROL!$C$15, $D$11, 100%, $F$11)</f>
        <v>51.857900000000001</v>
      </c>
      <c r="G976" s="8">
        <f>50.3459 * CHOOSE( CONTROL!$C$15, $D$11, 100%, $F$11)</f>
        <v>50.3459</v>
      </c>
      <c r="H976" s="4">
        <f>51.2267 * CHOOSE(CONTROL!$C$15, $D$11, 100%, $F$11)</f>
        <v>51.226700000000001</v>
      </c>
      <c r="I976" s="8">
        <f>49.6262 * CHOOSE(CONTROL!$C$15, $D$11, 100%, $F$11)</f>
        <v>49.626199999999997</v>
      </c>
      <c r="J976" s="4">
        <f>49.4784 * CHOOSE(CONTROL!$C$15, $D$11, 100%, $F$11)</f>
        <v>49.478400000000001</v>
      </c>
      <c r="K976" s="4"/>
      <c r="L976" s="9">
        <v>29.306000000000001</v>
      </c>
      <c r="M976" s="9">
        <v>12.063700000000001</v>
      </c>
      <c r="N976" s="9">
        <v>4.9444999999999997</v>
      </c>
      <c r="O976" s="9">
        <v>0.37409999999999999</v>
      </c>
      <c r="P976" s="9">
        <v>1.2927</v>
      </c>
      <c r="Q976" s="9">
        <v>19.688099999999999</v>
      </c>
      <c r="R976" s="9"/>
      <c r="S976" s="11"/>
    </row>
    <row r="977" spans="1:19" ht="15.75">
      <c r="A977" s="13">
        <v>71255</v>
      </c>
      <c r="B977" s="8">
        <f>53.1692 * CHOOSE(CONTROL!$C$15, $D$11, 100%, $F$11)</f>
        <v>53.169199999999996</v>
      </c>
      <c r="C977" s="8">
        <f>53.1743 * CHOOSE(CONTROL!$C$15, $D$11, 100%, $F$11)</f>
        <v>53.174300000000002</v>
      </c>
      <c r="D977" s="8">
        <f>53.1484 * CHOOSE( CONTROL!$C$15, $D$11, 100%, $F$11)</f>
        <v>53.148400000000002</v>
      </c>
      <c r="E977" s="12">
        <f>53.1573 * CHOOSE( CONTROL!$C$15, $D$11, 100%, $F$11)</f>
        <v>53.157299999999999</v>
      </c>
      <c r="F977" s="4">
        <f>53.8132 * CHOOSE(CONTROL!$C$15, $D$11, 100%, $F$11)</f>
        <v>53.813200000000002</v>
      </c>
      <c r="G977" s="8">
        <f>52.2634 * CHOOSE( CONTROL!$C$15, $D$11, 100%, $F$11)</f>
        <v>52.263399999999997</v>
      </c>
      <c r="H977" s="4">
        <f>53.1496 * CHOOSE(CONTROL!$C$15, $D$11, 100%, $F$11)</f>
        <v>53.1496</v>
      </c>
      <c r="I977" s="8">
        <f>51.4888 * CHOOSE(CONTROL!$C$15, $D$11, 100%, $F$11)</f>
        <v>51.488799999999998</v>
      </c>
      <c r="J977" s="4">
        <f>51.3695 * CHOOSE(CONTROL!$C$15, $D$11, 100%, $F$11)</f>
        <v>51.369500000000002</v>
      </c>
      <c r="K977" s="4"/>
      <c r="L977" s="9">
        <v>29.306000000000001</v>
      </c>
      <c r="M977" s="9">
        <v>12.063700000000001</v>
      </c>
      <c r="N977" s="9">
        <v>4.9444999999999997</v>
      </c>
      <c r="O977" s="9">
        <v>0.37409999999999999</v>
      </c>
      <c r="P977" s="9">
        <v>1.2927</v>
      </c>
      <c r="Q977" s="9">
        <v>19.688099999999999</v>
      </c>
      <c r="R977" s="9"/>
      <c r="S977" s="11"/>
    </row>
    <row r="978" spans="1:19" ht="15.75">
      <c r="A978" s="13">
        <v>71283</v>
      </c>
      <c r="B978" s="8">
        <f>49.7338 * CHOOSE(CONTROL!$C$15, $D$11, 100%, $F$11)</f>
        <v>49.733800000000002</v>
      </c>
      <c r="C978" s="8">
        <f>49.7389 * CHOOSE(CONTROL!$C$15, $D$11, 100%, $F$11)</f>
        <v>49.738900000000001</v>
      </c>
      <c r="D978" s="8">
        <f>49.7133 * CHOOSE( CONTROL!$C$15, $D$11, 100%, $F$11)</f>
        <v>49.713299999999997</v>
      </c>
      <c r="E978" s="12">
        <f>49.7221 * CHOOSE( CONTROL!$C$15, $D$11, 100%, $F$11)</f>
        <v>49.722099999999998</v>
      </c>
      <c r="F978" s="4">
        <f>50.3778 * CHOOSE(CONTROL!$C$15, $D$11, 100%, $F$11)</f>
        <v>50.377800000000001</v>
      </c>
      <c r="G978" s="8">
        <f>48.8852 * CHOOSE( CONTROL!$C$15, $D$11, 100%, $F$11)</f>
        <v>48.885199999999998</v>
      </c>
      <c r="H978" s="4">
        <f>49.7712 * CHOOSE(CONTROL!$C$15, $D$11, 100%, $F$11)</f>
        <v>49.7712</v>
      </c>
      <c r="I978" s="8">
        <f>48.1669 * CHOOSE(CONTROL!$C$15, $D$11, 100%, $F$11)</f>
        <v>48.166899999999998</v>
      </c>
      <c r="J978" s="4">
        <f>48.0485 * CHOOSE(CONTROL!$C$15, $D$11, 100%, $F$11)</f>
        <v>48.048499999999997</v>
      </c>
      <c r="K978" s="4"/>
      <c r="L978" s="9">
        <v>26.469899999999999</v>
      </c>
      <c r="M978" s="9">
        <v>10.8962</v>
      </c>
      <c r="N978" s="9">
        <v>4.4660000000000002</v>
      </c>
      <c r="O978" s="9">
        <v>0.33789999999999998</v>
      </c>
      <c r="P978" s="9">
        <v>1.1676</v>
      </c>
      <c r="Q978" s="9">
        <v>17.782800000000002</v>
      </c>
      <c r="R978" s="9"/>
      <c r="S978" s="11"/>
    </row>
    <row r="979" spans="1:19" ht="15.75">
      <c r="A979" s="13">
        <v>71314</v>
      </c>
      <c r="B979" s="8">
        <f>48.6757 * CHOOSE(CONTROL!$C$15, $D$11, 100%, $F$11)</f>
        <v>48.675699999999999</v>
      </c>
      <c r="C979" s="8">
        <f>48.6809 * CHOOSE(CONTROL!$C$15, $D$11, 100%, $F$11)</f>
        <v>48.680900000000001</v>
      </c>
      <c r="D979" s="8">
        <f>48.6552 * CHOOSE( CONTROL!$C$15, $D$11, 100%, $F$11)</f>
        <v>48.655200000000001</v>
      </c>
      <c r="E979" s="12">
        <f>48.664 * CHOOSE( CONTROL!$C$15, $D$11, 100%, $F$11)</f>
        <v>48.664000000000001</v>
      </c>
      <c r="F979" s="4">
        <f>49.3198 * CHOOSE(CONTROL!$C$15, $D$11, 100%, $F$11)</f>
        <v>49.319800000000001</v>
      </c>
      <c r="G979" s="8">
        <f>47.8446 * CHOOSE( CONTROL!$C$15, $D$11, 100%, $F$11)</f>
        <v>47.8446</v>
      </c>
      <c r="H979" s="4">
        <f>48.7307 * CHOOSE(CONTROL!$C$15, $D$11, 100%, $F$11)</f>
        <v>48.730699999999999</v>
      </c>
      <c r="I979" s="8">
        <f>47.1433 * CHOOSE(CONTROL!$C$15, $D$11, 100%, $F$11)</f>
        <v>47.143300000000004</v>
      </c>
      <c r="J979" s="4">
        <f>47.0257 * CHOOSE(CONTROL!$C$15, $D$11, 100%, $F$11)</f>
        <v>47.025700000000001</v>
      </c>
      <c r="K979" s="4"/>
      <c r="L979" s="9">
        <v>29.306000000000001</v>
      </c>
      <c r="M979" s="9">
        <v>12.063700000000001</v>
      </c>
      <c r="N979" s="9">
        <v>4.9444999999999997</v>
      </c>
      <c r="O979" s="9">
        <v>0.37409999999999999</v>
      </c>
      <c r="P979" s="9">
        <v>1.2927</v>
      </c>
      <c r="Q979" s="9">
        <v>19.688099999999999</v>
      </c>
      <c r="R979" s="9"/>
      <c r="S979" s="11"/>
    </row>
    <row r="980" spans="1:19" ht="15.75">
      <c r="A980" s="13">
        <v>71344</v>
      </c>
      <c r="B980" s="8">
        <f>49.4159 * CHOOSE(CONTROL!$C$15, $D$11, 100%, $F$11)</f>
        <v>49.415900000000001</v>
      </c>
      <c r="C980" s="8">
        <f>49.4204 * CHOOSE(CONTROL!$C$15, $D$11, 100%, $F$11)</f>
        <v>49.420400000000001</v>
      </c>
      <c r="D980" s="8">
        <f>49.4314 * CHOOSE( CONTROL!$C$15, $D$11, 100%, $F$11)</f>
        <v>49.431399999999996</v>
      </c>
      <c r="E980" s="12">
        <f>49.4273 * CHOOSE( CONTROL!$C$15, $D$11, 100%, $F$11)</f>
        <v>49.427300000000002</v>
      </c>
      <c r="F980" s="4">
        <f>50.1055 * CHOOSE(CONTROL!$C$15, $D$11, 100%, $F$11)</f>
        <v>50.105499999999999</v>
      </c>
      <c r="G980" s="8">
        <f>48.5646 * CHOOSE( CONTROL!$C$15, $D$11, 100%, $F$11)</f>
        <v>48.564599999999999</v>
      </c>
      <c r="H980" s="4">
        <f>49.5034 * CHOOSE(CONTROL!$C$15, $D$11, 100%, $F$11)</f>
        <v>49.503399999999999</v>
      </c>
      <c r="I980" s="8">
        <f>47.8535 * CHOOSE(CONTROL!$C$15, $D$11, 100%, $F$11)</f>
        <v>47.853499999999997</v>
      </c>
      <c r="J980" s="4">
        <f>47.7404 * CHOOSE(CONTROL!$C$15, $D$11, 100%, $F$11)</f>
        <v>47.740400000000001</v>
      </c>
      <c r="K980" s="4"/>
      <c r="L980" s="9">
        <v>30.092199999999998</v>
      </c>
      <c r="M980" s="9">
        <v>11.6745</v>
      </c>
      <c r="N980" s="9">
        <v>4.7850000000000001</v>
      </c>
      <c r="O980" s="9">
        <v>0.36199999999999999</v>
      </c>
      <c r="P980" s="9">
        <v>1.1791</v>
      </c>
      <c r="Q980" s="9">
        <v>19.053000000000001</v>
      </c>
      <c r="R980" s="9"/>
      <c r="S980" s="11"/>
    </row>
    <row r="981" spans="1:19" ht="15.75">
      <c r="A981" s="13">
        <v>71375</v>
      </c>
      <c r="B981" s="8">
        <f>CHOOSE( CONTROL!$C$32, 50.7367, 50.7331) * CHOOSE(CONTROL!$C$15, $D$11, 100%, $F$11)</f>
        <v>50.736699999999999</v>
      </c>
      <c r="C981" s="8">
        <f>CHOOSE( CONTROL!$C$32, 50.7447, 50.7411) * CHOOSE(CONTROL!$C$15, $D$11, 100%, $F$11)</f>
        <v>50.744700000000002</v>
      </c>
      <c r="D981" s="8">
        <f>CHOOSE( CONTROL!$C$32, 50.7507, 50.7472) * CHOOSE( CONTROL!$C$15, $D$11, 100%, $F$11)</f>
        <v>50.750700000000002</v>
      </c>
      <c r="E981" s="12">
        <f>CHOOSE( CONTROL!$C$32, 50.7473, 50.7438) * CHOOSE( CONTROL!$C$15, $D$11, 100%, $F$11)</f>
        <v>50.747300000000003</v>
      </c>
      <c r="F981" s="4">
        <f>CHOOSE( CONTROL!$C$32, 51.425, 51.4214) * CHOOSE(CONTROL!$C$15, $D$11, 100%, $F$11)</f>
        <v>51.424999999999997</v>
      </c>
      <c r="G981" s="8">
        <f>CHOOSE( CONTROL!$C$32, 49.8631, 49.8596) * CHOOSE( CONTROL!$C$15, $D$11, 100%, $F$11)</f>
        <v>49.863100000000003</v>
      </c>
      <c r="H981" s="4">
        <f>CHOOSE( CONTROL!$C$32, 50.801, 50.7975) * CHOOSE(CONTROL!$C$15, $D$11, 100%, $F$11)</f>
        <v>50.801000000000002</v>
      </c>
      <c r="I981" s="8">
        <f>CHOOSE( CONTROL!$C$32, 49.1305, 49.127) * CHOOSE(CONTROL!$C$15, $D$11, 100%, $F$11)</f>
        <v>49.130499999999998</v>
      </c>
      <c r="J981" s="4">
        <f>CHOOSE( CONTROL!$C$32, 49.0159, 49.0125) * CHOOSE(CONTROL!$C$15, $D$11, 100%, $F$11)</f>
        <v>49.015900000000002</v>
      </c>
      <c r="K981" s="4"/>
      <c r="L981" s="9">
        <v>30.7165</v>
      </c>
      <c r="M981" s="9">
        <v>12.063700000000001</v>
      </c>
      <c r="N981" s="9">
        <v>4.9444999999999997</v>
      </c>
      <c r="O981" s="9">
        <v>0.37409999999999999</v>
      </c>
      <c r="P981" s="9">
        <v>1.2183999999999999</v>
      </c>
      <c r="Q981" s="9">
        <v>19.688099999999999</v>
      </c>
      <c r="R981" s="9"/>
      <c r="S981" s="11"/>
    </row>
    <row r="982" spans="1:19" ht="15.75">
      <c r="A982" s="13">
        <v>71405</v>
      </c>
      <c r="B982" s="8">
        <f>CHOOSE( CONTROL!$C$32, 49.9215, 49.918) * CHOOSE(CONTROL!$C$15, $D$11, 100%, $F$11)</f>
        <v>49.921500000000002</v>
      </c>
      <c r="C982" s="8">
        <f>CHOOSE( CONTROL!$C$32, 49.9296, 49.926) * CHOOSE(CONTROL!$C$15, $D$11, 100%, $F$11)</f>
        <v>49.929600000000001</v>
      </c>
      <c r="D982" s="8">
        <f>CHOOSE( CONTROL!$C$32, 49.9358, 49.9323) * CHOOSE( CONTROL!$C$15, $D$11, 100%, $F$11)</f>
        <v>49.9358</v>
      </c>
      <c r="E982" s="12">
        <f>CHOOSE( CONTROL!$C$32, 49.9323, 49.9288) * CHOOSE( CONTROL!$C$15, $D$11, 100%, $F$11)</f>
        <v>49.932299999999998</v>
      </c>
      <c r="F982" s="4">
        <f>CHOOSE( CONTROL!$C$32, 50.6098, 50.6062) * CHOOSE(CONTROL!$C$15, $D$11, 100%, $F$11)</f>
        <v>50.6098</v>
      </c>
      <c r="G982" s="8">
        <f>CHOOSE( CONTROL!$C$32, 49.0619, 49.0584) * CHOOSE( CONTROL!$C$15, $D$11, 100%, $F$11)</f>
        <v>49.061900000000001</v>
      </c>
      <c r="H982" s="4">
        <f>CHOOSE( CONTROL!$C$32, 49.9994, 49.9959) * CHOOSE(CONTROL!$C$15, $D$11, 100%, $F$11)</f>
        <v>49.999400000000001</v>
      </c>
      <c r="I982" s="8">
        <f>CHOOSE( CONTROL!$C$32, 48.3434, 48.34) * CHOOSE(CONTROL!$C$15, $D$11, 100%, $F$11)</f>
        <v>48.343400000000003</v>
      </c>
      <c r="J982" s="4">
        <f>CHOOSE( CONTROL!$C$32, 48.2279, 48.2245) * CHOOSE(CONTROL!$C$15, $D$11, 100%, $F$11)</f>
        <v>48.227899999999998</v>
      </c>
      <c r="K982" s="4"/>
      <c r="L982" s="9">
        <v>29.7257</v>
      </c>
      <c r="M982" s="9">
        <v>11.6745</v>
      </c>
      <c r="N982" s="9">
        <v>4.7850000000000001</v>
      </c>
      <c r="O982" s="9">
        <v>0.36199999999999999</v>
      </c>
      <c r="P982" s="9">
        <v>1.1791</v>
      </c>
      <c r="Q982" s="9">
        <v>19.053000000000001</v>
      </c>
      <c r="R982" s="9"/>
      <c r="S982" s="11"/>
    </row>
    <row r="983" spans="1:19" ht="15.75">
      <c r="A983" s="13">
        <v>71436</v>
      </c>
      <c r="B983" s="8">
        <f>CHOOSE( CONTROL!$C$32, 52.0681, 52.0646) * CHOOSE(CONTROL!$C$15, $D$11, 100%, $F$11)</f>
        <v>52.068100000000001</v>
      </c>
      <c r="C983" s="8">
        <f>CHOOSE( CONTROL!$C$32, 52.0762, 52.0726) * CHOOSE(CONTROL!$C$15, $D$11, 100%, $F$11)</f>
        <v>52.0762</v>
      </c>
      <c r="D983" s="8">
        <f>CHOOSE( CONTROL!$C$32, 52.0827, 52.0792) * CHOOSE( CONTROL!$C$15, $D$11, 100%, $F$11)</f>
        <v>52.082700000000003</v>
      </c>
      <c r="E983" s="12">
        <f>CHOOSE( CONTROL!$C$32, 52.0791, 52.0756) * CHOOSE( CONTROL!$C$15, $D$11, 100%, $F$11)</f>
        <v>52.079099999999997</v>
      </c>
      <c r="F983" s="4">
        <f>CHOOSE( CONTROL!$C$32, 52.7564, 52.7528) * CHOOSE(CONTROL!$C$15, $D$11, 100%, $F$11)</f>
        <v>52.756399999999999</v>
      </c>
      <c r="G983" s="8">
        <f>CHOOSE( CONTROL!$C$32, 51.1734, 51.1699) * CHOOSE( CONTROL!$C$15, $D$11, 100%, $F$11)</f>
        <v>51.173400000000001</v>
      </c>
      <c r="H983" s="4">
        <f>CHOOSE( CONTROL!$C$32, 52.1104, 52.1069) * CHOOSE(CONTROL!$C$15, $D$11, 100%, $F$11)</f>
        <v>52.110399999999998</v>
      </c>
      <c r="I983" s="8">
        <f>CHOOSE( CONTROL!$C$32, 50.421, 50.4176) * CHOOSE(CONTROL!$C$15, $D$11, 100%, $F$11)</f>
        <v>50.420999999999999</v>
      </c>
      <c r="J983" s="4">
        <f>CHOOSE( CONTROL!$C$32, 50.303, 50.2996) * CHOOSE(CONTROL!$C$15, $D$11, 100%, $F$11)</f>
        <v>50.302999999999997</v>
      </c>
      <c r="K983" s="4"/>
      <c r="L983" s="9">
        <v>30.7165</v>
      </c>
      <c r="M983" s="9">
        <v>12.063700000000001</v>
      </c>
      <c r="N983" s="9">
        <v>4.9444999999999997</v>
      </c>
      <c r="O983" s="9">
        <v>0.37409999999999999</v>
      </c>
      <c r="P983" s="9">
        <v>1.2183999999999999</v>
      </c>
      <c r="Q983" s="9">
        <v>19.688099999999999</v>
      </c>
      <c r="R983" s="9"/>
      <c r="S983" s="11"/>
    </row>
    <row r="984" spans="1:19" ht="15.75">
      <c r="A984" s="13">
        <v>71467</v>
      </c>
      <c r="B984" s="8">
        <f>CHOOSE( CONTROL!$C$32, 48.0516, 48.0481) * CHOOSE(CONTROL!$C$15, $D$11, 100%, $F$11)</f>
        <v>48.051600000000001</v>
      </c>
      <c r="C984" s="8">
        <f>CHOOSE( CONTROL!$C$32, 48.0596, 48.0561) * CHOOSE(CONTROL!$C$15, $D$11, 100%, $F$11)</f>
        <v>48.059600000000003</v>
      </c>
      <c r="D984" s="8">
        <f>CHOOSE( CONTROL!$C$32, 48.0663, 48.0628) * CHOOSE( CONTROL!$C$15, $D$11, 100%, $F$11)</f>
        <v>48.066299999999998</v>
      </c>
      <c r="E984" s="12">
        <f>CHOOSE( CONTROL!$C$32, 48.0627, 48.0592) * CHOOSE( CONTROL!$C$15, $D$11, 100%, $F$11)</f>
        <v>48.0627</v>
      </c>
      <c r="F984" s="4">
        <f>CHOOSE( CONTROL!$C$32, 48.7399, 48.7363) * CHOOSE(CONTROL!$C$15, $D$11, 100%, $F$11)</f>
        <v>48.739899999999999</v>
      </c>
      <c r="G984" s="8">
        <f>CHOOSE( CONTROL!$C$32, 47.2236, 47.2201) * CHOOSE( CONTROL!$C$15, $D$11, 100%, $F$11)</f>
        <v>47.223599999999998</v>
      </c>
      <c r="H984" s="4">
        <f>CHOOSE( CONTROL!$C$32, 48.1605, 48.157) * CHOOSE(CONTROL!$C$15, $D$11, 100%, $F$11)</f>
        <v>48.160499999999999</v>
      </c>
      <c r="I984" s="8">
        <f>CHOOSE( CONTROL!$C$32, 46.5368, 46.5334) * CHOOSE(CONTROL!$C$15, $D$11, 100%, $F$11)</f>
        <v>46.536799999999999</v>
      </c>
      <c r="J984" s="4">
        <f>CHOOSE( CONTROL!$C$32, 46.4203, 46.4168) * CHOOSE(CONTROL!$C$15, $D$11, 100%, $F$11)</f>
        <v>46.420299999999997</v>
      </c>
      <c r="K984" s="4"/>
      <c r="L984" s="9">
        <v>30.7165</v>
      </c>
      <c r="M984" s="9">
        <v>12.063700000000001</v>
      </c>
      <c r="N984" s="9">
        <v>4.9444999999999997</v>
      </c>
      <c r="O984" s="9">
        <v>0.37409999999999999</v>
      </c>
      <c r="P984" s="9">
        <v>1.2183999999999999</v>
      </c>
      <c r="Q984" s="9">
        <v>19.688099999999999</v>
      </c>
      <c r="R984" s="9"/>
      <c r="S984" s="11"/>
    </row>
    <row r="985" spans="1:19" ht="15.75">
      <c r="A985" s="13">
        <v>71497</v>
      </c>
      <c r="B985" s="8">
        <f>CHOOSE( CONTROL!$C$32, 47.0458, 47.0423) * CHOOSE(CONTROL!$C$15, $D$11, 100%, $F$11)</f>
        <v>47.0458</v>
      </c>
      <c r="C985" s="8">
        <f>CHOOSE( CONTROL!$C$32, 47.0539, 47.0503) * CHOOSE(CONTROL!$C$15, $D$11, 100%, $F$11)</f>
        <v>47.053899999999999</v>
      </c>
      <c r="D985" s="8">
        <f>CHOOSE( CONTROL!$C$32, 47.0605, 47.057) * CHOOSE( CONTROL!$C$15, $D$11, 100%, $F$11)</f>
        <v>47.060499999999998</v>
      </c>
      <c r="E985" s="12">
        <f>CHOOSE( CONTROL!$C$32, 47.0569, 47.0534) * CHOOSE( CONTROL!$C$15, $D$11, 100%, $F$11)</f>
        <v>47.056899999999999</v>
      </c>
      <c r="F985" s="4">
        <f>CHOOSE( CONTROL!$C$32, 47.7341, 47.7306) * CHOOSE(CONTROL!$C$15, $D$11, 100%, $F$11)</f>
        <v>47.734099999999998</v>
      </c>
      <c r="G985" s="8">
        <f>CHOOSE( CONTROL!$C$32, 46.2345, 46.231) * CHOOSE( CONTROL!$C$15, $D$11, 100%, $F$11)</f>
        <v>46.234499999999997</v>
      </c>
      <c r="H985" s="4">
        <f>CHOOSE( CONTROL!$C$32, 47.1714, 47.1679) * CHOOSE(CONTROL!$C$15, $D$11, 100%, $F$11)</f>
        <v>47.171399999999998</v>
      </c>
      <c r="I985" s="8">
        <f>CHOOSE( CONTROL!$C$32, 45.564, 45.5606) * CHOOSE(CONTROL!$C$15, $D$11, 100%, $F$11)</f>
        <v>45.564</v>
      </c>
      <c r="J985" s="4">
        <f>CHOOSE( CONTROL!$C$32, 45.448, 45.4445) * CHOOSE(CONTROL!$C$15, $D$11, 100%, $F$11)</f>
        <v>45.448</v>
      </c>
      <c r="K985" s="4"/>
      <c r="L985" s="9">
        <v>29.7257</v>
      </c>
      <c r="M985" s="9">
        <v>11.6745</v>
      </c>
      <c r="N985" s="9">
        <v>4.7850000000000001</v>
      </c>
      <c r="O985" s="9">
        <v>0.36199999999999999</v>
      </c>
      <c r="P985" s="9">
        <v>1.1791</v>
      </c>
      <c r="Q985" s="9">
        <v>19.053000000000001</v>
      </c>
      <c r="R985" s="9"/>
      <c r="S985" s="11"/>
    </row>
    <row r="986" spans="1:19" ht="15.75">
      <c r="A986" s="13">
        <v>71528</v>
      </c>
      <c r="B986" s="8">
        <f>49.1289 * CHOOSE(CONTROL!$C$15, $D$11, 100%, $F$11)</f>
        <v>49.128900000000002</v>
      </c>
      <c r="C986" s="8">
        <f>49.1343 * CHOOSE(CONTROL!$C$15, $D$11, 100%, $F$11)</f>
        <v>49.134300000000003</v>
      </c>
      <c r="D986" s="8">
        <f>49.1458 * CHOOSE( CONTROL!$C$15, $D$11, 100%, $F$11)</f>
        <v>49.145800000000001</v>
      </c>
      <c r="E986" s="12">
        <f>49.1414 * CHOOSE( CONTROL!$C$15, $D$11, 100%, $F$11)</f>
        <v>49.141399999999997</v>
      </c>
      <c r="F986" s="4">
        <f>49.8189 * CHOOSE(CONTROL!$C$15, $D$11, 100%, $F$11)</f>
        <v>49.818899999999999</v>
      </c>
      <c r="G986" s="8">
        <f>48.2842 * CHOOSE( CONTROL!$C$15, $D$11, 100%, $F$11)</f>
        <v>48.284199999999998</v>
      </c>
      <c r="H986" s="4">
        <f>49.2216 * CHOOSE(CONTROL!$C$15, $D$11, 100%, $F$11)</f>
        <v>49.221600000000002</v>
      </c>
      <c r="I986" s="8">
        <f>47.5811 * CHOOSE(CONTROL!$C$15, $D$11, 100%, $F$11)</f>
        <v>47.581099999999999</v>
      </c>
      <c r="J986" s="4">
        <f>47.4633 * CHOOSE(CONTROL!$C$15, $D$11, 100%, $F$11)</f>
        <v>47.463299999999997</v>
      </c>
      <c r="K986" s="4"/>
      <c r="L986" s="9">
        <v>31.095300000000002</v>
      </c>
      <c r="M986" s="9">
        <v>12.063700000000001</v>
      </c>
      <c r="N986" s="9">
        <v>4.9444999999999997</v>
      </c>
      <c r="O986" s="9">
        <v>0.37409999999999999</v>
      </c>
      <c r="P986" s="9">
        <v>1.2183999999999999</v>
      </c>
      <c r="Q986" s="9">
        <v>19.688099999999999</v>
      </c>
      <c r="R986" s="9"/>
      <c r="S986" s="11"/>
    </row>
    <row r="987" spans="1:19" ht="15.75">
      <c r="A987" s="13">
        <v>71558</v>
      </c>
      <c r="B987" s="8">
        <f>52.9832 * CHOOSE(CONTROL!$C$15, $D$11, 100%, $F$11)</f>
        <v>52.983199999999997</v>
      </c>
      <c r="C987" s="8">
        <f>52.9883 * CHOOSE(CONTROL!$C$15, $D$11, 100%, $F$11)</f>
        <v>52.988300000000002</v>
      </c>
      <c r="D987" s="8">
        <f>52.9652 * CHOOSE( CONTROL!$C$15, $D$11, 100%, $F$11)</f>
        <v>52.965200000000003</v>
      </c>
      <c r="E987" s="12">
        <f>52.9731 * CHOOSE( CONTROL!$C$15, $D$11, 100%, $F$11)</f>
        <v>52.973100000000002</v>
      </c>
      <c r="F987" s="4">
        <f>53.6281 * CHOOSE(CONTROL!$C$15, $D$11, 100%, $F$11)</f>
        <v>53.628100000000003</v>
      </c>
      <c r="G987" s="8">
        <f>52.0858 * CHOOSE( CONTROL!$C$15, $D$11, 100%, $F$11)</f>
        <v>52.085799999999999</v>
      </c>
      <c r="H987" s="4">
        <f>52.9676 * CHOOSE(CONTROL!$C$15, $D$11, 100%, $F$11)</f>
        <v>52.967599999999997</v>
      </c>
      <c r="I987" s="8">
        <f>51.334 * CHOOSE(CONTROL!$C$15, $D$11, 100%, $F$11)</f>
        <v>51.334000000000003</v>
      </c>
      <c r="J987" s="4">
        <f>51.1897 * CHOOSE(CONTROL!$C$15, $D$11, 100%, $F$11)</f>
        <v>51.189700000000002</v>
      </c>
      <c r="K987" s="4"/>
      <c r="L987" s="9">
        <v>28.360600000000002</v>
      </c>
      <c r="M987" s="9">
        <v>11.6745</v>
      </c>
      <c r="N987" s="9">
        <v>4.7850000000000001</v>
      </c>
      <c r="O987" s="9">
        <v>0.36199999999999999</v>
      </c>
      <c r="P987" s="9">
        <v>1.2509999999999999</v>
      </c>
      <c r="Q987" s="9">
        <v>19.053000000000001</v>
      </c>
      <c r="R987" s="9"/>
      <c r="S987" s="11"/>
    </row>
    <row r="988" spans="1:19" ht="15.75">
      <c r="A988" s="13">
        <v>71589</v>
      </c>
      <c r="B988" s="8">
        <f>52.8869 * CHOOSE(CONTROL!$C$15, $D$11, 100%, $F$11)</f>
        <v>52.886899999999997</v>
      </c>
      <c r="C988" s="8">
        <f>52.892 * CHOOSE(CONTROL!$C$15, $D$11, 100%, $F$11)</f>
        <v>52.892000000000003</v>
      </c>
      <c r="D988" s="8">
        <f>52.8703 * CHOOSE( CONTROL!$C$15, $D$11, 100%, $F$11)</f>
        <v>52.8703</v>
      </c>
      <c r="E988" s="12">
        <f>52.8777 * CHOOSE( CONTROL!$C$15, $D$11, 100%, $F$11)</f>
        <v>52.877699999999997</v>
      </c>
      <c r="F988" s="4">
        <f>53.5317 * CHOOSE(CONTROL!$C$15, $D$11, 100%, $F$11)</f>
        <v>53.531700000000001</v>
      </c>
      <c r="G988" s="8">
        <f>51.9921 * CHOOSE( CONTROL!$C$15, $D$11, 100%, $F$11)</f>
        <v>51.992100000000001</v>
      </c>
      <c r="H988" s="4">
        <f>52.8729 * CHOOSE(CONTROL!$C$15, $D$11, 100%, $F$11)</f>
        <v>52.872900000000001</v>
      </c>
      <c r="I988" s="8">
        <f>51.2452 * CHOOSE(CONTROL!$C$15, $D$11, 100%, $F$11)</f>
        <v>51.245199999999997</v>
      </c>
      <c r="J988" s="4">
        <f>51.0966 * CHOOSE(CONTROL!$C$15, $D$11, 100%, $F$11)</f>
        <v>51.096600000000002</v>
      </c>
      <c r="K988" s="4"/>
      <c r="L988" s="9">
        <v>29.306000000000001</v>
      </c>
      <c r="M988" s="9">
        <v>12.063700000000001</v>
      </c>
      <c r="N988" s="9">
        <v>4.9444999999999997</v>
      </c>
      <c r="O988" s="9">
        <v>0.37409999999999999</v>
      </c>
      <c r="P988" s="9">
        <v>1.2927</v>
      </c>
      <c r="Q988" s="9">
        <v>19.688099999999999</v>
      </c>
      <c r="R988" s="9"/>
      <c r="S988" s="11"/>
    </row>
    <row r="989" spans="1:19" ht="15.75">
      <c r="A989" s="13">
        <v>71620</v>
      </c>
      <c r="B989" s="8">
        <f>54.907 * CHOOSE(CONTROL!$C$15, $D$11, 100%, $F$11)</f>
        <v>54.906999999999996</v>
      </c>
      <c r="C989" s="8">
        <f>54.9121 * CHOOSE(CONTROL!$C$15, $D$11, 100%, $F$11)</f>
        <v>54.912100000000002</v>
      </c>
      <c r="D989" s="8">
        <f>54.8863 * CHOOSE( CONTROL!$C$15, $D$11, 100%, $F$11)</f>
        <v>54.886299999999999</v>
      </c>
      <c r="E989" s="12">
        <f>54.8952 * CHOOSE( CONTROL!$C$15, $D$11, 100%, $F$11)</f>
        <v>54.895200000000003</v>
      </c>
      <c r="F989" s="4">
        <f>55.551 * CHOOSE(CONTROL!$C$15, $D$11, 100%, $F$11)</f>
        <v>55.551000000000002</v>
      </c>
      <c r="G989" s="8">
        <f>53.9724 * CHOOSE( CONTROL!$C$15, $D$11, 100%, $F$11)</f>
        <v>53.9724</v>
      </c>
      <c r="H989" s="4">
        <f>54.8587 * CHOOSE(CONTROL!$C$15, $D$11, 100%, $F$11)</f>
        <v>54.858699999999999</v>
      </c>
      <c r="I989" s="8">
        <f>53.1696 * CHOOSE(CONTROL!$C$15, $D$11, 100%, $F$11)</f>
        <v>53.169600000000003</v>
      </c>
      <c r="J989" s="4">
        <f>53.0494 * CHOOSE(CONTROL!$C$15, $D$11, 100%, $F$11)</f>
        <v>53.049399999999999</v>
      </c>
      <c r="K989" s="4"/>
      <c r="L989" s="9">
        <v>29.306000000000001</v>
      </c>
      <c r="M989" s="9">
        <v>12.063700000000001</v>
      </c>
      <c r="N989" s="9">
        <v>4.9444999999999997</v>
      </c>
      <c r="O989" s="9">
        <v>0.37409999999999999</v>
      </c>
      <c r="P989" s="9">
        <v>1.2927</v>
      </c>
      <c r="Q989" s="9">
        <v>19.688099999999999</v>
      </c>
      <c r="R989" s="9"/>
      <c r="S989" s="11"/>
    </row>
    <row r="990" spans="1:19" ht="15.75">
      <c r="A990" s="13">
        <v>71649</v>
      </c>
      <c r="B990" s="8">
        <f>51.3593 * CHOOSE(CONTROL!$C$15, $D$11, 100%, $F$11)</f>
        <v>51.359299999999998</v>
      </c>
      <c r="C990" s="8">
        <f>51.3644 * CHOOSE(CONTROL!$C$15, $D$11, 100%, $F$11)</f>
        <v>51.364400000000003</v>
      </c>
      <c r="D990" s="8">
        <f>51.3388 * CHOOSE( CONTROL!$C$15, $D$11, 100%, $F$11)</f>
        <v>51.338799999999999</v>
      </c>
      <c r="E990" s="12">
        <f>51.3476 * CHOOSE( CONTROL!$C$15, $D$11, 100%, $F$11)</f>
        <v>51.3476</v>
      </c>
      <c r="F990" s="4">
        <f>52.0033 * CHOOSE(CONTROL!$C$15, $D$11, 100%, $F$11)</f>
        <v>52.003300000000003</v>
      </c>
      <c r="G990" s="8">
        <f>50.4837 * CHOOSE( CONTROL!$C$15, $D$11, 100%, $F$11)</f>
        <v>50.483699999999999</v>
      </c>
      <c r="H990" s="4">
        <f>51.3698 * CHOOSE(CONTROL!$C$15, $D$11, 100%, $F$11)</f>
        <v>51.369799999999998</v>
      </c>
      <c r="I990" s="8">
        <f>49.7391 * CHOOSE(CONTROL!$C$15, $D$11, 100%, $F$11)</f>
        <v>49.739100000000001</v>
      </c>
      <c r="J990" s="4">
        <f>49.6199 * CHOOSE(CONTROL!$C$15, $D$11, 100%, $F$11)</f>
        <v>49.619900000000001</v>
      </c>
      <c r="K990" s="4"/>
      <c r="L990" s="9">
        <v>27.415299999999998</v>
      </c>
      <c r="M990" s="9">
        <v>11.285299999999999</v>
      </c>
      <c r="N990" s="9">
        <v>4.6254999999999997</v>
      </c>
      <c r="O990" s="9">
        <v>0.34989999999999999</v>
      </c>
      <c r="P990" s="9">
        <v>1.2093</v>
      </c>
      <c r="Q990" s="9">
        <v>18.417899999999999</v>
      </c>
      <c r="R990" s="9"/>
      <c r="S990" s="11"/>
    </row>
    <row r="991" spans="1:19" ht="15.75">
      <c r="A991" s="13">
        <v>71680</v>
      </c>
      <c r="B991" s="8">
        <f>50.2666 * CHOOSE(CONTROL!$C$15, $D$11, 100%, $F$11)</f>
        <v>50.266599999999997</v>
      </c>
      <c r="C991" s="8">
        <f>50.2718 * CHOOSE(CONTROL!$C$15, $D$11, 100%, $F$11)</f>
        <v>50.271799999999999</v>
      </c>
      <c r="D991" s="8">
        <f>50.2461 * CHOOSE( CONTROL!$C$15, $D$11, 100%, $F$11)</f>
        <v>50.246099999999998</v>
      </c>
      <c r="E991" s="12">
        <f>50.2549 * CHOOSE( CONTROL!$C$15, $D$11, 100%, $F$11)</f>
        <v>50.254899999999999</v>
      </c>
      <c r="F991" s="4">
        <f>50.9107 * CHOOSE(CONTROL!$C$15, $D$11, 100%, $F$11)</f>
        <v>50.910699999999999</v>
      </c>
      <c r="G991" s="8">
        <f>49.4091 * CHOOSE( CONTROL!$C$15, $D$11, 100%, $F$11)</f>
        <v>49.409100000000002</v>
      </c>
      <c r="H991" s="4">
        <f>50.2952 * CHOOSE(CONTROL!$C$15, $D$11, 100%, $F$11)</f>
        <v>50.295200000000001</v>
      </c>
      <c r="I991" s="8">
        <f>48.682 * CHOOSE(CONTROL!$C$15, $D$11, 100%, $F$11)</f>
        <v>48.682000000000002</v>
      </c>
      <c r="J991" s="4">
        <f>48.5636 * CHOOSE(CONTROL!$C$15, $D$11, 100%, $F$11)</f>
        <v>48.563600000000001</v>
      </c>
      <c r="K991" s="4"/>
      <c r="L991" s="9">
        <v>29.306000000000001</v>
      </c>
      <c r="M991" s="9">
        <v>12.063700000000001</v>
      </c>
      <c r="N991" s="9">
        <v>4.9444999999999997</v>
      </c>
      <c r="O991" s="9">
        <v>0.37409999999999999</v>
      </c>
      <c r="P991" s="9">
        <v>1.2927</v>
      </c>
      <c r="Q991" s="9">
        <v>19.688099999999999</v>
      </c>
      <c r="R991" s="9"/>
      <c r="S991" s="11"/>
    </row>
    <row r="992" spans="1:19" ht="15.75">
      <c r="A992" s="13">
        <v>71710</v>
      </c>
      <c r="B992" s="8">
        <f>51.0309 * CHOOSE(CONTROL!$C$15, $D$11, 100%, $F$11)</f>
        <v>51.030900000000003</v>
      </c>
      <c r="C992" s="8">
        <f>51.0355 * CHOOSE(CONTROL!$C$15, $D$11, 100%, $F$11)</f>
        <v>51.035499999999999</v>
      </c>
      <c r="D992" s="8">
        <f>51.0465 * CHOOSE( CONTROL!$C$15, $D$11, 100%, $F$11)</f>
        <v>51.046500000000002</v>
      </c>
      <c r="E992" s="12">
        <f>51.0423 * CHOOSE( CONTROL!$C$15, $D$11, 100%, $F$11)</f>
        <v>51.042299999999997</v>
      </c>
      <c r="F992" s="4">
        <f>51.7206 * CHOOSE(CONTROL!$C$15, $D$11, 100%, $F$11)</f>
        <v>51.720599999999997</v>
      </c>
      <c r="G992" s="8">
        <f>50.1529 * CHOOSE( CONTROL!$C$15, $D$11, 100%, $F$11)</f>
        <v>50.152900000000002</v>
      </c>
      <c r="H992" s="4">
        <f>51.0917 * CHOOSE(CONTROL!$C$15, $D$11, 100%, $F$11)</f>
        <v>51.091700000000003</v>
      </c>
      <c r="I992" s="8">
        <f>49.4155 * CHOOSE(CONTROL!$C$15, $D$11, 100%, $F$11)</f>
        <v>49.415500000000002</v>
      </c>
      <c r="J992" s="4">
        <f>49.3017 * CHOOSE(CONTROL!$C$15, $D$11, 100%, $F$11)</f>
        <v>49.301699999999997</v>
      </c>
      <c r="K992" s="4"/>
      <c r="L992" s="9">
        <v>30.092199999999998</v>
      </c>
      <c r="M992" s="9">
        <v>11.6745</v>
      </c>
      <c r="N992" s="9">
        <v>4.7850000000000001</v>
      </c>
      <c r="O992" s="9">
        <v>0.36199999999999999</v>
      </c>
      <c r="P992" s="9">
        <v>1.1791</v>
      </c>
      <c r="Q992" s="9">
        <v>19.053000000000001</v>
      </c>
      <c r="R992" s="9"/>
      <c r="S992" s="11"/>
    </row>
    <row r="993" spans="1:19" ht="15.75">
      <c r="A993" s="13">
        <v>71741</v>
      </c>
      <c r="B993" s="8">
        <f>CHOOSE( CONTROL!$C$32, 52.3948, 52.3912) * CHOOSE(CONTROL!$C$15, $D$11, 100%, $F$11)</f>
        <v>52.394799999999996</v>
      </c>
      <c r="C993" s="8">
        <f>CHOOSE( CONTROL!$C$32, 52.4028, 52.3992) * CHOOSE(CONTROL!$C$15, $D$11, 100%, $F$11)</f>
        <v>52.402799999999999</v>
      </c>
      <c r="D993" s="8">
        <f>CHOOSE( CONTROL!$C$32, 52.4088, 52.4053) * CHOOSE( CONTROL!$C$15, $D$11, 100%, $F$11)</f>
        <v>52.408799999999999</v>
      </c>
      <c r="E993" s="12">
        <f>CHOOSE( CONTROL!$C$32, 52.4054, 52.4019) * CHOOSE( CONTROL!$C$15, $D$11, 100%, $F$11)</f>
        <v>52.4054</v>
      </c>
      <c r="F993" s="4">
        <f>CHOOSE( CONTROL!$C$32, 53.0831, 53.0795) * CHOOSE(CONTROL!$C$15, $D$11, 100%, $F$11)</f>
        <v>53.083100000000002</v>
      </c>
      <c r="G993" s="8">
        <f>CHOOSE( CONTROL!$C$32, 51.4938, 51.4903) * CHOOSE( CONTROL!$C$15, $D$11, 100%, $F$11)</f>
        <v>51.4938</v>
      </c>
      <c r="H993" s="4">
        <f>CHOOSE( CONTROL!$C$32, 52.4316, 52.4281) * CHOOSE(CONTROL!$C$15, $D$11, 100%, $F$11)</f>
        <v>52.431600000000003</v>
      </c>
      <c r="I993" s="8">
        <f>CHOOSE( CONTROL!$C$32, 50.7342, 50.7307) * CHOOSE(CONTROL!$C$15, $D$11, 100%, $F$11)</f>
        <v>50.734200000000001</v>
      </c>
      <c r="J993" s="4">
        <f>CHOOSE( CONTROL!$C$32, 50.6188, 50.6154) * CHOOSE(CONTROL!$C$15, $D$11, 100%, $F$11)</f>
        <v>50.6188</v>
      </c>
      <c r="K993" s="4"/>
      <c r="L993" s="9">
        <v>30.7165</v>
      </c>
      <c r="M993" s="9">
        <v>12.063700000000001</v>
      </c>
      <c r="N993" s="9">
        <v>4.9444999999999997</v>
      </c>
      <c r="O993" s="9">
        <v>0.37409999999999999</v>
      </c>
      <c r="P993" s="9">
        <v>1.2183999999999999</v>
      </c>
      <c r="Q993" s="9">
        <v>19.688099999999999</v>
      </c>
      <c r="R993" s="9"/>
      <c r="S993" s="11"/>
    </row>
    <row r="994" spans="1:19" ht="15.75">
      <c r="A994" s="13">
        <v>71771</v>
      </c>
      <c r="B994" s="8">
        <f>CHOOSE( CONTROL!$C$32, 51.553, 51.5494) * CHOOSE(CONTROL!$C$15, $D$11, 100%, $F$11)</f>
        <v>51.552999999999997</v>
      </c>
      <c r="C994" s="8">
        <f>CHOOSE( CONTROL!$C$32, 51.561, 51.5574) * CHOOSE(CONTROL!$C$15, $D$11, 100%, $F$11)</f>
        <v>51.561</v>
      </c>
      <c r="D994" s="8">
        <f>CHOOSE( CONTROL!$C$32, 51.5673, 51.5637) * CHOOSE( CONTROL!$C$15, $D$11, 100%, $F$11)</f>
        <v>51.567300000000003</v>
      </c>
      <c r="E994" s="12">
        <f>CHOOSE( CONTROL!$C$32, 51.5638, 51.5602) * CHOOSE( CONTROL!$C$15, $D$11, 100%, $F$11)</f>
        <v>51.563800000000001</v>
      </c>
      <c r="F994" s="4">
        <f>CHOOSE( CONTROL!$C$32, 52.2413, 52.2377) * CHOOSE(CONTROL!$C$15, $D$11, 100%, $F$11)</f>
        <v>52.241300000000003</v>
      </c>
      <c r="G994" s="8">
        <f>CHOOSE( CONTROL!$C$32, 50.6663, 50.6628) * CHOOSE( CONTROL!$C$15, $D$11, 100%, $F$11)</f>
        <v>50.6663</v>
      </c>
      <c r="H994" s="4">
        <f>CHOOSE( CONTROL!$C$32, 51.6038, 51.6003) * CHOOSE(CONTROL!$C$15, $D$11, 100%, $F$11)</f>
        <v>51.6038</v>
      </c>
      <c r="I994" s="8">
        <f>CHOOSE( CONTROL!$C$32, 49.9213, 49.9179) * CHOOSE(CONTROL!$C$15, $D$11, 100%, $F$11)</f>
        <v>49.921300000000002</v>
      </c>
      <c r="J994" s="4">
        <f>CHOOSE( CONTROL!$C$32, 49.805, 49.8016) * CHOOSE(CONTROL!$C$15, $D$11, 100%, $F$11)</f>
        <v>49.805</v>
      </c>
      <c r="K994" s="4"/>
      <c r="L994" s="9">
        <v>29.7257</v>
      </c>
      <c r="M994" s="9">
        <v>11.6745</v>
      </c>
      <c r="N994" s="9">
        <v>4.7850000000000001</v>
      </c>
      <c r="O994" s="9">
        <v>0.36199999999999999</v>
      </c>
      <c r="P994" s="9">
        <v>1.1791</v>
      </c>
      <c r="Q994" s="9">
        <v>19.053000000000001</v>
      </c>
      <c r="R994" s="9"/>
      <c r="S994" s="11"/>
    </row>
    <row r="995" spans="1:19" ht="15.75">
      <c r="A995" s="13">
        <v>71802</v>
      </c>
      <c r="B995" s="8">
        <f>CHOOSE( CONTROL!$C$32, 53.7698, 53.7662) * CHOOSE(CONTROL!$C$15, $D$11, 100%, $F$11)</f>
        <v>53.769799999999996</v>
      </c>
      <c r="C995" s="8">
        <f>CHOOSE( CONTROL!$C$32, 53.7778, 53.7742) * CHOOSE(CONTROL!$C$15, $D$11, 100%, $F$11)</f>
        <v>53.777799999999999</v>
      </c>
      <c r="D995" s="8">
        <f>CHOOSE( CONTROL!$C$32, 53.7844, 53.7808) * CHOOSE( CONTROL!$C$15, $D$11, 100%, $F$11)</f>
        <v>53.784399999999998</v>
      </c>
      <c r="E995" s="12">
        <f>CHOOSE( CONTROL!$C$32, 53.7808, 53.7772) * CHOOSE( CONTROL!$C$15, $D$11, 100%, $F$11)</f>
        <v>53.780799999999999</v>
      </c>
      <c r="F995" s="4">
        <f>CHOOSE( CONTROL!$C$32, 54.4581, 54.4545) * CHOOSE(CONTROL!$C$15, $D$11, 100%, $F$11)</f>
        <v>54.458100000000002</v>
      </c>
      <c r="G995" s="8">
        <f>CHOOSE( CONTROL!$C$32, 52.8468, 52.8433) * CHOOSE( CONTROL!$C$15, $D$11, 100%, $F$11)</f>
        <v>52.846800000000002</v>
      </c>
      <c r="H995" s="4">
        <f>CHOOSE( CONTROL!$C$32, 53.7838, 53.7803) * CHOOSE(CONTROL!$C$15, $D$11, 100%, $F$11)</f>
        <v>53.783799999999999</v>
      </c>
      <c r="I995" s="8">
        <f>CHOOSE( CONTROL!$C$32, 52.0668, 52.0634) * CHOOSE(CONTROL!$C$15, $D$11, 100%, $F$11)</f>
        <v>52.066800000000001</v>
      </c>
      <c r="J995" s="4">
        <f>CHOOSE( CONTROL!$C$32, 51.948, 51.9446) * CHOOSE(CONTROL!$C$15, $D$11, 100%, $F$11)</f>
        <v>51.948</v>
      </c>
      <c r="K995" s="4"/>
      <c r="L995" s="9">
        <v>30.7165</v>
      </c>
      <c r="M995" s="9">
        <v>12.063700000000001</v>
      </c>
      <c r="N995" s="9">
        <v>4.9444999999999997</v>
      </c>
      <c r="O995" s="9">
        <v>0.37409999999999999</v>
      </c>
      <c r="P995" s="9">
        <v>1.2183999999999999</v>
      </c>
      <c r="Q995" s="9">
        <v>19.688099999999999</v>
      </c>
      <c r="R995" s="9"/>
      <c r="S995" s="11"/>
    </row>
    <row r="996" spans="1:19" ht="15.75">
      <c r="A996" s="13">
        <v>71833</v>
      </c>
      <c r="B996" s="8">
        <f>CHOOSE( CONTROL!$C$32, 49.6219, 49.6184) * CHOOSE(CONTROL!$C$15, $D$11, 100%, $F$11)</f>
        <v>49.621899999999997</v>
      </c>
      <c r="C996" s="8">
        <f>CHOOSE( CONTROL!$C$32, 49.6299, 49.6264) * CHOOSE(CONTROL!$C$15, $D$11, 100%, $F$11)</f>
        <v>49.629899999999999</v>
      </c>
      <c r="D996" s="8">
        <f>CHOOSE( CONTROL!$C$32, 49.6366, 49.6331) * CHOOSE( CONTROL!$C$15, $D$11, 100%, $F$11)</f>
        <v>49.636600000000001</v>
      </c>
      <c r="E996" s="12">
        <f>CHOOSE( CONTROL!$C$32, 49.633, 49.6295) * CHOOSE( CONTROL!$C$15, $D$11, 100%, $F$11)</f>
        <v>49.633000000000003</v>
      </c>
      <c r="F996" s="4">
        <f>CHOOSE( CONTROL!$C$32, 50.3102, 50.3066) * CHOOSE(CONTROL!$C$15, $D$11, 100%, $F$11)</f>
        <v>50.310200000000002</v>
      </c>
      <c r="G996" s="8">
        <f>CHOOSE( CONTROL!$C$32, 48.7679, 48.7644) * CHOOSE( CONTROL!$C$15, $D$11, 100%, $F$11)</f>
        <v>48.767899999999997</v>
      </c>
      <c r="H996" s="4">
        <f>CHOOSE( CONTROL!$C$32, 49.7047, 49.7012) * CHOOSE(CONTROL!$C$15, $D$11, 100%, $F$11)</f>
        <v>49.704700000000003</v>
      </c>
      <c r="I996" s="8">
        <f>CHOOSE( CONTROL!$C$32, 48.0556, 48.0521) * CHOOSE(CONTROL!$C$15, $D$11, 100%, $F$11)</f>
        <v>48.055599999999998</v>
      </c>
      <c r="J996" s="4">
        <f>CHOOSE( CONTROL!$C$32, 47.9383, 47.9348) * CHOOSE(CONTROL!$C$15, $D$11, 100%, $F$11)</f>
        <v>47.938299999999998</v>
      </c>
      <c r="K996" s="4"/>
      <c r="L996" s="9">
        <v>30.7165</v>
      </c>
      <c r="M996" s="9">
        <v>12.063700000000001</v>
      </c>
      <c r="N996" s="9">
        <v>4.9444999999999997</v>
      </c>
      <c r="O996" s="9">
        <v>0.37409999999999999</v>
      </c>
      <c r="P996" s="9">
        <v>1.2183999999999999</v>
      </c>
      <c r="Q996" s="9">
        <v>19.688099999999999</v>
      </c>
      <c r="R996" s="9"/>
      <c r="S996" s="11"/>
    </row>
    <row r="997" spans="1:19" ht="15.75">
      <c r="A997" s="13">
        <v>71863</v>
      </c>
      <c r="B997" s="8">
        <f>CHOOSE( CONTROL!$C$32, 48.5832, 48.5797) * CHOOSE(CONTROL!$C$15, $D$11, 100%, $F$11)</f>
        <v>48.583199999999998</v>
      </c>
      <c r="C997" s="8">
        <f>CHOOSE( CONTROL!$C$32, 48.5913, 48.5877) * CHOOSE(CONTROL!$C$15, $D$11, 100%, $F$11)</f>
        <v>48.591299999999997</v>
      </c>
      <c r="D997" s="8">
        <f>CHOOSE( CONTROL!$C$32, 48.5979, 48.5944) * CHOOSE( CONTROL!$C$15, $D$11, 100%, $F$11)</f>
        <v>48.597900000000003</v>
      </c>
      <c r="E997" s="12">
        <f>CHOOSE( CONTROL!$C$32, 48.5943, 48.5908) * CHOOSE( CONTROL!$C$15, $D$11, 100%, $F$11)</f>
        <v>48.594299999999997</v>
      </c>
      <c r="F997" s="4">
        <f>CHOOSE( CONTROL!$C$32, 49.2715, 49.268) * CHOOSE(CONTROL!$C$15, $D$11, 100%, $F$11)</f>
        <v>49.271500000000003</v>
      </c>
      <c r="G997" s="8">
        <f>CHOOSE( CONTROL!$C$32, 47.7464, 47.7429) * CHOOSE( CONTROL!$C$15, $D$11, 100%, $F$11)</f>
        <v>47.746400000000001</v>
      </c>
      <c r="H997" s="4">
        <f>CHOOSE( CONTROL!$C$32, 48.6833, 48.6798) * CHOOSE(CONTROL!$C$15, $D$11, 100%, $F$11)</f>
        <v>48.683300000000003</v>
      </c>
      <c r="I997" s="8">
        <f>CHOOSE( CONTROL!$C$32, 47.051, 47.0475) * CHOOSE(CONTROL!$C$15, $D$11, 100%, $F$11)</f>
        <v>47.051000000000002</v>
      </c>
      <c r="J997" s="4">
        <f>CHOOSE( CONTROL!$C$32, 46.9342, 46.9307) * CHOOSE(CONTROL!$C$15, $D$11, 100%, $F$11)</f>
        <v>46.934199999999997</v>
      </c>
      <c r="K997" s="4"/>
      <c r="L997" s="9">
        <v>29.7257</v>
      </c>
      <c r="M997" s="9">
        <v>11.6745</v>
      </c>
      <c r="N997" s="9">
        <v>4.7850000000000001</v>
      </c>
      <c r="O997" s="9">
        <v>0.36199999999999999</v>
      </c>
      <c r="P997" s="9">
        <v>1.1791</v>
      </c>
      <c r="Q997" s="9">
        <v>19.053000000000001</v>
      </c>
      <c r="R997" s="9"/>
      <c r="S997" s="11"/>
    </row>
    <row r="998" spans="1:19" ht="15.75">
      <c r="A998" s="13">
        <v>71894</v>
      </c>
      <c r="B998" s="8">
        <f>50.7346 * CHOOSE(CONTROL!$C$15, $D$11, 100%, $F$11)</f>
        <v>50.7346</v>
      </c>
      <c r="C998" s="8">
        <f>50.74 * CHOOSE(CONTROL!$C$15, $D$11, 100%, $F$11)</f>
        <v>50.74</v>
      </c>
      <c r="D998" s="8">
        <f>50.7515 * CHOOSE( CONTROL!$C$15, $D$11, 100%, $F$11)</f>
        <v>50.7515</v>
      </c>
      <c r="E998" s="12">
        <f>50.7471 * CHOOSE( CONTROL!$C$15, $D$11, 100%, $F$11)</f>
        <v>50.747100000000003</v>
      </c>
      <c r="F998" s="4">
        <f>51.4246 * CHOOSE(CONTROL!$C$15, $D$11, 100%, $F$11)</f>
        <v>51.424599999999998</v>
      </c>
      <c r="G998" s="8">
        <f>49.8633 * CHOOSE( CONTROL!$C$15, $D$11, 100%, $F$11)</f>
        <v>49.863300000000002</v>
      </c>
      <c r="H998" s="4">
        <f>50.8006 * CHOOSE(CONTROL!$C$15, $D$11, 100%, $F$11)</f>
        <v>50.800600000000003</v>
      </c>
      <c r="I998" s="8">
        <f>49.1341 * CHOOSE(CONTROL!$C$15, $D$11, 100%, $F$11)</f>
        <v>49.134099999999997</v>
      </c>
      <c r="J998" s="4">
        <f>49.0156 * CHOOSE(CONTROL!$C$15, $D$11, 100%, $F$11)</f>
        <v>49.015599999999999</v>
      </c>
      <c r="K998" s="4"/>
      <c r="L998" s="9">
        <v>31.095300000000002</v>
      </c>
      <c r="M998" s="9">
        <v>12.063700000000001</v>
      </c>
      <c r="N998" s="9">
        <v>4.9444999999999997</v>
      </c>
      <c r="O998" s="9">
        <v>0.37409999999999999</v>
      </c>
      <c r="P998" s="9">
        <v>1.2183999999999999</v>
      </c>
      <c r="Q998" s="9">
        <v>19.688099999999999</v>
      </c>
      <c r="R998" s="9"/>
      <c r="S998" s="11"/>
    </row>
    <row r="999" spans="1:19" ht="15.75">
      <c r="A999" s="13">
        <v>71924</v>
      </c>
      <c r="B999" s="8">
        <f>54.7149 * CHOOSE(CONTROL!$C$15, $D$11, 100%, $F$11)</f>
        <v>54.7149</v>
      </c>
      <c r="C999" s="8">
        <f>54.72 * CHOOSE(CONTROL!$C$15, $D$11, 100%, $F$11)</f>
        <v>54.72</v>
      </c>
      <c r="D999" s="8">
        <f>54.697 * CHOOSE( CONTROL!$C$15, $D$11, 100%, $F$11)</f>
        <v>54.697000000000003</v>
      </c>
      <c r="E999" s="12">
        <f>54.7049 * CHOOSE( CONTROL!$C$15, $D$11, 100%, $F$11)</f>
        <v>54.704900000000002</v>
      </c>
      <c r="F999" s="4">
        <f>55.3598 * CHOOSE(CONTROL!$C$15, $D$11, 100%, $F$11)</f>
        <v>55.3598</v>
      </c>
      <c r="G999" s="8">
        <f>53.7888 * CHOOSE( CONTROL!$C$15, $D$11, 100%, $F$11)</f>
        <v>53.788800000000002</v>
      </c>
      <c r="H999" s="4">
        <f>54.6706 * CHOOSE(CONTROL!$C$15, $D$11, 100%, $F$11)</f>
        <v>54.6706</v>
      </c>
      <c r="I999" s="8">
        <f>53.0089 * CHOOSE(CONTROL!$C$15, $D$11, 100%, $F$11)</f>
        <v>53.008899999999997</v>
      </c>
      <c r="J999" s="4">
        <f>52.8637 * CHOOSE(CONTROL!$C$15, $D$11, 100%, $F$11)</f>
        <v>52.863700000000001</v>
      </c>
      <c r="K999" s="4"/>
      <c r="L999" s="9">
        <v>28.360600000000002</v>
      </c>
      <c r="M999" s="9">
        <v>11.6745</v>
      </c>
      <c r="N999" s="9">
        <v>4.7850000000000001</v>
      </c>
      <c r="O999" s="9">
        <v>0.36199999999999999</v>
      </c>
      <c r="P999" s="9">
        <v>1.2509999999999999</v>
      </c>
      <c r="Q999" s="9">
        <v>19.053000000000001</v>
      </c>
      <c r="R999" s="9"/>
      <c r="S999" s="11"/>
    </row>
    <row r="1000" spans="1:19" ht="15.75">
      <c r="A1000" s="13">
        <v>71955</v>
      </c>
      <c r="B1000" s="8">
        <f>54.6155 * CHOOSE(CONTROL!$C$15, $D$11, 100%, $F$11)</f>
        <v>54.615499999999997</v>
      </c>
      <c r="C1000" s="8">
        <f>54.6206 * CHOOSE(CONTROL!$C$15, $D$11, 100%, $F$11)</f>
        <v>54.620600000000003</v>
      </c>
      <c r="D1000" s="8">
        <f>54.5989 * CHOOSE( CONTROL!$C$15, $D$11, 100%, $F$11)</f>
        <v>54.5989</v>
      </c>
      <c r="E1000" s="12">
        <f>54.6063 * CHOOSE( CONTROL!$C$15, $D$11, 100%, $F$11)</f>
        <v>54.606299999999997</v>
      </c>
      <c r="F1000" s="4">
        <f>55.2604 * CHOOSE(CONTROL!$C$15, $D$11, 100%, $F$11)</f>
        <v>55.260399999999997</v>
      </c>
      <c r="G1000" s="8">
        <f>53.692 * CHOOSE( CONTROL!$C$15, $D$11, 100%, $F$11)</f>
        <v>53.692</v>
      </c>
      <c r="H1000" s="4">
        <f>54.5728 * CHOOSE(CONTROL!$C$15, $D$11, 100%, $F$11)</f>
        <v>54.572800000000001</v>
      </c>
      <c r="I1000" s="8">
        <f>52.917 * CHOOSE(CONTROL!$C$15, $D$11, 100%, $F$11)</f>
        <v>52.917000000000002</v>
      </c>
      <c r="J1000" s="4">
        <f>52.7676 * CHOOSE(CONTROL!$C$15, $D$11, 100%, $F$11)</f>
        <v>52.767600000000002</v>
      </c>
      <c r="K1000" s="4"/>
      <c r="L1000" s="9">
        <v>29.306000000000001</v>
      </c>
      <c r="M1000" s="9">
        <v>12.063700000000001</v>
      </c>
      <c r="N1000" s="9">
        <v>4.9444999999999997</v>
      </c>
      <c r="O1000" s="9">
        <v>0.37409999999999999</v>
      </c>
      <c r="P1000" s="9">
        <v>1.2927</v>
      </c>
      <c r="Q1000" s="9">
        <v>19.688099999999999</v>
      </c>
      <c r="R1000" s="9"/>
      <c r="S1000" s="11"/>
    </row>
    <row r="1001" spans="1:19" ht="15.75">
      <c r="A1001" s="13">
        <v>71986</v>
      </c>
      <c r="B1001" s="8">
        <f>56.7017 * CHOOSE(CONTROL!$C$15, $D$11, 100%, $F$11)</f>
        <v>56.701700000000002</v>
      </c>
      <c r="C1001" s="8">
        <f>56.7068 * CHOOSE(CONTROL!$C$15, $D$11, 100%, $F$11)</f>
        <v>56.706800000000001</v>
      </c>
      <c r="D1001" s="8">
        <f>56.681 * CHOOSE( CONTROL!$C$15, $D$11, 100%, $F$11)</f>
        <v>56.680999999999997</v>
      </c>
      <c r="E1001" s="12">
        <f>56.6899 * CHOOSE( CONTROL!$C$15, $D$11, 100%, $F$11)</f>
        <v>56.689900000000002</v>
      </c>
      <c r="F1001" s="4">
        <f>57.3457 * CHOOSE(CONTROL!$C$15, $D$11, 100%, $F$11)</f>
        <v>57.345700000000001</v>
      </c>
      <c r="G1001" s="8">
        <f>55.7373 * CHOOSE( CONTROL!$C$15, $D$11, 100%, $F$11)</f>
        <v>55.737299999999998</v>
      </c>
      <c r="H1001" s="4">
        <f>56.6236 * CHOOSE(CONTROL!$C$15, $D$11, 100%, $F$11)</f>
        <v>56.623600000000003</v>
      </c>
      <c r="I1001" s="8">
        <f>54.9054 * CHOOSE(CONTROL!$C$15, $D$11, 100%, $F$11)</f>
        <v>54.9054</v>
      </c>
      <c r="J1001" s="4">
        <f>54.7843 * CHOOSE(CONTROL!$C$15, $D$11, 100%, $F$11)</f>
        <v>54.784300000000002</v>
      </c>
      <c r="K1001" s="4"/>
      <c r="L1001" s="9">
        <v>29.306000000000001</v>
      </c>
      <c r="M1001" s="9">
        <v>12.063700000000001</v>
      </c>
      <c r="N1001" s="9">
        <v>4.9444999999999997</v>
      </c>
      <c r="O1001" s="9">
        <v>0.37409999999999999</v>
      </c>
      <c r="P1001" s="9">
        <v>1.2927</v>
      </c>
      <c r="Q1001" s="9">
        <v>19.688099999999999</v>
      </c>
      <c r="R1001" s="9"/>
      <c r="S1001" s="11"/>
    </row>
    <row r="1002" spans="1:19" ht="15.75">
      <c r="A1002" s="13">
        <v>72014</v>
      </c>
      <c r="B1002" s="8">
        <f>53.038 * CHOOSE(CONTROL!$C$15, $D$11, 100%, $F$11)</f>
        <v>53.037999999999997</v>
      </c>
      <c r="C1002" s="8">
        <f>53.0431 * CHOOSE(CONTROL!$C$15, $D$11, 100%, $F$11)</f>
        <v>53.043100000000003</v>
      </c>
      <c r="D1002" s="8">
        <f>53.0175 * CHOOSE( CONTROL!$C$15, $D$11, 100%, $F$11)</f>
        <v>53.017499999999998</v>
      </c>
      <c r="E1002" s="12">
        <f>53.0263 * CHOOSE( CONTROL!$C$15, $D$11, 100%, $F$11)</f>
        <v>53.026299999999999</v>
      </c>
      <c r="F1002" s="4">
        <f>53.682 * CHOOSE(CONTROL!$C$15, $D$11, 100%, $F$11)</f>
        <v>53.682000000000002</v>
      </c>
      <c r="G1002" s="8">
        <f>52.1345 * CHOOSE( CONTROL!$C$15, $D$11, 100%, $F$11)</f>
        <v>52.134500000000003</v>
      </c>
      <c r="H1002" s="4">
        <f>53.0206 * CHOOSE(CONTROL!$C$15, $D$11, 100%, $F$11)</f>
        <v>53.020600000000002</v>
      </c>
      <c r="I1002" s="8">
        <f>51.3626 * CHOOSE(CONTROL!$C$15, $D$11, 100%, $F$11)</f>
        <v>51.3626</v>
      </c>
      <c r="J1002" s="4">
        <f>51.2426 * CHOOSE(CONTROL!$C$15, $D$11, 100%, $F$11)</f>
        <v>51.242600000000003</v>
      </c>
      <c r="K1002" s="4"/>
      <c r="L1002" s="9">
        <v>26.469899999999999</v>
      </c>
      <c r="M1002" s="9">
        <v>10.8962</v>
      </c>
      <c r="N1002" s="9">
        <v>4.4660000000000002</v>
      </c>
      <c r="O1002" s="9">
        <v>0.33789999999999998</v>
      </c>
      <c r="P1002" s="9">
        <v>1.1676</v>
      </c>
      <c r="Q1002" s="9">
        <v>17.782800000000002</v>
      </c>
      <c r="R1002" s="9"/>
      <c r="S1002" s="11"/>
    </row>
    <row r="1003" spans="1:19" ht="15.75">
      <c r="A1003" s="13">
        <v>72045</v>
      </c>
      <c r="B1003" s="8">
        <f>51.9096 * CHOOSE(CONTROL!$C$15, $D$11, 100%, $F$11)</f>
        <v>51.909599999999998</v>
      </c>
      <c r="C1003" s="8">
        <f>51.9147 * CHOOSE(CONTROL!$C$15, $D$11, 100%, $F$11)</f>
        <v>51.914700000000003</v>
      </c>
      <c r="D1003" s="8">
        <f>51.889 * CHOOSE( CONTROL!$C$15, $D$11, 100%, $F$11)</f>
        <v>51.889000000000003</v>
      </c>
      <c r="E1003" s="12">
        <f>51.8979 * CHOOSE( CONTROL!$C$15, $D$11, 100%, $F$11)</f>
        <v>51.8979</v>
      </c>
      <c r="F1003" s="4">
        <f>52.5536 * CHOOSE(CONTROL!$C$15, $D$11, 100%, $F$11)</f>
        <v>52.553600000000003</v>
      </c>
      <c r="G1003" s="8">
        <f>51.0248 * CHOOSE( CONTROL!$C$15, $D$11, 100%, $F$11)</f>
        <v>51.024799999999999</v>
      </c>
      <c r="H1003" s="4">
        <f>51.9109 * CHOOSE(CONTROL!$C$15, $D$11, 100%, $F$11)</f>
        <v>51.910899999999998</v>
      </c>
      <c r="I1003" s="8">
        <f>50.271 * CHOOSE(CONTROL!$C$15, $D$11, 100%, $F$11)</f>
        <v>50.271000000000001</v>
      </c>
      <c r="J1003" s="4">
        <f>50.1518 * CHOOSE(CONTROL!$C$15, $D$11, 100%, $F$11)</f>
        <v>50.151800000000001</v>
      </c>
      <c r="K1003" s="4"/>
      <c r="L1003" s="9">
        <v>29.306000000000001</v>
      </c>
      <c r="M1003" s="9">
        <v>12.063700000000001</v>
      </c>
      <c r="N1003" s="9">
        <v>4.9444999999999997</v>
      </c>
      <c r="O1003" s="9">
        <v>0.37409999999999999</v>
      </c>
      <c r="P1003" s="9">
        <v>1.2927</v>
      </c>
      <c r="Q1003" s="9">
        <v>19.688099999999999</v>
      </c>
      <c r="R1003" s="9"/>
      <c r="S1003" s="11"/>
    </row>
    <row r="1004" spans="1:19" ht="15.75">
      <c r="A1004" s="13">
        <v>72075</v>
      </c>
      <c r="B1004" s="8">
        <f>52.6988 * CHOOSE(CONTROL!$C$15, $D$11, 100%, $F$11)</f>
        <v>52.698799999999999</v>
      </c>
      <c r="C1004" s="8">
        <f>52.7034 * CHOOSE(CONTROL!$C$15, $D$11, 100%, $F$11)</f>
        <v>52.703400000000002</v>
      </c>
      <c r="D1004" s="8">
        <f>52.7144 * CHOOSE( CONTROL!$C$15, $D$11, 100%, $F$11)</f>
        <v>52.714399999999998</v>
      </c>
      <c r="E1004" s="12">
        <f>52.7102 * CHOOSE( CONTROL!$C$15, $D$11, 100%, $F$11)</f>
        <v>52.7102</v>
      </c>
      <c r="F1004" s="4">
        <f>53.3885 * CHOOSE(CONTROL!$C$15, $D$11, 100%, $F$11)</f>
        <v>53.388500000000001</v>
      </c>
      <c r="G1004" s="8">
        <f>51.7931 * CHOOSE( CONTROL!$C$15, $D$11, 100%, $F$11)</f>
        <v>51.793100000000003</v>
      </c>
      <c r="H1004" s="4">
        <f>52.7319 * CHOOSE(CONTROL!$C$15, $D$11, 100%, $F$11)</f>
        <v>52.731900000000003</v>
      </c>
      <c r="I1004" s="8">
        <f>51.0287 * CHOOSE(CONTROL!$C$15, $D$11, 100%, $F$11)</f>
        <v>51.028700000000001</v>
      </c>
      <c r="J1004" s="4">
        <f>50.914 * CHOOSE(CONTROL!$C$15, $D$11, 100%, $F$11)</f>
        <v>50.914000000000001</v>
      </c>
      <c r="K1004" s="4"/>
      <c r="L1004" s="9">
        <v>30.092199999999998</v>
      </c>
      <c r="M1004" s="9">
        <v>11.6745</v>
      </c>
      <c r="N1004" s="9">
        <v>4.7850000000000001</v>
      </c>
      <c r="O1004" s="9">
        <v>0.36199999999999999</v>
      </c>
      <c r="P1004" s="9">
        <v>1.1791</v>
      </c>
      <c r="Q1004" s="9">
        <v>19.053000000000001</v>
      </c>
      <c r="R1004" s="9"/>
      <c r="S1004" s="11"/>
    </row>
    <row r="1005" spans="1:19" ht="15.75">
      <c r="A1005" s="13">
        <v>72106</v>
      </c>
      <c r="B1005" s="8">
        <f>CHOOSE( CONTROL!$C$32, 54.1071, 54.1036) * CHOOSE(CONTROL!$C$15, $D$11, 100%, $F$11)</f>
        <v>54.107100000000003</v>
      </c>
      <c r="C1005" s="8">
        <f>CHOOSE( CONTROL!$C$32, 54.1151, 54.1116) * CHOOSE(CONTROL!$C$15, $D$11, 100%, $F$11)</f>
        <v>54.115099999999998</v>
      </c>
      <c r="D1005" s="8">
        <f>CHOOSE( CONTROL!$C$32, 54.1212, 54.1176) * CHOOSE( CONTROL!$C$15, $D$11, 100%, $F$11)</f>
        <v>54.121200000000002</v>
      </c>
      <c r="E1005" s="12">
        <f>CHOOSE( CONTROL!$C$32, 54.1178, 54.1142) * CHOOSE( CONTROL!$C$15, $D$11, 100%, $F$11)</f>
        <v>54.117800000000003</v>
      </c>
      <c r="F1005" s="4">
        <f>CHOOSE( CONTROL!$C$32, 54.7954, 54.7918) * CHOOSE(CONTROL!$C$15, $D$11, 100%, $F$11)</f>
        <v>54.795400000000001</v>
      </c>
      <c r="G1005" s="8">
        <f>CHOOSE( CONTROL!$C$32, 53.1777, 53.1742) * CHOOSE( CONTROL!$C$15, $D$11, 100%, $F$11)</f>
        <v>53.177700000000002</v>
      </c>
      <c r="H1005" s="4">
        <f>CHOOSE( CONTROL!$C$32, 54.1156, 54.112) * CHOOSE(CONTROL!$C$15, $D$11, 100%, $F$11)</f>
        <v>54.115600000000001</v>
      </c>
      <c r="I1005" s="8">
        <f>CHOOSE( CONTROL!$C$32, 52.3903, 52.3869) * CHOOSE(CONTROL!$C$15, $D$11, 100%, $F$11)</f>
        <v>52.390300000000003</v>
      </c>
      <c r="J1005" s="4">
        <f>CHOOSE( CONTROL!$C$32, 52.2741, 52.2707) * CHOOSE(CONTROL!$C$15, $D$11, 100%, $F$11)</f>
        <v>52.274099999999997</v>
      </c>
      <c r="K1005" s="4"/>
      <c r="L1005" s="9">
        <v>30.7165</v>
      </c>
      <c r="M1005" s="9">
        <v>12.063700000000001</v>
      </c>
      <c r="N1005" s="9">
        <v>4.9444999999999997</v>
      </c>
      <c r="O1005" s="9">
        <v>0.37409999999999999</v>
      </c>
      <c r="P1005" s="9">
        <v>1.2183999999999999</v>
      </c>
      <c r="Q1005" s="9">
        <v>19.688099999999999</v>
      </c>
      <c r="R1005" s="9"/>
      <c r="S1005" s="11"/>
    </row>
    <row r="1006" spans="1:19" ht="15.75">
      <c r="A1006" s="13">
        <v>72136</v>
      </c>
      <c r="B1006" s="8">
        <f>CHOOSE( CONTROL!$C$32, 53.2378, 53.2342) * CHOOSE(CONTROL!$C$15, $D$11, 100%, $F$11)</f>
        <v>53.2378</v>
      </c>
      <c r="C1006" s="8">
        <f>CHOOSE( CONTROL!$C$32, 53.2458, 53.2422) * CHOOSE(CONTROL!$C$15, $D$11, 100%, $F$11)</f>
        <v>53.245800000000003</v>
      </c>
      <c r="D1006" s="8">
        <f>CHOOSE( CONTROL!$C$32, 53.2521, 53.2485) * CHOOSE( CONTROL!$C$15, $D$11, 100%, $F$11)</f>
        <v>53.252099999999999</v>
      </c>
      <c r="E1006" s="12">
        <f>CHOOSE( CONTROL!$C$32, 53.2486, 53.245) * CHOOSE( CONTROL!$C$15, $D$11, 100%, $F$11)</f>
        <v>53.248600000000003</v>
      </c>
      <c r="F1006" s="4">
        <f>CHOOSE( CONTROL!$C$32, 53.9261, 53.9225) * CHOOSE(CONTROL!$C$15, $D$11, 100%, $F$11)</f>
        <v>53.926099999999998</v>
      </c>
      <c r="G1006" s="8">
        <f>CHOOSE( CONTROL!$C$32, 52.3232, 52.3197) * CHOOSE( CONTROL!$C$15, $D$11, 100%, $F$11)</f>
        <v>52.3232</v>
      </c>
      <c r="H1006" s="4">
        <f>CHOOSE( CONTROL!$C$32, 53.2606, 53.2571) * CHOOSE(CONTROL!$C$15, $D$11, 100%, $F$11)</f>
        <v>53.260599999999997</v>
      </c>
      <c r="I1006" s="8">
        <f>CHOOSE( CONTROL!$C$32, 51.5508, 51.5474) * CHOOSE(CONTROL!$C$15, $D$11, 100%, $F$11)</f>
        <v>51.550800000000002</v>
      </c>
      <c r="J1006" s="4">
        <f>CHOOSE( CONTROL!$C$32, 51.4337, 51.4303) * CHOOSE(CONTROL!$C$15, $D$11, 100%, $F$11)</f>
        <v>51.433700000000002</v>
      </c>
      <c r="K1006" s="4"/>
      <c r="L1006" s="9">
        <v>29.7257</v>
      </c>
      <c r="M1006" s="9">
        <v>11.6745</v>
      </c>
      <c r="N1006" s="9">
        <v>4.7850000000000001</v>
      </c>
      <c r="O1006" s="9">
        <v>0.36199999999999999</v>
      </c>
      <c r="P1006" s="9">
        <v>1.1791</v>
      </c>
      <c r="Q1006" s="9">
        <v>19.053000000000001</v>
      </c>
      <c r="R1006" s="9"/>
      <c r="S1006" s="11"/>
    </row>
    <row r="1007" spans="1:19" ht="15.75">
      <c r="A1007" s="13">
        <v>72167</v>
      </c>
      <c r="B1007" s="8">
        <f>CHOOSE( CONTROL!$C$32, 55.5271, 55.5235) * CHOOSE(CONTROL!$C$15, $D$11, 100%, $F$11)</f>
        <v>55.527099999999997</v>
      </c>
      <c r="C1007" s="8">
        <f>CHOOSE( CONTROL!$C$32, 55.5351, 55.5315) * CHOOSE(CONTROL!$C$15, $D$11, 100%, $F$11)</f>
        <v>55.5351</v>
      </c>
      <c r="D1007" s="8">
        <f>CHOOSE( CONTROL!$C$32, 55.5417, 55.5381) * CHOOSE( CONTROL!$C$15, $D$11, 100%, $F$11)</f>
        <v>55.541699999999999</v>
      </c>
      <c r="E1007" s="12">
        <f>CHOOSE( CONTROL!$C$32, 55.5381, 55.5345) * CHOOSE( CONTROL!$C$15, $D$11, 100%, $F$11)</f>
        <v>55.5381</v>
      </c>
      <c r="F1007" s="4">
        <f>CHOOSE( CONTROL!$C$32, 56.2154, 56.2118) * CHOOSE(CONTROL!$C$15, $D$11, 100%, $F$11)</f>
        <v>56.215400000000002</v>
      </c>
      <c r="G1007" s="8">
        <f>CHOOSE( CONTROL!$C$32, 54.575, 54.5715) * CHOOSE( CONTROL!$C$15, $D$11, 100%, $F$11)</f>
        <v>54.575000000000003</v>
      </c>
      <c r="H1007" s="4">
        <f>CHOOSE( CONTROL!$C$32, 55.512, 55.5085) * CHOOSE(CONTROL!$C$15, $D$11, 100%, $F$11)</f>
        <v>55.512</v>
      </c>
      <c r="I1007" s="8">
        <f>CHOOSE( CONTROL!$C$32, 53.7665, 53.763) * CHOOSE(CONTROL!$C$15, $D$11, 100%, $F$11)</f>
        <v>53.766500000000001</v>
      </c>
      <c r="J1007" s="4">
        <f>CHOOSE( CONTROL!$C$32, 53.6468, 53.6434) * CHOOSE(CONTROL!$C$15, $D$11, 100%, $F$11)</f>
        <v>53.646799999999999</v>
      </c>
      <c r="K1007" s="4"/>
      <c r="L1007" s="9">
        <v>30.7165</v>
      </c>
      <c r="M1007" s="9">
        <v>12.063700000000001</v>
      </c>
      <c r="N1007" s="9">
        <v>4.9444999999999997</v>
      </c>
      <c r="O1007" s="9">
        <v>0.37409999999999999</v>
      </c>
      <c r="P1007" s="9">
        <v>1.2183999999999999</v>
      </c>
      <c r="Q1007" s="9">
        <v>19.688099999999999</v>
      </c>
      <c r="R1007" s="9"/>
      <c r="S1007" s="11"/>
    </row>
    <row r="1008" spans="1:19" ht="15.75">
      <c r="A1008" s="13">
        <v>72198</v>
      </c>
      <c r="B1008" s="8">
        <f>CHOOSE( CONTROL!$C$32, 51.2436, 51.24) * CHOOSE(CONTROL!$C$15, $D$11, 100%, $F$11)</f>
        <v>51.243600000000001</v>
      </c>
      <c r="C1008" s="8">
        <f>CHOOSE( CONTROL!$C$32, 51.2516, 51.248) * CHOOSE(CONTROL!$C$15, $D$11, 100%, $F$11)</f>
        <v>51.251600000000003</v>
      </c>
      <c r="D1008" s="8">
        <f>CHOOSE( CONTROL!$C$32, 51.2583, 51.2547) * CHOOSE( CONTROL!$C$15, $D$11, 100%, $F$11)</f>
        <v>51.258299999999998</v>
      </c>
      <c r="E1008" s="12">
        <f>CHOOSE( CONTROL!$C$32, 51.2547, 51.2511) * CHOOSE( CONTROL!$C$15, $D$11, 100%, $F$11)</f>
        <v>51.2547</v>
      </c>
      <c r="F1008" s="4">
        <f>CHOOSE( CONTROL!$C$32, 51.9318, 51.9283) * CHOOSE(CONTROL!$C$15, $D$11, 100%, $F$11)</f>
        <v>51.931800000000003</v>
      </c>
      <c r="G1008" s="8">
        <f>CHOOSE( CONTROL!$C$32, 50.3626, 50.3591) * CHOOSE( CONTROL!$C$15, $D$11, 100%, $F$11)</f>
        <v>50.3626</v>
      </c>
      <c r="H1008" s="4">
        <f>CHOOSE( CONTROL!$C$32, 51.2995, 51.296) * CHOOSE(CONTROL!$C$15, $D$11, 100%, $F$11)</f>
        <v>51.299500000000002</v>
      </c>
      <c r="I1008" s="8">
        <f>CHOOSE( CONTROL!$C$32, 49.624, 49.6205) * CHOOSE(CONTROL!$C$15, $D$11, 100%, $F$11)</f>
        <v>49.624000000000002</v>
      </c>
      <c r="J1008" s="4">
        <f>CHOOSE( CONTROL!$C$32, 49.5059, 49.5025) * CHOOSE(CONTROL!$C$15, $D$11, 100%, $F$11)</f>
        <v>49.505899999999997</v>
      </c>
      <c r="K1008" s="4"/>
      <c r="L1008" s="9">
        <v>30.7165</v>
      </c>
      <c r="M1008" s="9">
        <v>12.063700000000001</v>
      </c>
      <c r="N1008" s="9">
        <v>4.9444999999999997</v>
      </c>
      <c r="O1008" s="9">
        <v>0.37409999999999999</v>
      </c>
      <c r="P1008" s="9">
        <v>1.2183999999999999</v>
      </c>
      <c r="Q1008" s="9">
        <v>19.688099999999999</v>
      </c>
      <c r="R1008" s="9"/>
      <c r="S1008" s="11"/>
    </row>
    <row r="1009" spans="1:19" ht="15.75">
      <c r="A1009" s="13">
        <v>72228</v>
      </c>
      <c r="B1009" s="8">
        <f>CHOOSE( CONTROL!$C$32, 50.1709, 50.1674) * CHOOSE(CONTROL!$C$15, $D$11, 100%, $F$11)</f>
        <v>50.170900000000003</v>
      </c>
      <c r="C1009" s="8">
        <f>CHOOSE( CONTROL!$C$32, 50.1789, 50.1754) * CHOOSE(CONTROL!$C$15, $D$11, 100%, $F$11)</f>
        <v>50.178899999999999</v>
      </c>
      <c r="D1009" s="8">
        <f>CHOOSE( CONTROL!$C$32, 50.1856, 50.1821) * CHOOSE( CONTROL!$C$15, $D$11, 100%, $F$11)</f>
        <v>50.185600000000001</v>
      </c>
      <c r="E1009" s="12">
        <f>CHOOSE( CONTROL!$C$32, 50.182, 50.1785) * CHOOSE( CONTROL!$C$15, $D$11, 100%, $F$11)</f>
        <v>50.182000000000002</v>
      </c>
      <c r="F1009" s="4">
        <f>CHOOSE( CONTROL!$C$32, 50.8592, 50.8556) * CHOOSE(CONTROL!$C$15, $D$11, 100%, $F$11)</f>
        <v>50.859200000000001</v>
      </c>
      <c r="G1009" s="8">
        <f>CHOOSE( CONTROL!$C$32, 49.3078, 49.3043) * CHOOSE( CONTROL!$C$15, $D$11, 100%, $F$11)</f>
        <v>49.3078</v>
      </c>
      <c r="H1009" s="4">
        <f>CHOOSE( CONTROL!$C$32, 50.2446, 50.2411) * CHOOSE(CONTROL!$C$15, $D$11, 100%, $F$11)</f>
        <v>50.244599999999998</v>
      </c>
      <c r="I1009" s="8">
        <f>CHOOSE( CONTROL!$C$32, 48.5866, 48.5831) * CHOOSE(CONTROL!$C$15, $D$11, 100%, $F$11)</f>
        <v>48.586599999999997</v>
      </c>
      <c r="J1009" s="4">
        <f>CHOOSE( CONTROL!$C$32, 48.469, 48.4656) * CHOOSE(CONTROL!$C$15, $D$11, 100%, $F$11)</f>
        <v>48.469000000000001</v>
      </c>
      <c r="K1009" s="4"/>
      <c r="L1009" s="9">
        <v>29.7257</v>
      </c>
      <c r="M1009" s="9">
        <v>11.6745</v>
      </c>
      <c r="N1009" s="9">
        <v>4.7850000000000001</v>
      </c>
      <c r="O1009" s="9">
        <v>0.36199999999999999</v>
      </c>
      <c r="P1009" s="9">
        <v>1.1791</v>
      </c>
      <c r="Q1009" s="9">
        <v>19.053000000000001</v>
      </c>
      <c r="R1009" s="9"/>
      <c r="S1009" s="11"/>
    </row>
    <row r="1010" spans="1:19" ht="15.75">
      <c r="A1010" s="13">
        <v>72259</v>
      </c>
      <c r="B1010" s="8">
        <f>52.3928 * CHOOSE(CONTROL!$C$15, $D$11, 100%, $F$11)</f>
        <v>52.392800000000001</v>
      </c>
      <c r="C1010" s="8">
        <f>52.3982 * CHOOSE(CONTROL!$C$15, $D$11, 100%, $F$11)</f>
        <v>52.398200000000003</v>
      </c>
      <c r="D1010" s="8">
        <f>52.4097 * CHOOSE( CONTROL!$C$15, $D$11, 100%, $F$11)</f>
        <v>52.409700000000001</v>
      </c>
      <c r="E1010" s="12">
        <f>52.4053 * CHOOSE( CONTROL!$C$15, $D$11, 100%, $F$11)</f>
        <v>52.405299999999997</v>
      </c>
      <c r="F1010" s="4">
        <f>53.0828 * CHOOSE(CONTROL!$C$15, $D$11, 100%, $F$11)</f>
        <v>53.082799999999999</v>
      </c>
      <c r="G1010" s="8">
        <f>51.494 * CHOOSE( CONTROL!$C$15, $D$11, 100%, $F$11)</f>
        <v>51.494</v>
      </c>
      <c r="H1010" s="4">
        <f>52.4314 * CHOOSE(CONTROL!$C$15, $D$11, 100%, $F$11)</f>
        <v>52.431399999999996</v>
      </c>
      <c r="I1010" s="8">
        <f>50.7379 * CHOOSE(CONTROL!$C$15, $D$11, 100%, $F$11)</f>
        <v>50.737900000000003</v>
      </c>
      <c r="J1010" s="4">
        <f>50.6186 * CHOOSE(CONTROL!$C$15, $D$11, 100%, $F$11)</f>
        <v>50.618600000000001</v>
      </c>
      <c r="K1010" s="4"/>
      <c r="L1010" s="9">
        <v>31.095300000000002</v>
      </c>
      <c r="M1010" s="9">
        <v>12.063700000000001</v>
      </c>
      <c r="N1010" s="9">
        <v>4.9444999999999997</v>
      </c>
      <c r="O1010" s="9">
        <v>0.37409999999999999</v>
      </c>
      <c r="P1010" s="9">
        <v>1.2183999999999999</v>
      </c>
      <c r="Q1010" s="9">
        <v>19.688099999999999</v>
      </c>
      <c r="R1010" s="9"/>
      <c r="S1010" s="11"/>
    </row>
    <row r="1011" spans="1:19" ht="15.75">
      <c r="A1011" s="13">
        <v>72289</v>
      </c>
      <c r="B1011" s="8">
        <f>56.5033 * CHOOSE(CONTROL!$C$15, $D$11, 100%, $F$11)</f>
        <v>56.503300000000003</v>
      </c>
      <c r="C1011" s="8">
        <f>56.5084 * CHOOSE(CONTROL!$C$15, $D$11, 100%, $F$11)</f>
        <v>56.508400000000002</v>
      </c>
      <c r="D1011" s="8">
        <f>56.4854 * CHOOSE( CONTROL!$C$15, $D$11, 100%, $F$11)</f>
        <v>56.485399999999998</v>
      </c>
      <c r="E1011" s="12">
        <f>56.4933 * CHOOSE( CONTROL!$C$15, $D$11, 100%, $F$11)</f>
        <v>56.493299999999998</v>
      </c>
      <c r="F1011" s="4">
        <f>57.1482 * CHOOSE(CONTROL!$C$15, $D$11, 100%, $F$11)</f>
        <v>57.148200000000003</v>
      </c>
      <c r="G1011" s="8">
        <f>55.5475 * CHOOSE( CONTROL!$C$15, $D$11, 100%, $F$11)</f>
        <v>55.547499999999999</v>
      </c>
      <c r="H1011" s="4">
        <f>56.4293 * CHOOSE(CONTROL!$C$15, $D$11, 100%, $F$11)</f>
        <v>56.429299999999998</v>
      </c>
      <c r="I1011" s="8">
        <f>54.7386 * CHOOSE(CONTROL!$C$15, $D$11, 100%, $F$11)</f>
        <v>54.738599999999998</v>
      </c>
      <c r="J1011" s="4">
        <f>54.5926 * CHOOSE(CONTROL!$C$15, $D$11, 100%, $F$11)</f>
        <v>54.592599999999997</v>
      </c>
      <c r="K1011" s="4"/>
      <c r="L1011" s="9">
        <v>28.360600000000002</v>
      </c>
      <c r="M1011" s="9">
        <v>11.6745</v>
      </c>
      <c r="N1011" s="9">
        <v>4.7850000000000001</v>
      </c>
      <c r="O1011" s="9">
        <v>0.36199999999999999</v>
      </c>
      <c r="P1011" s="9">
        <v>1.2509999999999999</v>
      </c>
      <c r="Q1011" s="9">
        <v>19.053000000000001</v>
      </c>
      <c r="R1011" s="9"/>
      <c r="S1011" s="11"/>
    </row>
    <row r="1012" spans="1:19" ht="15.75">
      <c r="A1012" s="13">
        <v>72320</v>
      </c>
      <c r="B1012" s="8">
        <f>56.4006 * CHOOSE(CONTROL!$C$15, $D$11, 100%, $F$11)</f>
        <v>56.400599999999997</v>
      </c>
      <c r="C1012" s="8">
        <f>56.4057 * CHOOSE(CONTROL!$C$15, $D$11, 100%, $F$11)</f>
        <v>56.405700000000003</v>
      </c>
      <c r="D1012" s="8">
        <f>56.384 * CHOOSE( CONTROL!$C$15, $D$11, 100%, $F$11)</f>
        <v>56.384</v>
      </c>
      <c r="E1012" s="12">
        <f>56.3914 * CHOOSE( CONTROL!$C$15, $D$11, 100%, $F$11)</f>
        <v>56.391399999999997</v>
      </c>
      <c r="F1012" s="4">
        <f>57.0455 * CHOOSE(CONTROL!$C$15, $D$11, 100%, $F$11)</f>
        <v>57.045499999999997</v>
      </c>
      <c r="G1012" s="8">
        <f>55.4475 * CHOOSE( CONTROL!$C$15, $D$11, 100%, $F$11)</f>
        <v>55.447499999999998</v>
      </c>
      <c r="H1012" s="4">
        <f>56.3283 * CHOOSE(CONTROL!$C$15, $D$11, 100%, $F$11)</f>
        <v>56.328299999999999</v>
      </c>
      <c r="I1012" s="8">
        <f>54.6436 * CHOOSE(CONTROL!$C$15, $D$11, 100%, $F$11)</f>
        <v>54.643599999999999</v>
      </c>
      <c r="J1012" s="4">
        <f>54.4933 * CHOOSE(CONTROL!$C$15, $D$11, 100%, $F$11)</f>
        <v>54.493299999999998</v>
      </c>
      <c r="K1012" s="4"/>
      <c r="L1012" s="9">
        <v>29.306000000000001</v>
      </c>
      <c r="M1012" s="9">
        <v>12.063700000000001</v>
      </c>
      <c r="N1012" s="9">
        <v>4.9444999999999997</v>
      </c>
      <c r="O1012" s="9">
        <v>0.37409999999999999</v>
      </c>
      <c r="P1012" s="9">
        <v>1.2927</v>
      </c>
      <c r="Q1012" s="9">
        <v>19.688099999999999</v>
      </c>
      <c r="R1012" s="9"/>
      <c r="S1012" s="11"/>
    </row>
    <row r="1013" spans="1:19" ht="15.75">
      <c r="A1013" s="13">
        <v>72351</v>
      </c>
      <c r="B1013" s="8">
        <f>58.5551 * CHOOSE(CONTROL!$C$15, $D$11, 100%, $F$11)</f>
        <v>58.555100000000003</v>
      </c>
      <c r="C1013" s="8">
        <f>58.5602 * CHOOSE(CONTROL!$C$15, $D$11, 100%, $F$11)</f>
        <v>58.560200000000002</v>
      </c>
      <c r="D1013" s="8">
        <f>58.5343 * CHOOSE( CONTROL!$C$15, $D$11, 100%, $F$11)</f>
        <v>58.534300000000002</v>
      </c>
      <c r="E1013" s="12">
        <f>58.5432 * CHOOSE( CONTROL!$C$15, $D$11, 100%, $F$11)</f>
        <v>58.543199999999999</v>
      </c>
      <c r="F1013" s="4">
        <f>59.1991 * CHOOSE(CONTROL!$C$15, $D$11, 100%, $F$11)</f>
        <v>59.199100000000001</v>
      </c>
      <c r="G1013" s="8">
        <f>57.56 * CHOOSE( CONTROL!$C$15, $D$11, 100%, $F$11)</f>
        <v>57.56</v>
      </c>
      <c r="H1013" s="4">
        <f>58.4462 * CHOOSE(CONTROL!$C$15, $D$11, 100%, $F$11)</f>
        <v>58.446199999999997</v>
      </c>
      <c r="I1013" s="8">
        <f>56.6979 * CHOOSE(CONTROL!$C$15, $D$11, 100%, $F$11)</f>
        <v>56.697899999999997</v>
      </c>
      <c r="J1013" s="4">
        <f>56.576 * CHOOSE(CONTROL!$C$15, $D$11, 100%, $F$11)</f>
        <v>56.576000000000001</v>
      </c>
      <c r="K1013" s="4"/>
      <c r="L1013" s="9">
        <v>29.306000000000001</v>
      </c>
      <c r="M1013" s="9">
        <v>12.063700000000001</v>
      </c>
      <c r="N1013" s="9">
        <v>4.9444999999999997</v>
      </c>
      <c r="O1013" s="9">
        <v>0.37409999999999999</v>
      </c>
      <c r="P1013" s="9">
        <v>1.2927</v>
      </c>
      <c r="Q1013" s="9">
        <v>19.688099999999999</v>
      </c>
      <c r="R1013" s="9"/>
      <c r="S1013" s="11"/>
    </row>
    <row r="1014" spans="1:19" ht="15.75">
      <c r="A1014" s="13">
        <v>72379</v>
      </c>
      <c r="B1014" s="8">
        <f>54.7715 * CHOOSE(CONTROL!$C$15, $D$11, 100%, $F$11)</f>
        <v>54.771500000000003</v>
      </c>
      <c r="C1014" s="8">
        <f>54.7766 * CHOOSE(CONTROL!$C$15, $D$11, 100%, $F$11)</f>
        <v>54.776600000000002</v>
      </c>
      <c r="D1014" s="8">
        <f>54.751 * CHOOSE( CONTROL!$C$15, $D$11, 100%, $F$11)</f>
        <v>54.750999999999998</v>
      </c>
      <c r="E1014" s="12">
        <f>54.7598 * CHOOSE( CONTROL!$C$15, $D$11, 100%, $F$11)</f>
        <v>54.759799999999998</v>
      </c>
      <c r="F1014" s="4">
        <f>55.4155 * CHOOSE(CONTROL!$C$15, $D$11, 100%, $F$11)</f>
        <v>55.415500000000002</v>
      </c>
      <c r="G1014" s="8">
        <f>53.8394 * CHOOSE( CONTROL!$C$15, $D$11, 100%, $F$11)</f>
        <v>53.839399999999998</v>
      </c>
      <c r="H1014" s="4">
        <f>54.7254 * CHOOSE(CONTROL!$C$15, $D$11, 100%, $F$11)</f>
        <v>54.7254</v>
      </c>
      <c r="I1014" s="8">
        <f>53.0393 * CHOOSE(CONTROL!$C$15, $D$11, 100%, $F$11)</f>
        <v>53.039299999999997</v>
      </c>
      <c r="J1014" s="4">
        <f>52.9185 * CHOOSE(CONTROL!$C$15, $D$11, 100%, $F$11)</f>
        <v>52.918500000000002</v>
      </c>
      <c r="K1014" s="4"/>
      <c r="L1014" s="9">
        <v>26.469899999999999</v>
      </c>
      <c r="M1014" s="9">
        <v>10.8962</v>
      </c>
      <c r="N1014" s="9">
        <v>4.4660000000000002</v>
      </c>
      <c r="O1014" s="9">
        <v>0.33789999999999998</v>
      </c>
      <c r="P1014" s="9">
        <v>1.1676</v>
      </c>
      <c r="Q1014" s="9">
        <v>17.782800000000002</v>
      </c>
      <c r="R1014" s="9"/>
      <c r="S1014" s="11"/>
    </row>
    <row r="1015" spans="1:19" ht="15.75">
      <c r="A1015" s="13">
        <v>72410</v>
      </c>
      <c r="B1015" s="8">
        <f>53.6062 * CHOOSE(CONTROL!$C$15, $D$11, 100%, $F$11)</f>
        <v>53.606200000000001</v>
      </c>
      <c r="C1015" s="8">
        <f>53.6113 * CHOOSE(CONTROL!$C$15, $D$11, 100%, $F$11)</f>
        <v>53.6113</v>
      </c>
      <c r="D1015" s="8">
        <f>53.5856 * CHOOSE( CONTROL!$C$15, $D$11, 100%, $F$11)</f>
        <v>53.585599999999999</v>
      </c>
      <c r="E1015" s="12">
        <f>53.5945 * CHOOSE( CONTROL!$C$15, $D$11, 100%, $F$11)</f>
        <v>53.594499999999996</v>
      </c>
      <c r="F1015" s="4">
        <f>54.2502 * CHOOSE(CONTROL!$C$15, $D$11, 100%, $F$11)</f>
        <v>54.2502</v>
      </c>
      <c r="G1015" s="8">
        <f>52.6933 * CHOOSE( CONTROL!$C$15, $D$11, 100%, $F$11)</f>
        <v>52.693300000000001</v>
      </c>
      <c r="H1015" s="4">
        <f>53.5794 * CHOOSE(CONTROL!$C$15, $D$11, 100%, $F$11)</f>
        <v>53.5794</v>
      </c>
      <c r="I1015" s="8">
        <f>51.912 * CHOOSE(CONTROL!$C$15, $D$11, 100%, $F$11)</f>
        <v>51.911999999999999</v>
      </c>
      <c r="J1015" s="4">
        <f>51.7919 * CHOOSE(CONTROL!$C$15, $D$11, 100%, $F$11)</f>
        <v>51.791899999999998</v>
      </c>
      <c r="K1015" s="4"/>
      <c r="L1015" s="9">
        <v>29.306000000000001</v>
      </c>
      <c r="M1015" s="9">
        <v>12.063700000000001</v>
      </c>
      <c r="N1015" s="9">
        <v>4.9444999999999997</v>
      </c>
      <c r="O1015" s="9">
        <v>0.37409999999999999</v>
      </c>
      <c r="P1015" s="9">
        <v>1.2927</v>
      </c>
      <c r="Q1015" s="9">
        <v>19.688099999999999</v>
      </c>
      <c r="R1015" s="9"/>
      <c r="S1015" s="11"/>
    </row>
    <row r="1016" spans="1:19" ht="15.75">
      <c r="A1016" s="13">
        <v>72440</v>
      </c>
      <c r="B1016" s="8">
        <f>54.4213 * CHOOSE(CONTROL!$C$15, $D$11, 100%, $F$11)</f>
        <v>54.421300000000002</v>
      </c>
      <c r="C1016" s="8">
        <f>54.4258 * CHOOSE(CONTROL!$C$15, $D$11, 100%, $F$11)</f>
        <v>54.425800000000002</v>
      </c>
      <c r="D1016" s="8">
        <f>54.4368 * CHOOSE( CONTROL!$C$15, $D$11, 100%, $F$11)</f>
        <v>54.436799999999998</v>
      </c>
      <c r="E1016" s="12">
        <f>54.4327 * CHOOSE( CONTROL!$C$15, $D$11, 100%, $F$11)</f>
        <v>54.432699999999997</v>
      </c>
      <c r="F1016" s="4">
        <f>55.1109 * CHOOSE(CONTROL!$C$15, $D$11, 100%, $F$11)</f>
        <v>55.110900000000001</v>
      </c>
      <c r="G1016" s="8">
        <f>53.487 * CHOOSE( CONTROL!$C$15, $D$11, 100%, $F$11)</f>
        <v>53.487000000000002</v>
      </c>
      <c r="H1016" s="4">
        <f>54.4258 * CHOOSE(CONTROL!$C$15, $D$11, 100%, $F$11)</f>
        <v>54.425800000000002</v>
      </c>
      <c r="I1016" s="8">
        <f>52.6946 * CHOOSE(CONTROL!$C$15, $D$11, 100%, $F$11)</f>
        <v>52.694600000000001</v>
      </c>
      <c r="J1016" s="4">
        <f>52.5791 * CHOOSE(CONTROL!$C$15, $D$11, 100%, $F$11)</f>
        <v>52.579099999999997</v>
      </c>
      <c r="K1016" s="4"/>
      <c r="L1016" s="9">
        <v>30.092199999999998</v>
      </c>
      <c r="M1016" s="9">
        <v>11.6745</v>
      </c>
      <c r="N1016" s="9">
        <v>4.7850000000000001</v>
      </c>
      <c r="O1016" s="9">
        <v>0.36199999999999999</v>
      </c>
      <c r="P1016" s="9">
        <v>1.1791</v>
      </c>
      <c r="Q1016" s="9">
        <v>19.053000000000001</v>
      </c>
      <c r="R1016" s="9"/>
      <c r="S1016" s="11"/>
    </row>
    <row r="1017" spans="1:19" ht="15.75">
      <c r="A1017" s="13">
        <v>72471</v>
      </c>
      <c r="B1017" s="8">
        <f>CHOOSE( CONTROL!$C$32, 55.8755, 55.8719) * CHOOSE(CONTROL!$C$15, $D$11, 100%, $F$11)</f>
        <v>55.875500000000002</v>
      </c>
      <c r="C1017" s="8">
        <f>CHOOSE( CONTROL!$C$32, 55.8835, 55.8799) * CHOOSE(CONTROL!$C$15, $D$11, 100%, $F$11)</f>
        <v>55.883499999999998</v>
      </c>
      <c r="D1017" s="8">
        <f>CHOOSE( CONTROL!$C$32, 55.8895, 55.8859) * CHOOSE( CONTROL!$C$15, $D$11, 100%, $F$11)</f>
        <v>55.889499999999998</v>
      </c>
      <c r="E1017" s="12">
        <f>CHOOSE( CONTROL!$C$32, 55.8861, 55.8825) * CHOOSE( CONTROL!$C$15, $D$11, 100%, $F$11)</f>
        <v>55.886099999999999</v>
      </c>
      <c r="F1017" s="4">
        <f>CHOOSE( CONTROL!$C$32, 56.5637, 56.5602) * CHOOSE(CONTROL!$C$15, $D$11, 100%, $F$11)</f>
        <v>56.563699999999997</v>
      </c>
      <c r="G1017" s="8">
        <f>CHOOSE( CONTROL!$C$32, 54.9167, 54.9132) * CHOOSE( CONTROL!$C$15, $D$11, 100%, $F$11)</f>
        <v>54.916699999999999</v>
      </c>
      <c r="H1017" s="4">
        <f>CHOOSE( CONTROL!$C$32, 55.8546, 55.8511) * CHOOSE(CONTROL!$C$15, $D$11, 100%, $F$11)</f>
        <v>55.854599999999998</v>
      </c>
      <c r="I1017" s="8">
        <f>CHOOSE( CONTROL!$C$32, 54.1006, 54.0972) * CHOOSE(CONTROL!$C$15, $D$11, 100%, $F$11)</f>
        <v>54.1006</v>
      </c>
      <c r="J1017" s="4">
        <f>CHOOSE( CONTROL!$C$32, 53.9836, 53.9801) * CHOOSE(CONTROL!$C$15, $D$11, 100%, $F$11)</f>
        <v>53.983600000000003</v>
      </c>
      <c r="K1017" s="4"/>
      <c r="L1017" s="9">
        <v>30.7165</v>
      </c>
      <c r="M1017" s="9">
        <v>12.063700000000001</v>
      </c>
      <c r="N1017" s="9">
        <v>4.9444999999999997</v>
      </c>
      <c r="O1017" s="9">
        <v>0.37409999999999999</v>
      </c>
      <c r="P1017" s="9">
        <v>1.2183999999999999</v>
      </c>
      <c r="Q1017" s="9">
        <v>19.688099999999999</v>
      </c>
      <c r="R1017" s="9"/>
      <c r="S1017" s="11"/>
    </row>
    <row r="1018" spans="1:19" ht="15.75">
      <c r="A1018" s="13">
        <v>72501</v>
      </c>
      <c r="B1018" s="8">
        <f>CHOOSE( CONTROL!$C$32, 54.9777, 54.9741) * CHOOSE(CONTROL!$C$15, $D$11, 100%, $F$11)</f>
        <v>54.977699999999999</v>
      </c>
      <c r="C1018" s="8">
        <f>CHOOSE( CONTROL!$C$32, 54.9857, 54.9821) * CHOOSE(CONTROL!$C$15, $D$11, 100%, $F$11)</f>
        <v>54.985700000000001</v>
      </c>
      <c r="D1018" s="8">
        <f>CHOOSE( CONTROL!$C$32, 54.992, 54.9884) * CHOOSE( CONTROL!$C$15, $D$11, 100%, $F$11)</f>
        <v>54.991999999999997</v>
      </c>
      <c r="E1018" s="12">
        <f>CHOOSE( CONTROL!$C$32, 54.9885, 54.9849) * CHOOSE( CONTROL!$C$15, $D$11, 100%, $F$11)</f>
        <v>54.988500000000002</v>
      </c>
      <c r="F1018" s="4">
        <f>CHOOSE( CONTROL!$C$32, 55.666, 55.6624) * CHOOSE(CONTROL!$C$15, $D$11, 100%, $F$11)</f>
        <v>55.665999999999997</v>
      </c>
      <c r="G1018" s="8">
        <f>CHOOSE( CONTROL!$C$32, 54.0342, 54.0307) * CHOOSE( CONTROL!$C$15, $D$11, 100%, $F$11)</f>
        <v>54.034199999999998</v>
      </c>
      <c r="H1018" s="4">
        <f>CHOOSE( CONTROL!$C$32, 54.9717, 54.9682) * CHOOSE(CONTROL!$C$15, $D$11, 100%, $F$11)</f>
        <v>54.971699999999998</v>
      </c>
      <c r="I1018" s="8">
        <f>CHOOSE( CONTROL!$C$32, 53.2336, 53.2302) * CHOOSE(CONTROL!$C$15, $D$11, 100%, $F$11)</f>
        <v>53.233600000000003</v>
      </c>
      <c r="J1018" s="4">
        <f>CHOOSE( CONTROL!$C$32, 53.1157, 53.1123) * CHOOSE(CONTROL!$C$15, $D$11, 100%, $F$11)</f>
        <v>53.115699999999997</v>
      </c>
      <c r="K1018" s="4"/>
      <c r="L1018" s="9">
        <v>29.7257</v>
      </c>
      <c r="M1018" s="9">
        <v>11.6745</v>
      </c>
      <c r="N1018" s="9">
        <v>4.7850000000000001</v>
      </c>
      <c r="O1018" s="9">
        <v>0.36199999999999999</v>
      </c>
      <c r="P1018" s="9">
        <v>1.1791</v>
      </c>
      <c r="Q1018" s="9">
        <v>19.053000000000001</v>
      </c>
      <c r="R1018" s="9"/>
      <c r="S1018" s="11"/>
    </row>
    <row r="1019" spans="1:19" ht="15.75">
      <c r="A1019" s="13">
        <v>72532</v>
      </c>
      <c r="B1019" s="8">
        <f>CHOOSE( CONTROL!$C$32, 57.3419, 57.3383) * CHOOSE(CONTROL!$C$15, $D$11, 100%, $F$11)</f>
        <v>57.341900000000003</v>
      </c>
      <c r="C1019" s="8">
        <f>CHOOSE( CONTROL!$C$32, 57.3499, 57.3463) * CHOOSE(CONTROL!$C$15, $D$11, 100%, $F$11)</f>
        <v>57.349899999999998</v>
      </c>
      <c r="D1019" s="8">
        <f>CHOOSE( CONTROL!$C$32, 57.3565, 57.3529) * CHOOSE( CONTROL!$C$15, $D$11, 100%, $F$11)</f>
        <v>57.356499999999997</v>
      </c>
      <c r="E1019" s="12">
        <f>CHOOSE( CONTROL!$C$32, 57.3529, 57.3493) * CHOOSE( CONTROL!$C$15, $D$11, 100%, $F$11)</f>
        <v>57.352899999999998</v>
      </c>
      <c r="F1019" s="4">
        <f>CHOOSE( CONTROL!$C$32, 58.0301, 58.0266) * CHOOSE(CONTROL!$C$15, $D$11, 100%, $F$11)</f>
        <v>58.030099999999997</v>
      </c>
      <c r="G1019" s="8">
        <f>CHOOSE( CONTROL!$C$32, 56.3597, 56.3561) * CHOOSE( CONTROL!$C$15, $D$11, 100%, $F$11)</f>
        <v>56.359699999999997</v>
      </c>
      <c r="H1019" s="4">
        <f>CHOOSE( CONTROL!$C$32, 57.2966, 57.2931) * CHOOSE(CONTROL!$C$15, $D$11, 100%, $F$11)</f>
        <v>57.296599999999998</v>
      </c>
      <c r="I1019" s="8">
        <f>CHOOSE( CONTROL!$C$32, 55.5217, 55.5182) * CHOOSE(CONTROL!$C$15, $D$11, 100%, $F$11)</f>
        <v>55.521700000000003</v>
      </c>
      <c r="J1019" s="4">
        <f>CHOOSE( CONTROL!$C$32, 55.4011, 55.3977) * CHOOSE(CONTROL!$C$15, $D$11, 100%, $F$11)</f>
        <v>55.4011</v>
      </c>
      <c r="K1019" s="4"/>
      <c r="L1019" s="9">
        <v>30.7165</v>
      </c>
      <c r="M1019" s="9">
        <v>12.063700000000001</v>
      </c>
      <c r="N1019" s="9">
        <v>4.9444999999999997</v>
      </c>
      <c r="O1019" s="9">
        <v>0.37409999999999999</v>
      </c>
      <c r="P1019" s="9">
        <v>1.2183999999999999</v>
      </c>
      <c r="Q1019" s="9">
        <v>19.688099999999999</v>
      </c>
      <c r="R1019" s="9"/>
      <c r="S1019" s="11"/>
    </row>
    <row r="1020" spans="1:19" ht="15.75">
      <c r="A1020" s="13">
        <v>72563</v>
      </c>
      <c r="B1020" s="8">
        <f>CHOOSE( CONTROL!$C$32, 52.9183, 52.9147) * CHOOSE(CONTROL!$C$15, $D$11, 100%, $F$11)</f>
        <v>52.918300000000002</v>
      </c>
      <c r="C1020" s="8">
        <f>CHOOSE( CONTROL!$C$32, 52.9263, 52.9227) * CHOOSE(CONTROL!$C$15, $D$11, 100%, $F$11)</f>
        <v>52.926299999999998</v>
      </c>
      <c r="D1020" s="8">
        <f>CHOOSE( CONTROL!$C$32, 52.933, 52.9294) * CHOOSE( CONTROL!$C$15, $D$11, 100%, $F$11)</f>
        <v>52.933</v>
      </c>
      <c r="E1020" s="12">
        <f>CHOOSE( CONTROL!$C$32, 52.9294, 52.9258) * CHOOSE( CONTROL!$C$15, $D$11, 100%, $F$11)</f>
        <v>52.929400000000001</v>
      </c>
      <c r="F1020" s="4">
        <f>CHOOSE( CONTROL!$C$32, 53.6065, 53.603) * CHOOSE(CONTROL!$C$15, $D$11, 100%, $F$11)</f>
        <v>53.606499999999997</v>
      </c>
      <c r="G1020" s="8">
        <f>CHOOSE( CONTROL!$C$32, 52.0095, 52.006) * CHOOSE( CONTROL!$C$15, $D$11, 100%, $F$11)</f>
        <v>52.009500000000003</v>
      </c>
      <c r="H1020" s="4">
        <f>CHOOSE( CONTROL!$C$32, 52.9464, 52.9429) * CHOOSE(CONTROL!$C$15, $D$11, 100%, $F$11)</f>
        <v>52.946399999999997</v>
      </c>
      <c r="I1020" s="8">
        <f>CHOOSE( CONTROL!$C$32, 51.2437, 51.2403) * CHOOSE(CONTROL!$C$15, $D$11, 100%, $F$11)</f>
        <v>51.243699999999997</v>
      </c>
      <c r="J1020" s="4">
        <f>CHOOSE( CONTROL!$C$32, 51.1248, 51.1214) * CHOOSE(CONTROL!$C$15, $D$11, 100%, $F$11)</f>
        <v>51.1248</v>
      </c>
      <c r="K1020" s="4"/>
      <c r="L1020" s="9">
        <v>30.7165</v>
      </c>
      <c r="M1020" s="9">
        <v>12.063700000000001</v>
      </c>
      <c r="N1020" s="9">
        <v>4.9444999999999997</v>
      </c>
      <c r="O1020" s="9">
        <v>0.37409999999999999</v>
      </c>
      <c r="P1020" s="9">
        <v>1.2183999999999999</v>
      </c>
      <c r="Q1020" s="9">
        <v>19.688099999999999</v>
      </c>
      <c r="R1020" s="9"/>
      <c r="S1020" s="11"/>
    </row>
    <row r="1021" spans="1:19" ht="15.75">
      <c r="A1021" s="13">
        <v>72593</v>
      </c>
      <c r="B1021" s="8">
        <f>CHOOSE( CONTROL!$C$32, 51.8105, 51.807) * CHOOSE(CONTROL!$C$15, $D$11, 100%, $F$11)</f>
        <v>51.810499999999998</v>
      </c>
      <c r="C1021" s="8">
        <f>CHOOSE( CONTROL!$C$32, 51.8185, 51.815) * CHOOSE(CONTROL!$C$15, $D$11, 100%, $F$11)</f>
        <v>51.8185</v>
      </c>
      <c r="D1021" s="8">
        <f>CHOOSE( CONTROL!$C$32, 51.8252, 51.8217) * CHOOSE( CONTROL!$C$15, $D$11, 100%, $F$11)</f>
        <v>51.825200000000002</v>
      </c>
      <c r="E1021" s="12">
        <f>CHOOSE( CONTROL!$C$32, 51.8216, 51.8181) * CHOOSE( CONTROL!$C$15, $D$11, 100%, $F$11)</f>
        <v>51.821599999999997</v>
      </c>
      <c r="F1021" s="4">
        <f>CHOOSE( CONTROL!$C$32, 52.4988, 52.4952) * CHOOSE(CONTROL!$C$15, $D$11, 100%, $F$11)</f>
        <v>52.498800000000003</v>
      </c>
      <c r="G1021" s="8">
        <f>CHOOSE( CONTROL!$C$32, 50.9202, 50.9167) * CHOOSE( CONTROL!$C$15, $D$11, 100%, $F$11)</f>
        <v>50.920200000000001</v>
      </c>
      <c r="H1021" s="4">
        <f>CHOOSE( CONTROL!$C$32, 51.857, 51.8535) * CHOOSE(CONTROL!$C$15, $D$11, 100%, $F$11)</f>
        <v>51.856999999999999</v>
      </c>
      <c r="I1021" s="8">
        <f>CHOOSE( CONTROL!$C$32, 50.1723, 50.1689) * CHOOSE(CONTROL!$C$15, $D$11, 100%, $F$11)</f>
        <v>50.1723</v>
      </c>
      <c r="J1021" s="4">
        <f>CHOOSE( CONTROL!$C$32, 50.054, 50.0506) * CHOOSE(CONTROL!$C$15, $D$11, 100%, $F$11)</f>
        <v>50.054000000000002</v>
      </c>
      <c r="K1021" s="4"/>
      <c r="L1021" s="9">
        <v>29.7257</v>
      </c>
      <c r="M1021" s="9">
        <v>11.6745</v>
      </c>
      <c r="N1021" s="9">
        <v>4.7850000000000001</v>
      </c>
      <c r="O1021" s="9">
        <v>0.36199999999999999</v>
      </c>
      <c r="P1021" s="9">
        <v>1.1791</v>
      </c>
      <c r="Q1021" s="9">
        <v>19.053000000000001</v>
      </c>
      <c r="R1021" s="9"/>
      <c r="S1021" s="11"/>
    </row>
    <row r="1022" spans="1:19" ht="15.75">
      <c r="A1022" s="13">
        <v>72624</v>
      </c>
      <c r="B1022" s="8">
        <f>54.1052 * CHOOSE(CONTROL!$C$15, $D$11, 100%, $F$11)</f>
        <v>54.105200000000004</v>
      </c>
      <c r="C1022" s="8">
        <f>54.1106 * CHOOSE(CONTROL!$C$15, $D$11, 100%, $F$11)</f>
        <v>54.110599999999998</v>
      </c>
      <c r="D1022" s="8">
        <f>54.1221 * CHOOSE( CONTROL!$C$15, $D$11, 100%, $F$11)</f>
        <v>54.122100000000003</v>
      </c>
      <c r="E1022" s="12">
        <f>54.1177 * CHOOSE( CONTROL!$C$15, $D$11, 100%, $F$11)</f>
        <v>54.117699999999999</v>
      </c>
      <c r="F1022" s="4">
        <f>54.7952 * CHOOSE(CONTROL!$C$15, $D$11, 100%, $F$11)</f>
        <v>54.795200000000001</v>
      </c>
      <c r="G1022" s="8">
        <f>53.1781 * CHOOSE( CONTROL!$C$15, $D$11, 100%, $F$11)</f>
        <v>53.178100000000001</v>
      </c>
      <c r="H1022" s="4">
        <f>54.1154 * CHOOSE(CONTROL!$C$15, $D$11, 100%, $F$11)</f>
        <v>54.115400000000001</v>
      </c>
      <c r="I1022" s="8">
        <f>52.3942 * CHOOSE(CONTROL!$C$15, $D$11, 100%, $F$11)</f>
        <v>52.394199999999998</v>
      </c>
      <c r="J1022" s="4">
        <f>52.274 * CHOOSE(CONTROL!$C$15, $D$11, 100%, $F$11)</f>
        <v>52.274000000000001</v>
      </c>
      <c r="K1022" s="4"/>
      <c r="L1022" s="9">
        <v>31.095300000000002</v>
      </c>
      <c r="M1022" s="9">
        <v>12.063700000000001</v>
      </c>
      <c r="N1022" s="9">
        <v>4.9444999999999997</v>
      </c>
      <c r="O1022" s="9">
        <v>0.37409999999999999</v>
      </c>
      <c r="P1022" s="9">
        <v>1.2183999999999999</v>
      </c>
      <c r="Q1022" s="9">
        <v>19.688099999999999</v>
      </c>
      <c r="R1022" s="9"/>
      <c r="S1022" s="11"/>
    </row>
    <row r="1023" spans="1:19" ht="15.75">
      <c r="A1023" s="13">
        <v>72654</v>
      </c>
      <c r="B1023" s="8">
        <f>58.3502 * CHOOSE(CONTROL!$C$15, $D$11, 100%, $F$11)</f>
        <v>58.350200000000001</v>
      </c>
      <c r="C1023" s="8">
        <f>58.3553 * CHOOSE(CONTROL!$C$15, $D$11, 100%, $F$11)</f>
        <v>58.3553</v>
      </c>
      <c r="D1023" s="8">
        <f>58.3323 * CHOOSE( CONTROL!$C$15, $D$11, 100%, $F$11)</f>
        <v>58.332299999999996</v>
      </c>
      <c r="E1023" s="12">
        <f>58.3402 * CHOOSE( CONTROL!$C$15, $D$11, 100%, $F$11)</f>
        <v>58.340200000000003</v>
      </c>
      <c r="F1023" s="4">
        <f>58.9951 * CHOOSE(CONTROL!$C$15, $D$11, 100%, $F$11)</f>
        <v>58.995100000000001</v>
      </c>
      <c r="G1023" s="8">
        <f>57.3638 * CHOOSE( CONTROL!$C$15, $D$11, 100%, $F$11)</f>
        <v>57.363799999999998</v>
      </c>
      <c r="H1023" s="4">
        <f>58.2456 * CHOOSE(CONTROL!$C$15, $D$11, 100%, $F$11)</f>
        <v>58.245600000000003</v>
      </c>
      <c r="I1023" s="8">
        <f>56.5249 * CHOOSE(CONTROL!$C$15, $D$11, 100%, $F$11)</f>
        <v>56.524900000000002</v>
      </c>
      <c r="J1023" s="4">
        <f>56.378 * CHOOSE(CONTROL!$C$15, $D$11, 100%, $F$11)</f>
        <v>56.378</v>
      </c>
      <c r="K1023" s="4"/>
      <c r="L1023" s="9">
        <v>28.360600000000002</v>
      </c>
      <c r="M1023" s="9">
        <v>11.6745</v>
      </c>
      <c r="N1023" s="9">
        <v>4.7850000000000001</v>
      </c>
      <c r="O1023" s="9">
        <v>0.36199999999999999</v>
      </c>
      <c r="P1023" s="9">
        <v>1.2509999999999999</v>
      </c>
      <c r="Q1023" s="9">
        <v>19.053000000000001</v>
      </c>
      <c r="R1023" s="9"/>
      <c r="S1023" s="11"/>
    </row>
    <row r="1024" spans="1:19" ht="15.75">
      <c r="A1024" s="13">
        <v>72685</v>
      </c>
      <c r="B1024" s="8">
        <f>58.2441 * CHOOSE(CONTROL!$C$15, $D$11, 100%, $F$11)</f>
        <v>58.244100000000003</v>
      </c>
      <c r="C1024" s="8">
        <f>58.2492 * CHOOSE(CONTROL!$C$15, $D$11, 100%, $F$11)</f>
        <v>58.249200000000002</v>
      </c>
      <c r="D1024" s="8">
        <f>58.2276 * CHOOSE( CONTROL!$C$15, $D$11, 100%, $F$11)</f>
        <v>58.227600000000002</v>
      </c>
      <c r="E1024" s="12">
        <f>58.235 * CHOOSE( CONTROL!$C$15, $D$11, 100%, $F$11)</f>
        <v>58.234999999999999</v>
      </c>
      <c r="F1024" s="4">
        <f>58.889 * CHOOSE(CONTROL!$C$15, $D$11, 100%, $F$11)</f>
        <v>58.889000000000003</v>
      </c>
      <c r="G1024" s="8">
        <f>57.2605 * CHOOSE( CONTROL!$C$15, $D$11, 100%, $F$11)</f>
        <v>57.2605</v>
      </c>
      <c r="H1024" s="4">
        <f>58.1413 * CHOOSE(CONTROL!$C$15, $D$11, 100%, $F$11)</f>
        <v>58.141300000000001</v>
      </c>
      <c r="I1024" s="8">
        <f>56.4266 * CHOOSE(CONTROL!$C$15, $D$11, 100%, $F$11)</f>
        <v>56.426600000000001</v>
      </c>
      <c r="J1024" s="4">
        <f>56.2754 * CHOOSE(CONTROL!$C$15, $D$11, 100%, $F$11)</f>
        <v>56.275399999999998</v>
      </c>
      <c r="K1024" s="4"/>
      <c r="L1024" s="9">
        <v>29.306000000000001</v>
      </c>
      <c r="M1024" s="9">
        <v>12.063700000000001</v>
      </c>
      <c r="N1024" s="9">
        <v>4.9444999999999997</v>
      </c>
      <c r="O1024" s="9">
        <v>0.37409999999999999</v>
      </c>
      <c r="P1024" s="9">
        <v>1.2927</v>
      </c>
      <c r="Q1024" s="9">
        <v>19.688099999999999</v>
      </c>
      <c r="R1024" s="9"/>
      <c r="S1024" s="11"/>
    </row>
    <row r="1025" spans="1:19" ht="15.75">
      <c r="A1025" s="13">
        <v>72716</v>
      </c>
      <c r="B1025" s="8">
        <f>60.469 * CHOOSE(CONTROL!$C$15, $D$11, 100%, $F$11)</f>
        <v>60.469000000000001</v>
      </c>
      <c r="C1025" s="8">
        <f>60.4741 * CHOOSE(CONTROL!$C$15, $D$11, 100%, $F$11)</f>
        <v>60.4741</v>
      </c>
      <c r="D1025" s="8">
        <f>60.4483 * CHOOSE( CONTROL!$C$15, $D$11, 100%, $F$11)</f>
        <v>60.448300000000003</v>
      </c>
      <c r="E1025" s="12">
        <f>60.4572 * CHOOSE( CONTROL!$C$15, $D$11, 100%, $F$11)</f>
        <v>60.4572</v>
      </c>
      <c r="F1025" s="4">
        <f>61.1131 * CHOOSE(CONTROL!$C$15, $D$11, 100%, $F$11)</f>
        <v>61.113100000000003</v>
      </c>
      <c r="G1025" s="8">
        <f>59.4422 * CHOOSE( CONTROL!$C$15, $D$11, 100%, $F$11)</f>
        <v>59.4422</v>
      </c>
      <c r="H1025" s="4">
        <f>60.3285 * CHOOSE(CONTROL!$C$15, $D$11, 100%, $F$11)</f>
        <v>60.328499999999998</v>
      </c>
      <c r="I1025" s="8">
        <f>58.5491 * CHOOSE(CONTROL!$C$15, $D$11, 100%, $F$11)</f>
        <v>58.549100000000003</v>
      </c>
      <c r="J1025" s="4">
        <f>58.4262 * CHOOSE(CONTROL!$C$15, $D$11, 100%, $F$11)</f>
        <v>58.426200000000001</v>
      </c>
      <c r="K1025" s="4"/>
      <c r="L1025" s="9">
        <v>29.306000000000001</v>
      </c>
      <c r="M1025" s="9">
        <v>12.063700000000001</v>
      </c>
      <c r="N1025" s="9">
        <v>4.9444999999999997</v>
      </c>
      <c r="O1025" s="9">
        <v>0.37409999999999999</v>
      </c>
      <c r="P1025" s="9">
        <v>1.2927</v>
      </c>
      <c r="Q1025" s="9">
        <v>19.688099999999999</v>
      </c>
      <c r="R1025" s="9"/>
      <c r="S1025" s="11"/>
    </row>
    <row r="1026" spans="1:19" ht="15.75">
      <c r="A1026" s="13">
        <v>72744</v>
      </c>
      <c r="B1026" s="8">
        <f>56.5618 * CHOOSE(CONTROL!$C$15, $D$11, 100%, $F$11)</f>
        <v>56.561799999999998</v>
      </c>
      <c r="C1026" s="8">
        <f>56.5669 * CHOOSE(CONTROL!$C$15, $D$11, 100%, $F$11)</f>
        <v>56.566899999999997</v>
      </c>
      <c r="D1026" s="8">
        <f>56.5413 * CHOOSE( CONTROL!$C$15, $D$11, 100%, $F$11)</f>
        <v>56.5413</v>
      </c>
      <c r="E1026" s="12">
        <f>56.5501 * CHOOSE( CONTROL!$C$15, $D$11, 100%, $F$11)</f>
        <v>56.5501</v>
      </c>
      <c r="F1026" s="4">
        <f>57.2058 * CHOOSE(CONTROL!$C$15, $D$11, 100%, $F$11)</f>
        <v>57.205800000000004</v>
      </c>
      <c r="G1026" s="8">
        <f>55.5999 * CHOOSE( CONTROL!$C$15, $D$11, 100%, $F$11)</f>
        <v>55.599899999999998</v>
      </c>
      <c r="H1026" s="4">
        <f>56.486 * CHOOSE(CONTROL!$C$15, $D$11, 100%, $F$11)</f>
        <v>56.485999999999997</v>
      </c>
      <c r="I1026" s="8">
        <f>54.7708 * CHOOSE(CONTROL!$C$15, $D$11, 100%, $F$11)</f>
        <v>54.770800000000001</v>
      </c>
      <c r="J1026" s="4">
        <f>54.6491 * CHOOSE(CONTROL!$C$15, $D$11, 100%, $F$11)</f>
        <v>54.649099999999997</v>
      </c>
      <c r="K1026" s="4"/>
      <c r="L1026" s="9">
        <v>26.469899999999999</v>
      </c>
      <c r="M1026" s="9">
        <v>10.8962</v>
      </c>
      <c r="N1026" s="9">
        <v>4.4660000000000002</v>
      </c>
      <c r="O1026" s="9">
        <v>0.33789999999999998</v>
      </c>
      <c r="P1026" s="9">
        <v>1.1676</v>
      </c>
      <c r="Q1026" s="9">
        <v>17.782800000000002</v>
      </c>
      <c r="R1026" s="9"/>
      <c r="S1026" s="11"/>
    </row>
    <row r="1027" spans="1:19" ht="15.75">
      <c r="A1027" s="13">
        <v>72775</v>
      </c>
      <c r="B1027" s="8">
        <f>55.3583 * CHOOSE(CONTROL!$C$15, $D$11, 100%, $F$11)</f>
        <v>55.3583</v>
      </c>
      <c r="C1027" s="8">
        <f>55.3635 * CHOOSE(CONTROL!$C$15, $D$11, 100%, $F$11)</f>
        <v>55.363500000000002</v>
      </c>
      <c r="D1027" s="8">
        <f>55.3378 * CHOOSE( CONTROL!$C$15, $D$11, 100%, $F$11)</f>
        <v>55.337800000000001</v>
      </c>
      <c r="E1027" s="12">
        <f>55.3466 * CHOOSE( CONTROL!$C$15, $D$11, 100%, $F$11)</f>
        <v>55.346600000000002</v>
      </c>
      <c r="F1027" s="4">
        <f>56.0024 * CHOOSE(CONTROL!$C$15, $D$11, 100%, $F$11)</f>
        <v>56.002400000000002</v>
      </c>
      <c r="G1027" s="8">
        <f>54.4164 * CHOOSE( CONTROL!$C$15, $D$11, 100%, $F$11)</f>
        <v>54.416400000000003</v>
      </c>
      <c r="H1027" s="4">
        <f>55.3025 * CHOOSE(CONTROL!$C$15, $D$11, 100%, $F$11)</f>
        <v>55.302500000000002</v>
      </c>
      <c r="I1027" s="8">
        <f>53.6066 * CHOOSE(CONTROL!$C$15, $D$11, 100%, $F$11)</f>
        <v>53.6066</v>
      </c>
      <c r="J1027" s="4">
        <f>53.4857 * CHOOSE(CONTROL!$C$15, $D$11, 100%, $F$11)</f>
        <v>53.485700000000001</v>
      </c>
      <c r="K1027" s="4"/>
      <c r="L1027" s="9">
        <v>29.306000000000001</v>
      </c>
      <c r="M1027" s="9">
        <v>12.063700000000001</v>
      </c>
      <c r="N1027" s="9">
        <v>4.9444999999999997</v>
      </c>
      <c r="O1027" s="9">
        <v>0.37409999999999999</v>
      </c>
      <c r="P1027" s="9">
        <v>1.2927</v>
      </c>
      <c r="Q1027" s="9">
        <v>19.688099999999999</v>
      </c>
      <c r="R1027" s="9"/>
      <c r="S1027" s="11"/>
    </row>
    <row r="1028" spans="1:19" ht="15.75">
      <c r="A1028" s="13">
        <v>72805</v>
      </c>
      <c r="B1028" s="8">
        <f>56.2 * CHOOSE(CONTROL!$C$15, $D$11, 100%, $F$11)</f>
        <v>56.2</v>
      </c>
      <c r="C1028" s="8">
        <f>56.2046 * CHOOSE(CONTROL!$C$15, $D$11, 100%, $F$11)</f>
        <v>56.204599999999999</v>
      </c>
      <c r="D1028" s="8">
        <f>56.2156 * CHOOSE( CONTROL!$C$15, $D$11, 100%, $F$11)</f>
        <v>56.215600000000002</v>
      </c>
      <c r="E1028" s="12">
        <f>56.2114 * CHOOSE( CONTROL!$C$15, $D$11, 100%, $F$11)</f>
        <v>56.211399999999998</v>
      </c>
      <c r="F1028" s="4">
        <f>56.8897 * CHOOSE(CONTROL!$C$15, $D$11, 100%, $F$11)</f>
        <v>56.889699999999998</v>
      </c>
      <c r="G1028" s="8">
        <f>55.2362 * CHOOSE( CONTROL!$C$15, $D$11, 100%, $F$11)</f>
        <v>55.236199999999997</v>
      </c>
      <c r="H1028" s="4">
        <f>56.1751 * CHOOSE(CONTROL!$C$15, $D$11, 100%, $F$11)</f>
        <v>56.1751</v>
      </c>
      <c r="I1028" s="8">
        <f>54.415 * CHOOSE(CONTROL!$C$15, $D$11, 100%, $F$11)</f>
        <v>54.414999999999999</v>
      </c>
      <c r="J1028" s="4">
        <f>54.2987 * CHOOSE(CONTROL!$C$15, $D$11, 100%, $F$11)</f>
        <v>54.298699999999997</v>
      </c>
      <c r="K1028" s="4"/>
      <c r="L1028" s="9">
        <v>30.092199999999998</v>
      </c>
      <c r="M1028" s="9">
        <v>11.6745</v>
      </c>
      <c r="N1028" s="9">
        <v>4.7850000000000001</v>
      </c>
      <c r="O1028" s="9">
        <v>0.36199999999999999</v>
      </c>
      <c r="P1028" s="9">
        <v>1.1791</v>
      </c>
      <c r="Q1028" s="9">
        <v>19.053000000000001</v>
      </c>
      <c r="R1028" s="9"/>
      <c r="S1028" s="11"/>
    </row>
    <row r="1029" spans="1:19" ht="15.75">
      <c r="A1029" s="13">
        <v>72836</v>
      </c>
      <c r="B1029" s="8">
        <f>CHOOSE( CONTROL!$C$32, 57.7016, 57.6981) * CHOOSE(CONTROL!$C$15, $D$11, 100%, $F$11)</f>
        <v>57.701599999999999</v>
      </c>
      <c r="C1029" s="8">
        <f>CHOOSE( CONTROL!$C$32, 57.7096, 57.7061) * CHOOSE(CONTROL!$C$15, $D$11, 100%, $F$11)</f>
        <v>57.709600000000002</v>
      </c>
      <c r="D1029" s="8">
        <f>CHOOSE( CONTROL!$C$32, 57.7156, 57.7121) * CHOOSE( CONTROL!$C$15, $D$11, 100%, $F$11)</f>
        <v>57.715600000000002</v>
      </c>
      <c r="E1029" s="12">
        <f>CHOOSE( CONTROL!$C$32, 57.7122, 57.7087) * CHOOSE( CONTROL!$C$15, $D$11, 100%, $F$11)</f>
        <v>57.712200000000003</v>
      </c>
      <c r="F1029" s="4">
        <f>CHOOSE( CONTROL!$C$32, 58.3899, 58.3863) * CHOOSE(CONTROL!$C$15, $D$11, 100%, $F$11)</f>
        <v>58.389899999999997</v>
      </c>
      <c r="G1029" s="8">
        <f>CHOOSE( CONTROL!$C$32, 56.7126, 56.7091) * CHOOSE( CONTROL!$C$15, $D$11, 100%, $F$11)</f>
        <v>56.712600000000002</v>
      </c>
      <c r="H1029" s="4">
        <f>CHOOSE( CONTROL!$C$32, 57.6504, 57.6469) * CHOOSE(CONTROL!$C$15, $D$11, 100%, $F$11)</f>
        <v>57.650399999999998</v>
      </c>
      <c r="I1029" s="8">
        <f>CHOOSE( CONTROL!$C$32, 55.8669, 55.8634) * CHOOSE(CONTROL!$C$15, $D$11, 100%, $F$11)</f>
        <v>55.866900000000001</v>
      </c>
      <c r="J1029" s="4">
        <f>CHOOSE( CONTROL!$C$32, 55.7489, 55.7455) * CHOOSE(CONTROL!$C$15, $D$11, 100%, $F$11)</f>
        <v>55.748899999999999</v>
      </c>
      <c r="K1029" s="4"/>
      <c r="L1029" s="9">
        <v>30.7165</v>
      </c>
      <c r="M1029" s="9">
        <v>12.063700000000001</v>
      </c>
      <c r="N1029" s="9">
        <v>4.9444999999999997</v>
      </c>
      <c r="O1029" s="9">
        <v>0.37409999999999999</v>
      </c>
      <c r="P1029" s="9">
        <v>1.2183999999999999</v>
      </c>
      <c r="Q1029" s="9">
        <v>19.688099999999999</v>
      </c>
      <c r="R1029" s="9"/>
      <c r="S1029" s="11"/>
    </row>
    <row r="1030" spans="1:19" ht="15.75">
      <c r="A1030" s="13">
        <v>72866</v>
      </c>
      <c r="B1030" s="8">
        <f>CHOOSE( CONTROL!$C$32, 56.7745, 56.7709) * CHOOSE(CONTROL!$C$15, $D$11, 100%, $F$11)</f>
        <v>56.774500000000003</v>
      </c>
      <c r="C1030" s="8">
        <f>CHOOSE( CONTROL!$C$32, 56.7825, 56.7789) * CHOOSE(CONTROL!$C$15, $D$11, 100%, $F$11)</f>
        <v>56.782499999999999</v>
      </c>
      <c r="D1030" s="8">
        <f>CHOOSE( CONTROL!$C$32, 56.7888, 56.7852) * CHOOSE( CONTROL!$C$15, $D$11, 100%, $F$11)</f>
        <v>56.788800000000002</v>
      </c>
      <c r="E1030" s="12">
        <f>CHOOSE( CONTROL!$C$32, 56.7853, 56.7817) * CHOOSE( CONTROL!$C$15, $D$11, 100%, $F$11)</f>
        <v>56.785299999999999</v>
      </c>
      <c r="F1030" s="4">
        <f>CHOOSE( CONTROL!$C$32, 57.4628, 57.4592) * CHOOSE(CONTROL!$C$15, $D$11, 100%, $F$11)</f>
        <v>57.462800000000001</v>
      </c>
      <c r="G1030" s="8">
        <f>CHOOSE( CONTROL!$C$32, 55.8012, 55.7977) * CHOOSE( CONTROL!$C$15, $D$11, 100%, $F$11)</f>
        <v>55.801200000000001</v>
      </c>
      <c r="H1030" s="4">
        <f>CHOOSE( CONTROL!$C$32, 56.7387, 56.7352) * CHOOSE(CONTROL!$C$15, $D$11, 100%, $F$11)</f>
        <v>56.738700000000001</v>
      </c>
      <c r="I1030" s="8">
        <f>CHOOSE( CONTROL!$C$32, 54.9715, 54.968) * CHOOSE(CONTROL!$C$15, $D$11, 100%, $F$11)</f>
        <v>54.971499999999999</v>
      </c>
      <c r="J1030" s="4">
        <f>CHOOSE( CONTROL!$C$32, 54.8527, 54.8492) * CHOOSE(CONTROL!$C$15, $D$11, 100%, $F$11)</f>
        <v>54.852699999999999</v>
      </c>
      <c r="K1030" s="4"/>
      <c r="L1030" s="9">
        <v>29.7257</v>
      </c>
      <c r="M1030" s="9">
        <v>11.6745</v>
      </c>
      <c r="N1030" s="9">
        <v>4.7850000000000001</v>
      </c>
      <c r="O1030" s="9">
        <v>0.36199999999999999</v>
      </c>
      <c r="P1030" s="9">
        <v>1.1791</v>
      </c>
      <c r="Q1030" s="9">
        <v>19.053000000000001</v>
      </c>
      <c r="R1030" s="9"/>
      <c r="S1030" s="11"/>
    </row>
    <row r="1031" spans="1:19" ht="15.75">
      <c r="A1031" s="13">
        <v>72897</v>
      </c>
      <c r="B1031" s="8">
        <f>CHOOSE( CONTROL!$C$32, 59.216, 59.2124) * CHOOSE(CONTROL!$C$15, $D$11, 100%, $F$11)</f>
        <v>59.216000000000001</v>
      </c>
      <c r="C1031" s="8">
        <f>CHOOSE( CONTROL!$C$32, 59.224, 59.2204) * CHOOSE(CONTROL!$C$15, $D$11, 100%, $F$11)</f>
        <v>59.223999999999997</v>
      </c>
      <c r="D1031" s="8">
        <f>CHOOSE( CONTROL!$C$32, 59.2306, 59.227) * CHOOSE( CONTROL!$C$15, $D$11, 100%, $F$11)</f>
        <v>59.230600000000003</v>
      </c>
      <c r="E1031" s="12">
        <f>CHOOSE( CONTROL!$C$32, 59.227, 59.2234) * CHOOSE( CONTROL!$C$15, $D$11, 100%, $F$11)</f>
        <v>59.226999999999997</v>
      </c>
      <c r="F1031" s="4">
        <f>CHOOSE( CONTROL!$C$32, 59.9042, 59.9007) * CHOOSE(CONTROL!$C$15, $D$11, 100%, $F$11)</f>
        <v>59.904200000000003</v>
      </c>
      <c r="G1031" s="8">
        <f>CHOOSE( CONTROL!$C$32, 58.2027, 58.1992) * CHOOSE( CONTROL!$C$15, $D$11, 100%, $F$11)</f>
        <v>58.2027</v>
      </c>
      <c r="H1031" s="4">
        <f>CHOOSE( CONTROL!$C$32, 59.1397, 59.1362) * CHOOSE(CONTROL!$C$15, $D$11, 100%, $F$11)</f>
        <v>59.139699999999998</v>
      </c>
      <c r="I1031" s="8">
        <f>CHOOSE( CONTROL!$C$32, 57.3343, 57.3309) * CHOOSE(CONTROL!$C$15, $D$11, 100%, $F$11)</f>
        <v>57.334299999999999</v>
      </c>
      <c r="J1031" s="4">
        <f>CHOOSE( CONTROL!$C$32, 57.2128, 57.2094) * CHOOSE(CONTROL!$C$15, $D$11, 100%, $F$11)</f>
        <v>57.212800000000001</v>
      </c>
      <c r="K1031" s="4"/>
      <c r="L1031" s="9">
        <v>30.7165</v>
      </c>
      <c r="M1031" s="9">
        <v>12.063700000000001</v>
      </c>
      <c r="N1031" s="9">
        <v>4.9444999999999997</v>
      </c>
      <c r="O1031" s="9">
        <v>0.37409999999999999</v>
      </c>
      <c r="P1031" s="9">
        <v>1.2183999999999999</v>
      </c>
      <c r="Q1031" s="9">
        <v>19.688099999999999</v>
      </c>
      <c r="R1031" s="9"/>
      <c r="S1031" s="11"/>
    </row>
    <row r="1032" spans="1:19" ht="15.75">
      <c r="A1032" s="13">
        <v>72928</v>
      </c>
      <c r="B1032" s="8">
        <f>CHOOSE( CONTROL!$C$32, 54.6477, 54.6441) * CHOOSE(CONTROL!$C$15, $D$11, 100%, $F$11)</f>
        <v>54.6477</v>
      </c>
      <c r="C1032" s="8">
        <f>CHOOSE( CONTROL!$C$32, 54.6557, 54.6522) * CHOOSE(CONTROL!$C$15, $D$11, 100%, $F$11)</f>
        <v>54.655700000000003</v>
      </c>
      <c r="D1032" s="8">
        <f>CHOOSE( CONTROL!$C$32, 54.6624, 54.6588) * CHOOSE( CONTROL!$C$15, $D$11, 100%, $F$11)</f>
        <v>54.662399999999998</v>
      </c>
      <c r="E1032" s="12">
        <f>CHOOSE( CONTROL!$C$32, 54.6588, 54.6552) * CHOOSE( CONTROL!$C$15, $D$11, 100%, $F$11)</f>
        <v>54.658799999999999</v>
      </c>
      <c r="F1032" s="4">
        <f>CHOOSE( CONTROL!$C$32, 55.336, 55.3324) * CHOOSE(CONTROL!$C$15, $D$11, 100%, $F$11)</f>
        <v>55.335999999999999</v>
      </c>
      <c r="G1032" s="8">
        <f>CHOOSE( CONTROL!$C$32, 53.7103, 53.7068) * CHOOSE( CONTROL!$C$15, $D$11, 100%, $F$11)</f>
        <v>53.710299999999997</v>
      </c>
      <c r="H1032" s="4">
        <f>CHOOSE( CONTROL!$C$32, 54.6472, 54.6437) * CHOOSE(CONTROL!$C$15, $D$11, 100%, $F$11)</f>
        <v>54.647199999999998</v>
      </c>
      <c r="I1032" s="8">
        <f>CHOOSE( CONTROL!$C$32, 52.9164, 52.913) * CHOOSE(CONTROL!$C$15, $D$11, 100%, $F$11)</f>
        <v>52.916400000000003</v>
      </c>
      <c r="J1032" s="4">
        <f>CHOOSE( CONTROL!$C$32, 52.7967, 52.7933) * CHOOSE(CONTROL!$C$15, $D$11, 100%, $F$11)</f>
        <v>52.796700000000001</v>
      </c>
      <c r="K1032" s="4"/>
      <c r="L1032" s="9">
        <v>30.7165</v>
      </c>
      <c r="M1032" s="9">
        <v>12.063700000000001</v>
      </c>
      <c r="N1032" s="9">
        <v>4.9444999999999997</v>
      </c>
      <c r="O1032" s="9">
        <v>0.37409999999999999</v>
      </c>
      <c r="P1032" s="9">
        <v>1.2183999999999999</v>
      </c>
      <c r="Q1032" s="9">
        <v>19.688099999999999</v>
      </c>
      <c r="R1032" s="9"/>
      <c r="S1032" s="11"/>
    </row>
    <row r="1033" spans="1:19" ht="15.75">
      <c r="A1033" s="13">
        <v>72958</v>
      </c>
      <c r="B1033" s="8">
        <f>CHOOSE( CONTROL!$C$32, 53.5038, 53.5002) * CHOOSE(CONTROL!$C$15, $D$11, 100%, $F$11)</f>
        <v>53.503799999999998</v>
      </c>
      <c r="C1033" s="8">
        <f>CHOOSE( CONTROL!$C$32, 53.5118, 53.5082) * CHOOSE(CONTROL!$C$15, $D$11, 100%, $F$11)</f>
        <v>53.511800000000001</v>
      </c>
      <c r="D1033" s="8">
        <f>CHOOSE( CONTROL!$C$32, 53.5185, 53.5149) * CHOOSE( CONTROL!$C$15, $D$11, 100%, $F$11)</f>
        <v>53.518500000000003</v>
      </c>
      <c r="E1033" s="12">
        <f>CHOOSE( CONTROL!$C$32, 53.5149, 53.5113) * CHOOSE( CONTROL!$C$15, $D$11, 100%, $F$11)</f>
        <v>53.514899999999997</v>
      </c>
      <c r="F1033" s="4">
        <f>CHOOSE( CONTROL!$C$32, 54.192, 54.1885) * CHOOSE(CONTROL!$C$15, $D$11, 100%, $F$11)</f>
        <v>54.192</v>
      </c>
      <c r="G1033" s="8">
        <f>CHOOSE( CONTROL!$C$32, 52.5853, 52.5818) * CHOOSE( CONTROL!$C$15, $D$11, 100%, $F$11)</f>
        <v>52.585299999999997</v>
      </c>
      <c r="H1033" s="4">
        <f>CHOOSE( CONTROL!$C$32, 53.5222, 53.5187) * CHOOSE(CONTROL!$C$15, $D$11, 100%, $F$11)</f>
        <v>53.522199999999998</v>
      </c>
      <c r="I1033" s="8">
        <f>CHOOSE( CONTROL!$C$32, 51.81, 51.8066) * CHOOSE(CONTROL!$C$15, $D$11, 100%, $F$11)</f>
        <v>51.81</v>
      </c>
      <c r="J1033" s="4">
        <f>CHOOSE( CONTROL!$C$32, 51.6908, 51.6874) * CHOOSE(CONTROL!$C$15, $D$11, 100%, $F$11)</f>
        <v>51.690800000000003</v>
      </c>
      <c r="K1033" s="4"/>
      <c r="L1033" s="9">
        <v>29.7257</v>
      </c>
      <c r="M1033" s="9">
        <v>11.6745</v>
      </c>
      <c r="N1033" s="9">
        <v>4.7850000000000001</v>
      </c>
      <c r="O1033" s="9">
        <v>0.36199999999999999</v>
      </c>
      <c r="P1033" s="9">
        <v>1.1791</v>
      </c>
      <c r="Q1033" s="9">
        <v>19.053000000000001</v>
      </c>
      <c r="R1033" s="9"/>
      <c r="S1033" s="11"/>
    </row>
    <row r="1034" spans="1:19" ht="15.75">
      <c r="A1034" s="13">
        <v>72989</v>
      </c>
      <c r="B1034" s="8">
        <f>55.8737 * CHOOSE(CONTROL!$C$15, $D$11, 100%, $F$11)</f>
        <v>55.873699999999999</v>
      </c>
      <c r="C1034" s="8">
        <f>55.8791 * CHOOSE(CONTROL!$C$15, $D$11, 100%, $F$11)</f>
        <v>55.879100000000001</v>
      </c>
      <c r="D1034" s="8">
        <f>55.8906 * CHOOSE( CONTROL!$C$15, $D$11, 100%, $F$11)</f>
        <v>55.890599999999999</v>
      </c>
      <c r="E1034" s="12">
        <f>55.8862 * CHOOSE( CONTROL!$C$15, $D$11, 100%, $F$11)</f>
        <v>55.886200000000002</v>
      </c>
      <c r="F1034" s="4">
        <f>56.5637 * CHOOSE(CONTROL!$C$15, $D$11, 100%, $F$11)</f>
        <v>56.563699999999997</v>
      </c>
      <c r="G1034" s="8">
        <f>54.9172 * CHOOSE( CONTROL!$C$15, $D$11, 100%, $F$11)</f>
        <v>54.917200000000001</v>
      </c>
      <c r="H1034" s="4">
        <f>55.8545 * CHOOSE(CONTROL!$C$15, $D$11, 100%, $F$11)</f>
        <v>55.854500000000002</v>
      </c>
      <c r="I1034" s="8">
        <f>54.1046 * CHOOSE(CONTROL!$C$15, $D$11, 100%, $F$11)</f>
        <v>54.104599999999998</v>
      </c>
      <c r="J1034" s="4">
        <f>53.9835 * CHOOSE(CONTROL!$C$15, $D$11, 100%, $F$11)</f>
        <v>53.983499999999999</v>
      </c>
      <c r="K1034" s="4"/>
      <c r="L1034" s="9">
        <v>31.095300000000002</v>
      </c>
      <c r="M1034" s="9">
        <v>12.063700000000001</v>
      </c>
      <c r="N1034" s="9">
        <v>4.9444999999999997</v>
      </c>
      <c r="O1034" s="9">
        <v>0.37409999999999999</v>
      </c>
      <c r="P1034" s="9">
        <v>1.2183999999999999</v>
      </c>
      <c r="Q1034" s="9">
        <v>19.688099999999999</v>
      </c>
      <c r="R1034" s="9"/>
      <c r="S1034" s="11"/>
    </row>
    <row r="1035" spans="1:19" ht="15.75">
      <c r="A1035" s="13">
        <v>73019</v>
      </c>
      <c r="B1035" s="8">
        <f>60.2575 * CHOOSE(CONTROL!$C$15, $D$11, 100%, $F$11)</f>
        <v>60.2575</v>
      </c>
      <c r="C1035" s="8">
        <f>60.2626 * CHOOSE(CONTROL!$C$15, $D$11, 100%, $F$11)</f>
        <v>60.262599999999999</v>
      </c>
      <c r="D1035" s="8">
        <f>60.2396 * CHOOSE( CONTROL!$C$15, $D$11, 100%, $F$11)</f>
        <v>60.239600000000003</v>
      </c>
      <c r="E1035" s="12">
        <f>60.2475 * CHOOSE( CONTROL!$C$15, $D$11, 100%, $F$11)</f>
        <v>60.247500000000002</v>
      </c>
      <c r="F1035" s="4">
        <f>60.9024 * CHOOSE(CONTROL!$C$15, $D$11, 100%, $F$11)</f>
        <v>60.9024</v>
      </c>
      <c r="G1035" s="8">
        <f>59.2395 * CHOOSE( CONTROL!$C$15, $D$11, 100%, $F$11)</f>
        <v>59.2395</v>
      </c>
      <c r="H1035" s="4">
        <f>60.1213 * CHOOSE(CONTROL!$C$15, $D$11, 100%, $F$11)</f>
        <v>60.121299999999998</v>
      </c>
      <c r="I1035" s="8">
        <f>58.3696 * CHOOSE(CONTROL!$C$15, $D$11, 100%, $F$11)</f>
        <v>58.369599999999998</v>
      </c>
      <c r="J1035" s="4">
        <f>58.2217 * CHOOSE(CONTROL!$C$15, $D$11, 100%, $F$11)</f>
        <v>58.221699999999998</v>
      </c>
      <c r="K1035" s="4"/>
      <c r="L1035" s="9">
        <v>28.360600000000002</v>
      </c>
      <c r="M1035" s="9">
        <v>11.6745</v>
      </c>
      <c r="N1035" s="9">
        <v>4.7850000000000001</v>
      </c>
      <c r="O1035" s="9">
        <v>0.36199999999999999</v>
      </c>
      <c r="P1035" s="9">
        <v>1.2509999999999999</v>
      </c>
      <c r="Q1035" s="9">
        <v>19.053000000000001</v>
      </c>
      <c r="R1035" s="9"/>
      <c r="S1035" s="11"/>
    </row>
    <row r="1036" spans="1:19" ht="15.75">
      <c r="A1036" s="13">
        <v>73050</v>
      </c>
      <c r="B1036" s="8">
        <f>60.1479 * CHOOSE(CONTROL!$C$15, $D$11, 100%, $F$11)</f>
        <v>60.1479</v>
      </c>
      <c r="C1036" s="8">
        <f>60.1531 * CHOOSE(CONTROL!$C$15, $D$11, 100%, $F$11)</f>
        <v>60.153100000000002</v>
      </c>
      <c r="D1036" s="8">
        <f>60.1314 * CHOOSE( CONTROL!$C$15, $D$11, 100%, $F$11)</f>
        <v>60.131399999999999</v>
      </c>
      <c r="E1036" s="12">
        <f>60.1388 * CHOOSE( CONTROL!$C$15, $D$11, 100%, $F$11)</f>
        <v>60.138800000000003</v>
      </c>
      <c r="F1036" s="4">
        <f>60.7928 * CHOOSE(CONTROL!$C$15, $D$11, 100%, $F$11)</f>
        <v>60.7928</v>
      </c>
      <c r="G1036" s="8">
        <f>59.1327 * CHOOSE( CONTROL!$C$15, $D$11, 100%, $F$11)</f>
        <v>59.1327</v>
      </c>
      <c r="H1036" s="4">
        <f>60.0135 * CHOOSE(CONTROL!$C$15, $D$11, 100%, $F$11)</f>
        <v>60.013500000000001</v>
      </c>
      <c r="I1036" s="8">
        <f>58.268 * CHOOSE(CONTROL!$C$15, $D$11, 100%, $F$11)</f>
        <v>58.268000000000001</v>
      </c>
      <c r="J1036" s="4">
        <f>58.1158 * CHOOSE(CONTROL!$C$15, $D$11, 100%, $F$11)</f>
        <v>58.1158</v>
      </c>
      <c r="K1036" s="4"/>
      <c r="L1036" s="9">
        <v>29.306000000000001</v>
      </c>
      <c r="M1036" s="9">
        <v>12.063700000000001</v>
      </c>
      <c r="N1036" s="9">
        <v>4.9444999999999997</v>
      </c>
      <c r="O1036" s="9">
        <v>0.37409999999999999</v>
      </c>
      <c r="P1036" s="9">
        <v>1.2927</v>
      </c>
      <c r="Q1036" s="9">
        <v>19.688099999999999</v>
      </c>
      <c r="R1036" s="9"/>
      <c r="S1036" s="11"/>
    </row>
    <row r="1037" spans="1:19" ht="15.75">
      <c r="A1037" s="13">
        <v>73081</v>
      </c>
      <c r="B1037" s="8">
        <f>62.4456 * CHOOSE(CONTROL!$C$15, $D$11, 100%, $F$11)</f>
        <v>62.445599999999999</v>
      </c>
      <c r="C1037" s="8">
        <f>62.4507 * CHOOSE(CONTROL!$C$15, $D$11, 100%, $F$11)</f>
        <v>62.450699999999998</v>
      </c>
      <c r="D1037" s="8">
        <f>62.4249 * CHOOSE( CONTROL!$C$15, $D$11, 100%, $F$11)</f>
        <v>62.424900000000001</v>
      </c>
      <c r="E1037" s="12">
        <f>62.4338 * CHOOSE( CONTROL!$C$15, $D$11, 100%, $F$11)</f>
        <v>62.433799999999998</v>
      </c>
      <c r="F1037" s="4">
        <f>63.0896 * CHOOSE(CONTROL!$C$15, $D$11, 100%, $F$11)</f>
        <v>63.089599999999997</v>
      </c>
      <c r="G1037" s="8">
        <f>61.386 * CHOOSE( CONTROL!$C$15, $D$11, 100%, $F$11)</f>
        <v>61.386000000000003</v>
      </c>
      <c r="H1037" s="4">
        <f>62.2723 * CHOOSE(CONTROL!$C$15, $D$11, 100%, $F$11)</f>
        <v>62.272300000000001</v>
      </c>
      <c r="I1037" s="8">
        <f>60.4608 * CHOOSE(CONTROL!$C$15, $D$11, 100%, $F$11)</f>
        <v>60.460799999999999</v>
      </c>
      <c r="J1037" s="4">
        <f>60.337 * CHOOSE(CONTROL!$C$15, $D$11, 100%, $F$11)</f>
        <v>60.337000000000003</v>
      </c>
      <c r="K1037" s="4"/>
      <c r="L1037" s="9">
        <v>29.306000000000001</v>
      </c>
      <c r="M1037" s="9">
        <v>12.063700000000001</v>
      </c>
      <c r="N1037" s="9">
        <v>4.9444999999999997</v>
      </c>
      <c r="O1037" s="9">
        <v>0.37409999999999999</v>
      </c>
      <c r="P1037" s="9">
        <v>1.2927</v>
      </c>
      <c r="Q1037" s="9">
        <v>19.688099999999999</v>
      </c>
      <c r="R1037" s="9"/>
      <c r="S1037" s="11"/>
    </row>
    <row r="1038" spans="1:19" ht="15.75">
      <c r="A1038" s="13">
        <v>73109</v>
      </c>
      <c r="B1038" s="8">
        <f>58.4106 * CHOOSE(CONTROL!$C$15, $D$11, 100%, $F$11)</f>
        <v>58.410600000000002</v>
      </c>
      <c r="C1038" s="8">
        <f>58.4157 * CHOOSE(CONTROL!$C$15, $D$11, 100%, $F$11)</f>
        <v>58.415700000000001</v>
      </c>
      <c r="D1038" s="8">
        <f>58.3901 * CHOOSE( CONTROL!$C$15, $D$11, 100%, $F$11)</f>
        <v>58.390099999999997</v>
      </c>
      <c r="E1038" s="12">
        <f>58.3989 * CHOOSE( CONTROL!$C$15, $D$11, 100%, $F$11)</f>
        <v>58.398899999999998</v>
      </c>
      <c r="F1038" s="4">
        <f>59.0546 * CHOOSE(CONTROL!$C$15, $D$11, 100%, $F$11)</f>
        <v>59.054600000000001</v>
      </c>
      <c r="G1038" s="8">
        <f>57.418 * CHOOSE( CONTROL!$C$15, $D$11, 100%, $F$11)</f>
        <v>57.417999999999999</v>
      </c>
      <c r="H1038" s="4">
        <f>58.3041 * CHOOSE(CONTROL!$C$15, $D$11, 100%, $F$11)</f>
        <v>58.304099999999998</v>
      </c>
      <c r="I1038" s="8">
        <f>56.5589 * CHOOSE(CONTROL!$C$15, $D$11, 100%, $F$11)</f>
        <v>56.558900000000001</v>
      </c>
      <c r="J1038" s="4">
        <f>56.4363 * CHOOSE(CONTROL!$C$15, $D$11, 100%, $F$11)</f>
        <v>56.436300000000003</v>
      </c>
      <c r="K1038" s="4"/>
      <c r="L1038" s="9">
        <v>26.469899999999999</v>
      </c>
      <c r="M1038" s="9">
        <v>10.8962</v>
      </c>
      <c r="N1038" s="9">
        <v>4.4660000000000002</v>
      </c>
      <c r="O1038" s="9">
        <v>0.33789999999999998</v>
      </c>
      <c r="P1038" s="9">
        <v>1.1676</v>
      </c>
      <c r="Q1038" s="9">
        <v>17.782800000000002</v>
      </c>
      <c r="R1038" s="9"/>
      <c r="S1038" s="11"/>
    </row>
    <row r="1039" spans="1:19" ht="15.75">
      <c r="A1039" s="13">
        <v>73140</v>
      </c>
      <c r="B1039" s="8">
        <f>57.1678 * CHOOSE(CONTROL!$C$15, $D$11, 100%, $F$11)</f>
        <v>57.1678</v>
      </c>
      <c r="C1039" s="8">
        <f>57.1729 * CHOOSE(CONTROL!$C$15, $D$11, 100%, $F$11)</f>
        <v>57.172899999999998</v>
      </c>
      <c r="D1039" s="8">
        <f>57.1472 * CHOOSE( CONTROL!$C$15, $D$11, 100%, $F$11)</f>
        <v>57.147199999999998</v>
      </c>
      <c r="E1039" s="12">
        <f>57.1561 * CHOOSE( CONTROL!$C$15, $D$11, 100%, $F$11)</f>
        <v>57.156100000000002</v>
      </c>
      <c r="F1039" s="4">
        <f>57.8118 * CHOOSE(CONTROL!$C$15, $D$11, 100%, $F$11)</f>
        <v>57.811799999999998</v>
      </c>
      <c r="G1039" s="8">
        <f>56.1958 * CHOOSE( CONTROL!$C$15, $D$11, 100%, $F$11)</f>
        <v>56.195799999999998</v>
      </c>
      <c r="H1039" s="4">
        <f>57.0819 * CHOOSE(CONTROL!$C$15, $D$11, 100%, $F$11)</f>
        <v>57.081899999999997</v>
      </c>
      <c r="I1039" s="8">
        <f>55.3567 * CHOOSE(CONTROL!$C$15, $D$11, 100%, $F$11)</f>
        <v>55.356699999999996</v>
      </c>
      <c r="J1039" s="4">
        <f>55.2349 * CHOOSE(CONTROL!$C$15, $D$11, 100%, $F$11)</f>
        <v>55.234900000000003</v>
      </c>
      <c r="K1039" s="4"/>
      <c r="L1039" s="9">
        <v>29.306000000000001</v>
      </c>
      <c r="M1039" s="9">
        <v>12.063700000000001</v>
      </c>
      <c r="N1039" s="9">
        <v>4.9444999999999997</v>
      </c>
      <c r="O1039" s="9">
        <v>0.37409999999999999</v>
      </c>
      <c r="P1039" s="9">
        <v>1.2927</v>
      </c>
      <c r="Q1039" s="9">
        <v>19.688099999999999</v>
      </c>
      <c r="R1039" s="9"/>
      <c r="S1039" s="11"/>
    </row>
    <row r="1040" spans="1:19" ht="15.75">
      <c r="A1040" s="13">
        <v>73170</v>
      </c>
      <c r="B1040" s="8">
        <f>58.037 * CHOOSE(CONTROL!$C$15, $D$11, 100%, $F$11)</f>
        <v>58.036999999999999</v>
      </c>
      <c r="C1040" s="8">
        <f>58.0415 * CHOOSE(CONTROL!$C$15, $D$11, 100%, $F$11)</f>
        <v>58.041499999999999</v>
      </c>
      <c r="D1040" s="8">
        <f>58.0525 * CHOOSE( CONTROL!$C$15, $D$11, 100%, $F$11)</f>
        <v>58.052500000000002</v>
      </c>
      <c r="E1040" s="12">
        <f>58.0484 * CHOOSE( CONTROL!$C$15, $D$11, 100%, $F$11)</f>
        <v>58.048400000000001</v>
      </c>
      <c r="F1040" s="4">
        <f>58.7266 * CHOOSE(CONTROL!$C$15, $D$11, 100%, $F$11)</f>
        <v>58.726599999999998</v>
      </c>
      <c r="G1040" s="8">
        <f>57.0427 * CHOOSE( CONTROL!$C$15, $D$11, 100%, $F$11)</f>
        <v>57.042700000000004</v>
      </c>
      <c r="H1040" s="4">
        <f>57.9816 * CHOOSE(CONTROL!$C$15, $D$11, 100%, $F$11)</f>
        <v>57.9816</v>
      </c>
      <c r="I1040" s="8">
        <f>56.1917 * CHOOSE(CONTROL!$C$15, $D$11, 100%, $F$11)</f>
        <v>56.191699999999997</v>
      </c>
      <c r="J1040" s="4">
        <f>56.0744 * CHOOSE(CONTROL!$C$15, $D$11, 100%, $F$11)</f>
        <v>56.074399999999997</v>
      </c>
      <c r="K1040" s="4"/>
      <c r="L1040" s="9">
        <v>30.092199999999998</v>
      </c>
      <c r="M1040" s="9">
        <v>11.6745</v>
      </c>
      <c r="N1040" s="9">
        <v>4.7850000000000001</v>
      </c>
      <c r="O1040" s="9">
        <v>0.36199999999999999</v>
      </c>
      <c r="P1040" s="9">
        <v>1.1791</v>
      </c>
      <c r="Q1040" s="9">
        <v>19.053000000000001</v>
      </c>
      <c r="R1040" s="9"/>
      <c r="S1040" s="11"/>
    </row>
    <row r="1041" spans="1:19" ht="15.75">
      <c r="A1041" s="13">
        <v>73201</v>
      </c>
      <c r="B1041" s="8">
        <f>CHOOSE( CONTROL!$C$32, 59.5875, 59.5839) * CHOOSE(CONTROL!$C$15, $D$11, 100%, $F$11)</f>
        <v>59.587499999999999</v>
      </c>
      <c r="C1041" s="8">
        <f>CHOOSE( CONTROL!$C$32, 59.5955, 59.592) * CHOOSE(CONTROL!$C$15, $D$11, 100%, $F$11)</f>
        <v>59.595500000000001</v>
      </c>
      <c r="D1041" s="8">
        <f>CHOOSE( CONTROL!$C$32, 59.6015, 59.598) * CHOOSE( CONTROL!$C$15, $D$11, 100%, $F$11)</f>
        <v>59.601500000000001</v>
      </c>
      <c r="E1041" s="12">
        <f>CHOOSE( CONTROL!$C$32, 59.5981, 59.5946) * CHOOSE( CONTROL!$C$15, $D$11, 100%, $F$11)</f>
        <v>59.598100000000002</v>
      </c>
      <c r="F1041" s="4">
        <f>CHOOSE( CONTROL!$C$32, 60.2758, 60.2722) * CHOOSE(CONTROL!$C$15, $D$11, 100%, $F$11)</f>
        <v>60.275799999999997</v>
      </c>
      <c r="G1041" s="8">
        <f>CHOOSE( CONTROL!$C$32, 58.5672, 58.5637) * CHOOSE( CONTROL!$C$15, $D$11, 100%, $F$11)</f>
        <v>58.5672</v>
      </c>
      <c r="H1041" s="4">
        <f>CHOOSE( CONTROL!$C$32, 59.5051, 59.5015) * CHOOSE(CONTROL!$C$15, $D$11, 100%, $F$11)</f>
        <v>59.505099999999999</v>
      </c>
      <c r="I1041" s="8">
        <f>CHOOSE( CONTROL!$C$32, 57.6909, 57.6874) * CHOOSE(CONTROL!$C$15, $D$11, 100%, $F$11)</f>
        <v>57.690899999999999</v>
      </c>
      <c r="J1041" s="4">
        <f>CHOOSE( CONTROL!$C$32, 57.572, 57.5686) * CHOOSE(CONTROL!$C$15, $D$11, 100%, $F$11)</f>
        <v>57.572000000000003</v>
      </c>
      <c r="K1041" s="4"/>
      <c r="L1041" s="9">
        <v>30.7165</v>
      </c>
      <c r="M1041" s="9">
        <v>12.063700000000001</v>
      </c>
      <c r="N1041" s="9">
        <v>4.9444999999999997</v>
      </c>
      <c r="O1041" s="9">
        <v>0.37409999999999999</v>
      </c>
      <c r="P1041" s="9">
        <v>1.2183999999999999</v>
      </c>
      <c r="Q1041" s="9">
        <v>19.688099999999999</v>
      </c>
      <c r="R1041" s="9"/>
      <c r="S1041" s="11"/>
    </row>
    <row r="1042" spans="1:19" ht="15.75">
      <c r="A1042" s="13">
        <v>73231</v>
      </c>
      <c r="B1042" s="8">
        <f>CHOOSE( CONTROL!$C$32, 58.6301, 58.6265) * CHOOSE(CONTROL!$C$15, $D$11, 100%, $F$11)</f>
        <v>58.630099999999999</v>
      </c>
      <c r="C1042" s="8">
        <f>CHOOSE( CONTROL!$C$32, 58.6381, 58.6345) * CHOOSE(CONTROL!$C$15, $D$11, 100%, $F$11)</f>
        <v>58.638100000000001</v>
      </c>
      <c r="D1042" s="8">
        <f>CHOOSE( CONTROL!$C$32, 58.6444, 58.6408) * CHOOSE( CONTROL!$C$15, $D$11, 100%, $F$11)</f>
        <v>58.644399999999997</v>
      </c>
      <c r="E1042" s="12">
        <f>CHOOSE( CONTROL!$C$32, 58.6409, 58.6373) * CHOOSE( CONTROL!$C$15, $D$11, 100%, $F$11)</f>
        <v>58.640900000000002</v>
      </c>
      <c r="F1042" s="4">
        <f>CHOOSE( CONTROL!$C$32, 59.3183, 59.3148) * CHOOSE(CONTROL!$C$15, $D$11, 100%, $F$11)</f>
        <v>59.318300000000001</v>
      </c>
      <c r="G1042" s="8">
        <f>CHOOSE( CONTROL!$C$32, 57.626, 57.6225) * CHOOSE( CONTROL!$C$15, $D$11, 100%, $F$11)</f>
        <v>57.625999999999998</v>
      </c>
      <c r="H1042" s="4">
        <f>CHOOSE( CONTROL!$C$32, 58.5635, 58.56) * CHOOSE(CONTROL!$C$15, $D$11, 100%, $F$11)</f>
        <v>58.563499999999998</v>
      </c>
      <c r="I1042" s="8">
        <f>CHOOSE( CONTROL!$C$32, 56.7662, 56.7627) * CHOOSE(CONTROL!$C$15, $D$11, 100%, $F$11)</f>
        <v>56.766199999999998</v>
      </c>
      <c r="J1042" s="4">
        <f>CHOOSE( CONTROL!$C$32, 56.6464, 56.643) * CHOOSE(CONTROL!$C$15, $D$11, 100%, $F$11)</f>
        <v>56.6464</v>
      </c>
      <c r="K1042" s="4"/>
      <c r="L1042" s="9">
        <v>29.7257</v>
      </c>
      <c r="M1042" s="9">
        <v>11.6745</v>
      </c>
      <c r="N1042" s="9">
        <v>4.7850000000000001</v>
      </c>
      <c r="O1042" s="9">
        <v>0.36199999999999999</v>
      </c>
      <c r="P1042" s="9">
        <v>1.1791</v>
      </c>
      <c r="Q1042" s="9">
        <v>19.053000000000001</v>
      </c>
      <c r="R1042" s="9"/>
      <c r="S1042" s="11"/>
    </row>
    <row r="1043" spans="1:19" ht="15.75">
      <c r="A1043" s="13">
        <v>73262</v>
      </c>
      <c r="B1043" s="8">
        <f>CHOOSE( CONTROL!$C$32, 61.1514, 61.1478) * CHOOSE(CONTROL!$C$15, $D$11, 100%, $F$11)</f>
        <v>61.151400000000002</v>
      </c>
      <c r="C1043" s="8">
        <f>CHOOSE( CONTROL!$C$32, 61.1594, 61.1558) * CHOOSE(CONTROL!$C$15, $D$11, 100%, $F$11)</f>
        <v>61.159399999999998</v>
      </c>
      <c r="D1043" s="8">
        <f>CHOOSE( CONTROL!$C$32, 61.166, 61.1624) * CHOOSE( CONTROL!$C$15, $D$11, 100%, $F$11)</f>
        <v>61.165999999999997</v>
      </c>
      <c r="E1043" s="12">
        <f>CHOOSE( CONTROL!$C$32, 61.1624, 61.1588) * CHOOSE( CONTROL!$C$15, $D$11, 100%, $F$11)</f>
        <v>61.162399999999998</v>
      </c>
      <c r="F1043" s="4">
        <f>CHOOSE( CONTROL!$C$32, 61.8396, 61.8361) * CHOOSE(CONTROL!$C$15, $D$11, 100%, $F$11)</f>
        <v>61.839599999999997</v>
      </c>
      <c r="G1043" s="8">
        <f>CHOOSE( CONTROL!$C$32, 60.106, 60.1025) * CHOOSE( CONTROL!$C$15, $D$11, 100%, $F$11)</f>
        <v>60.106000000000002</v>
      </c>
      <c r="H1043" s="4">
        <f>CHOOSE( CONTROL!$C$32, 61.043, 61.0395) * CHOOSE(CONTROL!$C$15, $D$11, 100%, $F$11)</f>
        <v>61.042999999999999</v>
      </c>
      <c r="I1043" s="8">
        <f>CHOOSE( CONTROL!$C$32, 59.2062, 59.2028) * CHOOSE(CONTROL!$C$15, $D$11, 100%, $F$11)</f>
        <v>59.206200000000003</v>
      </c>
      <c r="J1043" s="4">
        <f>CHOOSE( CONTROL!$C$32, 59.0838, 59.0804) * CHOOSE(CONTROL!$C$15, $D$11, 100%, $F$11)</f>
        <v>59.083799999999997</v>
      </c>
      <c r="K1043" s="4"/>
      <c r="L1043" s="9">
        <v>30.7165</v>
      </c>
      <c r="M1043" s="9">
        <v>12.063700000000001</v>
      </c>
      <c r="N1043" s="9">
        <v>4.9444999999999997</v>
      </c>
      <c r="O1043" s="9">
        <v>0.37409999999999999</v>
      </c>
      <c r="P1043" s="9">
        <v>1.2183999999999999</v>
      </c>
      <c r="Q1043" s="9">
        <v>19.688099999999999</v>
      </c>
      <c r="R1043" s="9"/>
      <c r="S1043" s="11"/>
    </row>
    <row r="1044" spans="1:19" ht="15.75">
      <c r="A1044" s="13">
        <v>73293</v>
      </c>
      <c r="B1044" s="8">
        <f>CHOOSE( CONTROL!$C$32, 56.4337, 56.4301) * CHOOSE(CONTROL!$C$15, $D$11, 100%, $F$11)</f>
        <v>56.433700000000002</v>
      </c>
      <c r="C1044" s="8">
        <f>CHOOSE( CONTROL!$C$32, 56.4417, 56.4382) * CHOOSE(CONTROL!$C$15, $D$11, 100%, $F$11)</f>
        <v>56.441699999999997</v>
      </c>
      <c r="D1044" s="8">
        <f>CHOOSE( CONTROL!$C$32, 56.4484, 56.4448) * CHOOSE( CONTROL!$C$15, $D$11, 100%, $F$11)</f>
        <v>56.448399999999999</v>
      </c>
      <c r="E1044" s="12">
        <f>CHOOSE( CONTROL!$C$32, 56.4448, 56.4412) * CHOOSE( CONTROL!$C$15, $D$11, 100%, $F$11)</f>
        <v>56.444800000000001</v>
      </c>
      <c r="F1044" s="4">
        <f>CHOOSE( CONTROL!$C$32, 57.122, 57.1184) * CHOOSE(CONTROL!$C$15, $D$11, 100%, $F$11)</f>
        <v>57.122</v>
      </c>
      <c r="G1044" s="8">
        <f>CHOOSE( CONTROL!$C$32, 55.4667, 55.4632) * CHOOSE( CONTROL!$C$15, $D$11, 100%, $F$11)</f>
        <v>55.466700000000003</v>
      </c>
      <c r="H1044" s="4">
        <f>CHOOSE( CONTROL!$C$32, 56.4036, 56.4) * CHOOSE(CONTROL!$C$15, $D$11, 100%, $F$11)</f>
        <v>56.403599999999997</v>
      </c>
      <c r="I1044" s="8">
        <f>CHOOSE( CONTROL!$C$32, 54.6438, 54.6404) * CHOOSE(CONTROL!$C$15, $D$11, 100%, $F$11)</f>
        <v>54.643799999999999</v>
      </c>
      <c r="J1044" s="4">
        <f>CHOOSE( CONTROL!$C$32, 54.5232, 54.5198) * CHOOSE(CONTROL!$C$15, $D$11, 100%, $F$11)</f>
        <v>54.523200000000003</v>
      </c>
      <c r="K1044" s="4"/>
      <c r="L1044" s="9">
        <v>30.7165</v>
      </c>
      <c r="M1044" s="9">
        <v>12.063700000000001</v>
      </c>
      <c r="N1044" s="9">
        <v>4.9444999999999997</v>
      </c>
      <c r="O1044" s="9">
        <v>0.37409999999999999</v>
      </c>
      <c r="P1044" s="9">
        <v>1.2183999999999999</v>
      </c>
      <c r="Q1044" s="9">
        <v>19.688099999999999</v>
      </c>
      <c r="R1044" s="9"/>
      <c r="S1044" s="11"/>
    </row>
    <row r="1045" spans="1:19" ht="15.75">
      <c r="A1045" s="13">
        <v>73323</v>
      </c>
      <c r="B1045" s="8">
        <f>CHOOSE( CONTROL!$C$32, 55.2523, 55.2488) * CHOOSE(CONTROL!$C$15, $D$11, 100%, $F$11)</f>
        <v>55.252299999999998</v>
      </c>
      <c r="C1045" s="8">
        <f>CHOOSE( CONTROL!$C$32, 55.2604, 55.2568) * CHOOSE(CONTROL!$C$15, $D$11, 100%, $F$11)</f>
        <v>55.260399999999997</v>
      </c>
      <c r="D1045" s="8">
        <f>CHOOSE( CONTROL!$C$32, 55.2671, 55.2635) * CHOOSE( CONTROL!$C$15, $D$11, 100%, $F$11)</f>
        <v>55.267099999999999</v>
      </c>
      <c r="E1045" s="12">
        <f>CHOOSE( CONTROL!$C$32, 55.2634, 55.2599) * CHOOSE( CONTROL!$C$15, $D$11, 100%, $F$11)</f>
        <v>55.263399999999997</v>
      </c>
      <c r="F1045" s="4">
        <f>CHOOSE( CONTROL!$C$32, 55.9406, 55.9371) * CHOOSE(CONTROL!$C$15, $D$11, 100%, $F$11)</f>
        <v>55.940600000000003</v>
      </c>
      <c r="G1045" s="8">
        <f>CHOOSE( CONTROL!$C$32, 54.3049, 54.3014) * CHOOSE( CONTROL!$C$15, $D$11, 100%, $F$11)</f>
        <v>54.304900000000004</v>
      </c>
      <c r="H1045" s="4">
        <f>CHOOSE( CONTROL!$C$32, 55.2418, 55.2383) * CHOOSE(CONTROL!$C$15, $D$11, 100%, $F$11)</f>
        <v>55.241799999999998</v>
      </c>
      <c r="I1045" s="8">
        <f>CHOOSE( CONTROL!$C$32, 53.5012, 53.4978) * CHOOSE(CONTROL!$C$15, $D$11, 100%, $F$11)</f>
        <v>53.501199999999997</v>
      </c>
      <c r="J1045" s="4">
        <f>CHOOSE( CONTROL!$C$32, 53.3812, 53.3778) * CHOOSE(CONTROL!$C$15, $D$11, 100%, $F$11)</f>
        <v>53.3812</v>
      </c>
      <c r="K1045" s="4"/>
      <c r="L1045" s="9">
        <v>29.7257</v>
      </c>
      <c r="M1045" s="9">
        <v>11.6745</v>
      </c>
      <c r="N1045" s="9">
        <v>4.7850000000000001</v>
      </c>
      <c r="O1045" s="9">
        <v>0.36199999999999999</v>
      </c>
      <c r="P1045" s="9">
        <v>1.1791</v>
      </c>
      <c r="Q1045" s="9">
        <v>19.053000000000001</v>
      </c>
      <c r="R1045" s="9"/>
      <c r="S1045" s="11"/>
    </row>
    <row r="1046" spans="1:19" ht="15.75">
      <c r="A1046" s="13">
        <v>73354</v>
      </c>
      <c r="B1046" s="8">
        <f>57.7 * CHOOSE(CONTROL!$C$15, $D$11, 100%, $F$11)</f>
        <v>57.7</v>
      </c>
      <c r="C1046" s="8">
        <f>57.7053 * CHOOSE(CONTROL!$C$15, $D$11, 100%, $F$11)</f>
        <v>57.705300000000001</v>
      </c>
      <c r="D1046" s="8">
        <f>57.7169 * CHOOSE( CONTROL!$C$15, $D$11, 100%, $F$11)</f>
        <v>57.716900000000003</v>
      </c>
      <c r="E1046" s="12">
        <f>57.7125 * CHOOSE( CONTROL!$C$15, $D$11, 100%, $F$11)</f>
        <v>57.712499999999999</v>
      </c>
      <c r="F1046" s="4">
        <f>58.39 * CHOOSE(CONTROL!$C$15, $D$11, 100%, $F$11)</f>
        <v>58.39</v>
      </c>
      <c r="G1046" s="8">
        <f>56.7132 * CHOOSE( CONTROL!$C$15, $D$11, 100%, $F$11)</f>
        <v>56.713200000000001</v>
      </c>
      <c r="H1046" s="4">
        <f>57.6505 * CHOOSE(CONTROL!$C$15, $D$11, 100%, $F$11)</f>
        <v>57.650500000000001</v>
      </c>
      <c r="I1046" s="8">
        <f>55.8709 * CHOOSE(CONTROL!$C$15, $D$11, 100%, $F$11)</f>
        <v>55.870899999999999</v>
      </c>
      <c r="J1046" s="4">
        <f>55.749 * CHOOSE(CONTROL!$C$15, $D$11, 100%, $F$11)</f>
        <v>55.749000000000002</v>
      </c>
      <c r="K1046" s="4"/>
      <c r="L1046" s="9">
        <v>31.095300000000002</v>
      </c>
      <c r="M1046" s="9">
        <v>12.063700000000001</v>
      </c>
      <c r="N1046" s="9">
        <v>4.9444999999999997</v>
      </c>
      <c r="O1046" s="9">
        <v>0.37409999999999999</v>
      </c>
      <c r="P1046" s="9">
        <v>1.2183999999999999</v>
      </c>
      <c r="Q1046" s="9">
        <v>19.688099999999999</v>
      </c>
      <c r="R1046" s="9"/>
      <c r="S1046" s="11"/>
    </row>
    <row r="1047" spans="1:19" ht="15.75">
      <c r="A1047" s="13">
        <v>73384</v>
      </c>
      <c r="B1047" s="8">
        <f>62.2271 * CHOOSE(CONTROL!$C$15, $D$11, 100%, $F$11)</f>
        <v>62.2271</v>
      </c>
      <c r="C1047" s="8">
        <f>62.2323 * CHOOSE(CONTROL!$C$15, $D$11, 100%, $F$11)</f>
        <v>62.232300000000002</v>
      </c>
      <c r="D1047" s="8">
        <f>62.2092 * CHOOSE( CONTROL!$C$15, $D$11, 100%, $F$11)</f>
        <v>62.209200000000003</v>
      </c>
      <c r="E1047" s="12">
        <f>62.2171 * CHOOSE( CONTROL!$C$15, $D$11, 100%, $F$11)</f>
        <v>62.217100000000002</v>
      </c>
      <c r="F1047" s="4">
        <f>62.872 * CHOOSE(CONTROL!$C$15, $D$11, 100%, $F$11)</f>
        <v>62.872</v>
      </c>
      <c r="G1047" s="8">
        <f>61.1765 * CHOOSE( CONTROL!$C$15, $D$11, 100%, $F$11)</f>
        <v>61.176499999999997</v>
      </c>
      <c r="H1047" s="4">
        <f>62.0583 * CHOOSE(CONTROL!$C$15, $D$11, 100%, $F$11)</f>
        <v>62.058300000000003</v>
      </c>
      <c r="I1047" s="8">
        <f>60.2746 * CHOOSE(CONTROL!$C$15, $D$11, 100%, $F$11)</f>
        <v>60.2746</v>
      </c>
      <c r="J1047" s="4">
        <f>60.1258 * CHOOSE(CONTROL!$C$15, $D$11, 100%, $F$11)</f>
        <v>60.125799999999998</v>
      </c>
      <c r="K1047" s="4"/>
      <c r="L1047" s="9">
        <v>28.360600000000002</v>
      </c>
      <c r="M1047" s="9">
        <v>11.6745</v>
      </c>
      <c r="N1047" s="9">
        <v>4.7850000000000001</v>
      </c>
      <c r="O1047" s="9">
        <v>0.36199999999999999</v>
      </c>
      <c r="P1047" s="9">
        <v>1.2509999999999999</v>
      </c>
      <c r="Q1047" s="9">
        <v>19.053000000000001</v>
      </c>
      <c r="R1047" s="9"/>
      <c r="S1047" s="11"/>
    </row>
    <row r="1048" spans="1:19" ht="15.75">
      <c r="A1048" s="13">
        <v>73415</v>
      </c>
      <c r="B1048" s="8">
        <f>62.114 * CHOOSE(CONTROL!$C$15, $D$11, 100%, $F$11)</f>
        <v>62.113999999999997</v>
      </c>
      <c r="C1048" s="8">
        <f>62.1191 * CHOOSE(CONTROL!$C$15, $D$11, 100%, $F$11)</f>
        <v>62.119100000000003</v>
      </c>
      <c r="D1048" s="8">
        <f>62.0974 * CHOOSE( CONTROL!$C$15, $D$11, 100%, $F$11)</f>
        <v>62.0974</v>
      </c>
      <c r="E1048" s="12">
        <f>62.1048 * CHOOSE( CONTROL!$C$15, $D$11, 100%, $F$11)</f>
        <v>62.104799999999997</v>
      </c>
      <c r="F1048" s="4">
        <f>62.7589 * CHOOSE(CONTROL!$C$15, $D$11, 100%, $F$11)</f>
        <v>62.758899999999997</v>
      </c>
      <c r="G1048" s="8">
        <f>61.0662 * CHOOSE( CONTROL!$C$15, $D$11, 100%, $F$11)</f>
        <v>61.066200000000002</v>
      </c>
      <c r="H1048" s="4">
        <f>61.947 * CHOOSE(CONTROL!$C$15, $D$11, 100%, $F$11)</f>
        <v>61.947000000000003</v>
      </c>
      <c r="I1048" s="8">
        <f>60.1695 * CHOOSE(CONTROL!$C$15, $D$11, 100%, $F$11)</f>
        <v>60.169499999999999</v>
      </c>
      <c r="J1048" s="4">
        <f>60.0164 * CHOOSE(CONTROL!$C$15, $D$11, 100%, $F$11)</f>
        <v>60.016399999999997</v>
      </c>
      <c r="K1048" s="4"/>
      <c r="L1048" s="9">
        <v>29.306000000000001</v>
      </c>
      <c r="M1048" s="9">
        <v>12.063700000000001</v>
      </c>
      <c r="N1048" s="9">
        <v>4.9444999999999997</v>
      </c>
      <c r="O1048" s="9">
        <v>0.37409999999999999</v>
      </c>
      <c r="P1048" s="9">
        <v>1.2927</v>
      </c>
      <c r="Q1048" s="9">
        <v>19.688099999999999</v>
      </c>
      <c r="R1048" s="9"/>
      <c r="S1048" s="11"/>
    </row>
    <row r="1049" spans="1:19">
      <c r="A1049" s="10"/>
      <c r="F1049" s="1"/>
      <c r="H1049" s="1"/>
      <c r="Q1049" s="9"/>
    </row>
    <row r="1050" spans="1:19" ht="15" customHeight="1">
      <c r="A1050" s="3">
        <v>2015</v>
      </c>
      <c r="B1050" s="8">
        <f t="shared" ref="B1050:H1050" si="2">AVERAGE(B17:B28)</f>
        <v>2.7928999999999995</v>
      </c>
      <c r="C1050" s="8">
        <f t="shared" si="2"/>
        <v>2.7991916666666667</v>
      </c>
      <c r="D1050" s="8">
        <f t="shared" si="2"/>
        <v>2.7843000000000004</v>
      </c>
      <c r="E1050" s="8">
        <f t="shared" si="2"/>
        <v>2.7886833333333336</v>
      </c>
      <c r="F1050" s="4">
        <f t="shared" si="2"/>
        <v>3.4482166666666667</v>
      </c>
      <c r="G1050" s="8">
        <f t="shared" si="2"/>
        <v>2.7235833333333335</v>
      </c>
      <c r="H1050" s="4">
        <f t="shared" si="2"/>
        <v>3.6198083333333333</v>
      </c>
      <c r="I1050" s="8"/>
      <c r="J1050" s="4">
        <f>AVERAGE(J17:J28)</f>
        <v>2.6697500000000001</v>
      </c>
      <c r="K1050" s="4">
        <f>AVERAGE(K17:K28)</f>
        <v>2.7289333333333334</v>
      </c>
      <c r="L1050" s="5">
        <f>SUM(L17:L28)</f>
        <v>369.27089999999998</v>
      </c>
      <c r="M1050" s="5">
        <f>SUM(M17:M28)</f>
        <v>142.0401</v>
      </c>
      <c r="N1050" s="5">
        <f>SUM(N17:N28)</f>
        <v>58.217499999999994</v>
      </c>
      <c r="O1050" s="5">
        <f>SUM(O17:O28)</f>
        <v>7.2496000000000018</v>
      </c>
      <c r="P1050" s="5">
        <f>SUM(P17:P28)</f>
        <v>14.046099999999997</v>
      </c>
      <c r="Q1050" s="5"/>
      <c r="R1050" s="5">
        <f>SUM(R17:R28)</f>
        <v>3.5999999999999992</v>
      </c>
      <c r="S1050" s="5">
        <f>SUM(S17:S28)</f>
        <v>12.811500000000002</v>
      </c>
    </row>
    <row r="1051" spans="1:19" ht="15" customHeight="1">
      <c r="A1051" s="3">
        <v>2016</v>
      </c>
      <c r="B1051" s="8">
        <f t="shared" ref="B1051:H1051" si="3">AVERAGE(B29:B40)</f>
        <v>2.671933333333333</v>
      </c>
      <c r="C1051" s="8">
        <f t="shared" si="3"/>
        <v>2.6782583333333339</v>
      </c>
      <c r="D1051" s="8">
        <f t="shared" si="3"/>
        <v>2.6625749999999999</v>
      </c>
      <c r="E1051" s="8">
        <f t="shared" si="3"/>
        <v>2.6673583333333339</v>
      </c>
      <c r="F1051" s="4">
        <f t="shared" si="3"/>
        <v>3.3421749999999997</v>
      </c>
      <c r="G1051" s="8">
        <f t="shared" si="3"/>
        <v>2.6006666666666667</v>
      </c>
      <c r="H1051" s="4">
        <f t="shared" si="3"/>
        <v>3.5155249999999998</v>
      </c>
      <c r="I1051" s="8"/>
      <c r="J1051" s="4">
        <f>AVERAGE(J29:J40)</f>
        <v>2.5528333333333335</v>
      </c>
      <c r="K1051" s="5"/>
      <c r="L1051" s="5">
        <f>SUM(L29:L40)</f>
        <v>371.47629999999998</v>
      </c>
      <c r="M1051" s="5">
        <f>SUM(M29:M40)</f>
        <v>142.42920000000001</v>
      </c>
      <c r="N1051" s="5">
        <f>SUM(N29:N40)</f>
        <v>58.377000000000002</v>
      </c>
      <c r="O1051" s="5">
        <f>SUM(O29:O40)</f>
        <v>5.3597999999999999</v>
      </c>
      <c r="P1051" s="5">
        <f>SUM(P29:P40)</f>
        <v>17.840799999999998</v>
      </c>
      <c r="Q1051" s="5"/>
      <c r="R1051" s="5">
        <f>SUM(R29:R40)</f>
        <v>4.8</v>
      </c>
      <c r="S1051" s="5"/>
    </row>
    <row r="1052" spans="1:19" ht="15" customHeight="1">
      <c r="A1052" s="3">
        <v>2017</v>
      </c>
      <c r="B1052" s="8">
        <f t="shared" ref="B1052:J1052" si="4">AVERAGE(B41:B52)</f>
        <v>2.9678</v>
      </c>
      <c r="C1052" s="8">
        <f t="shared" si="4"/>
        <v>2.9741083333333336</v>
      </c>
      <c r="D1052" s="8">
        <f t="shared" si="4"/>
        <v>2.9569416666666659</v>
      </c>
      <c r="E1052" s="8">
        <f t="shared" si="4"/>
        <v>2.9623250000000003</v>
      </c>
      <c r="F1052" s="4">
        <f t="shared" si="4"/>
        <v>3.6380416666666666</v>
      </c>
      <c r="G1052" s="8">
        <f t="shared" si="4"/>
        <v>2.8912249999999999</v>
      </c>
      <c r="H1052" s="4">
        <f t="shared" si="4"/>
        <v>3.8064666666666667</v>
      </c>
      <c r="I1052" s="8">
        <f t="shared" si="4"/>
        <v>2.9375999999999998</v>
      </c>
      <c r="J1052" s="4">
        <f t="shared" si="4"/>
        <v>2.8388333333333331</v>
      </c>
      <c r="K1052" s="4"/>
      <c r="L1052" s="5">
        <f t="shared" ref="L1052:Q1052" si="5">SUM(L41:L52)</f>
        <v>355.53689999999995</v>
      </c>
      <c r="M1052" s="5">
        <f t="shared" si="5"/>
        <v>142.0401</v>
      </c>
      <c r="N1052" s="5">
        <f t="shared" si="5"/>
        <v>58.217499999999994</v>
      </c>
      <c r="O1052" s="5">
        <f t="shared" si="5"/>
        <v>4.4046000000000003</v>
      </c>
      <c r="P1052" s="5">
        <f t="shared" si="5"/>
        <v>20.805900000000001</v>
      </c>
      <c r="Q1052" s="5">
        <f t="shared" si="5"/>
        <v>198.18529999999998</v>
      </c>
      <c r="R1052" s="5"/>
      <c r="S1052" s="4"/>
    </row>
    <row r="1053" spans="1:19" ht="15" customHeight="1">
      <c r="A1053" s="3">
        <v>2018</v>
      </c>
      <c r="B1053" s="8">
        <f t="shared" ref="B1053:J1053" si="6">AVERAGE(B53:B64)</f>
        <v>3.7227916666666663</v>
      </c>
      <c r="C1053" s="8">
        <f t="shared" si="6"/>
        <v>3.7290833333333331</v>
      </c>
      <c r="D1053" s="8">
        <f t="shared" si="6"/>
        <v>3.7234916666666673</v>
      </c>
      <c r="E1053" s="8">
        <f t="shared" si="6"/>
        <v>3.7247916666666661</v>
      </c>
      <c r="F1053" s="4">
        <f t="shared" si="6"/>
        <v>4.3930166666666661</v>
      </c>
      <c r="G1053" s="8">
        <f t="shared" si="6"/>
        <v>3.6336750000000002</v>
      </c>
      <c r="H1053" s="4">
        <f t="shared" si="6"/>
        <v>4.5489500000000005</v>
      </c>
      <c r="I1053" s="8">
        <f t="shared" si="6"/>
        <v>3.6678083333333333</v>
      </c>
      <c r="J1053" s="4">
        <f t="shared" si="6"/>
        <v>3.5686916666666666</v>
      </c>
      <c r="K1053" s="4"/>
      <c r="L1053" s="5">
        <f t="shared" ref="L1053:Q1053" si="7">SUM(L53:L64)</f>
        <v>355.53689999999995</v>
      </c>
      <c r="M1053" s="5">
        <f t="shared" si="7"/>
        <v>142.0401</v>
      </c>
      <c r="N1053" s="5">
        <f t="shared" si="7"/>
        <v>58.217499999999994</v>
      </c>
      <c r="O1053" s="5">
        <f t="shared" si="7"/>
        <v>4.4046000000000003</v>
      </c>
      <c r="P1053" s="5">
        <f t="shared" si="7"/>
        <v>14.707600000000001</v>
      </c>
      <c r="Q1053" s="5">
        <f t="shared" si="7"/>
        <v>293.19730000000004</v>
      </c>
      <c r="R1053" s="5"/>
      <c r="S1053" s="4"/>
    </row>
    <row r="1054" spans="1:19" ht="15" customHeight="1">
      <c r="A1054" s="3">
        <v>2019</v>
      </c>
      <c r="B1054" s="8">
        <f t="shared" ref="B1054:J1054" si="8">AVERAGE(B65:B76)</f>
        <v>3.7450166666666669</v>
      </c>
      <c r="C1054" s="8">
        <f t="shared" si="8"/>
        <v>3.751325</v>
      </c>
      <c r="D1054" s="8">
        <f t="shared" si="8"/>
        <v>3.7457249999999997</v>
      </c>
      <c r="E1054" s="8">
        <f t="shared" si="8"/>
        <v>3.7470250000000003</v>
      </c>
      <c r="F1054" s="4">
        <f t="shared" si="8"/>
        <v>4.4152666666666667</v>
      </c>
      <c r="G1054" s="8">
        <f t="shared" si="8"/>
        <v>3.6555499999999999</v>
      </c>
      <c r="H1054" s="4">
        <f t="shared" si="8"/>
        <v>4.5708000000000002</v>
      </c>
      <c r="I1054" s="8">
        <f t="shared" si="8"/>
        <v>3.6893083333333334</v>
      </c>
      <c r="J1054" s="4">
        <f t="shared" si="8"/>
        <v>3.5901833333333335</v>
      </c>
      <c r="K1054" s="4"/>
      <c r="L1054" s="5">
        <f t="shared" ref="L1054:Q1054" si="9">SUM(L65:L76)</f>
        <v>355.53689999999995</v>
      </c>
      <c r="M1054" s="5">
        <f t="shared" si="9"/>
        <v>142.0401</v>
      </c>
      <c r="N1054" s="5">
        <f t="shared" si="9"/>
        <v>58.217499999999994</v>
      </c>
      <c r="O1054" s="5">
        <f t="shared" si="9"/>
        <v>4.4046000000000003</v>
      </c>
      <c r="P1054" s="5">
        <f t="shared" si="9"/>
        <v>14.707600000000001</v>
      </c>
      <c r="Q1054" s="5">
        <f t="shared" si="9"/>
        <v>290.24799999999999</v>
      </c>
      <c r="R1054" s="5"/>
      <c r="S1054" s="4"/>
    </row>
    <row r="1055" spans="1:19" ht="15" customHeight="1">
      <c r="A1055" s="3">
        <v>2020</v>
      </c>
      <c r="B1055" s="8">
        <f t="shared" ref="B1055:J1055" si="10">AVERAGE(B77:B88)</f>
        <v>4.367</v>
      </c>
      <c r="C1055" s="8">
        <f t="shared" si="10"/>
        <v>4.3733000000000004</v>
      </c>
      <c r="D1055" s="8">
        <f t="shared" si="10"/>
        <v>4.3677083333333337</v>
      </c>
      <c r="E1055" s="8">
        <f t="shared" si="10"/>
        <v>4.3690166666666661</v>
      </c>
      <c r="F1055" s="4">
        <f t="shared" si="10"/>
        <v>5.0372250000000012</v>
      </c>
      <c r="G1055" s="8">
        <f t="shared" si="10"/>
        <v>4.2671999999999999</v>
      </c>
      <c r="H1055" s="4">
        <f t="shared" si="10"/>
        <v>5.1824499999999993</v>
      </c>
      <c r="I1055" s="8">
        <f t="shared" si="10"/>
        <v>4.2908666666666662</v>
      </c>
      <c r="J1055" s="4">
        <f t="shared" si="10"/>
        <v>4.1914499999999997</v>
      </c>
      <c r="K1055" s="4"/>
      <c r="L1055" s="5">
        <f t="shared" ref="L1055:Q1055" si="11">SUM(L77:L88)</f>
        <v>356.48229999999995</v>
      </c>
      <c r="M1055" s="5">
        <f t="shared" si="11"/>
        <v>142.42920000000001</v>
      </c>
      <c r="N1055" s="5">
        <f t="shared" si="11"/>
        <v>58.377000000000002</v>
      </c>
      <c r="O1055" s="5">
        <f t="shared" si="11"/>
        <v>4.4165999999999999</v>
      </c>
      <c r="P1055" s="5">
        <f t="shared" si="11"/>
        <v>14.7493</v>
      </c>
      <c r="Q1055" s="5">
        <f t="shared" si="11"/>
        <v>349.04309999999998</v>
      </c>
      <c r="R1055" s="5"/>
      <c r="S1055" s="4"/>
    </row>
    <row r="1056" spans="1:19" ht="15" customHeight="1">
      <c r="A1056" s="3">
        <v>2021</v>
      </c>
      <c r="B1056" s="8">
        <f t="shared" ref="B1056:J1056" si="12">AVERAGE(B89:B100)</f>
        <v>4.5118166666666673</v>
      </c>
      <c r="C1056" s="8">
        <f t="shared" si="12"/>
        <v>4.5180999999999996</v>
      </c>
      <c r="D1056" s="8">
        <f t="shared" si="12"/>
        <v>4.5125250000000001</v>
      </c>
      <c r="E1056" s="8">
        <f t="shared" si="12"/>
        <v>4.5138249999999998</v>
      </c>
      <c r="F1056" s="4">
        <f t="shared" si="12"/>
        <v>5.1820333333333339</v>
      </c>
      <c r="G1056" s="8">
        <f t="shared" si="12"/>
        <v>4.4096083333333329</v>
      </c>
      <c r="H1056" s="4">
        <f t="shared" si="12"/>
        <v>5.3248916666666668</v>
      </c>
      <c r="I1056" s="8">
        <f t="shared" si="12"/>
        <v>4.4309416666666666</v>
      </c>
      <c r="J1056" s="4">
        <f t="shared" si="12"/>
        <v>4.3314416666666666</v>
      </c>
      <c r="K1056" s="4"/>
      <c r="L1056" s="5">
        <f t="shared" ref="L1056:Q1056" si="13">SUM(L89:L100)</f>
        <v>355.53689999999995</v>
      </c>
      <c r="M1056" s="5">
        <f t="shared" si="13"/>
        <v>142.0401</v>
      </c>
      <c r="N1056" s="5">
        <f t="shared" si="13"/>
        <v>58.217499999999994</v>
      </c>
      <c r="O1056" s="5">
        <f t="shared" si="13"/>
        <v>4.4046000000000003</v>
      </c>
      <c r="P1056" s="5">
        <f t="shared" si="13"/>
        <v>14.707600000000001</v>
      </c>
      <c r="Q1056" s="5">
        <f t="shared" si="13"/>
        <v>388.68129999999996</v>
      </c>
      <c r="R1056" s="5"/>
      <c r="S1056" s="4"/>
    </row>
    <row r="1057" spans="1:19" ht="15" customHeight="1">
      <c r="A1057" s="3">
        <v>2022</v>
      </c>
      <c r="B1057" s="8">
        <f t="shared" ref="B1057:J1057" si="14">AVERAGE(B101:B112)</f>
        <v>4.7807666666666666</v>
      </c>
      <c r="C1057" s="8">
        <f t="shared" si="14"/>
        <v>4.7870749999999997</v>
      </c>
      <c r="D1057" s="8">
        <f t="shared" si="14"/>
        <v>4.7814666666666676</v>
      </c>
      <c r="E1057" s="8">
        <f t="shared" si="14"/>
        <v>4.7827666666666655</v>
      </c>
      <c r="F1057" s="4">
        <f t="shared" si="14"/>
        <v>5.4510250000000005</v>
      </c>
      <c r="G1057" s="8">
        <f t="shared" si="14"/>
        <v>4.6741166666666674</v>
      </c>
      <c r="H1057" s="4">
        <f t="shared" si="14"/>
        <v>5.5893750000000004</v>
      </c>
      <c r="I1057" s="8">
        <f t="shared" si="14"/>
        <v>4.6910583333333333</v>
      </c>
      <c r="J1057" s="4">
        <f t="shared" si="14"/>
        <v>4.5914499999999991</v>
      </c>
      <c r="K1057" s="4"/>
      <c r="L1057" s="5">
        <f t="shared" ref="L1057:Q1057" si="15">SUM(L101:L112)</f>
        <v>355.53689999999995</v>
      </c>
      <c r="M1057" s="5">
        <f t="shared" si="15"/>
        <v>142.0401</v>
      </c>
      <c r="N1057" s="5">
        <f t="shared" si="15"/>
        <v>58.217499999999994</v>
      </c>
      <c r="O1057" s="5">
        <f t="shared" si="15"/>
        <v>4.4046000000000003</v>
      </c>
      <c r="P1057" s="5">
        <f t="shared" si="15"/>
        <v>14.707600000000001</v>
      </c>
      <c r="Q1057" s="5">
        <f t="shared" si="15"/>
        <v>386.33820000000003</v>
      </c>
      <c r="R1057" s="5"/>
      <c r="S1057" s="4"/>
    </row>
    <row r="1058" spans="1:19" ht="15" customHeight="1">
      <c r="A1058" s="3">
        <v>2023</v>
      </c>
      <c r="B1058" s="8">
        <f t="shared" ref="B1058:J1058" si="16">AVERAGE(B113:B124)</f>
        <v>5.1117999999999997</v>
      </c>
      <c r="C1058" s="8">
        <f t="shared" si="16"/>
        <v>5.1181083333333328</v>
      </c>
      <c r="D1058" s="8">
        <f t="shared" si="16"/>
        <v>5.1125083333333334</v>
      </c>
      <c r="E1058" s="8">
        <f t="shared" si="16"/>
        <v>5.1138083333333322</v>
      </c>
      <c r="F1058" s="4">
        <f t="shared" si="16"/>
        <v>5.7820166666666672</v>
      </c>
      <c r="G1058" s="8">
        <f t="shared" si="16"/>
        <v>4.9996499999999999</v>
      </c>
      <c r="H1058" s="4">
        <f t="shared" si="16"/>
        <v>5.9149250000000002</v>
      </c>
      <c r="I1058" s="8">
        <f t="shared" si="16"/>
        <v>5.0112250000000005</v>
      </c>
      <c r="J1058" s="4">
        <f t="shared" si="16"/>
        <v>4.9114416666666667</v>
      </c>
      <c r="K1058" s="4"/>
      <c r="L1058" s="5">
        <f t="shared" ref="L1058:Q1058" si="17">SUM(L113:L124)</f>
        <v>355.53689999999995</v>
      </c>
      <c r="M1058" s="5">
        <f t="shared" si="17"/>
        <v>142.0401</v>
      </c>
      <c r="N1058" s="5">
        <f t="shared" si="17"/>
        <v>58.217499999999994</v>
      </c>
      <c r="O1058" s="5">
        <f t="shared" si="17"/>
        <v>4.4046000000000003</v>
      </c>
      <c r="P1058" s="5">
        <f t="shared" si="17"/>
        <v>14.707600000000001</v>
      </c>
      <c r="Q1058" s="5">
        <f t="shared" si="17"/>
        <v>384.12599999999998</v>
      </c>
      <c r="R1058" s="5"/>
      <c r="S1058" s="4"/>
    </row>
    <row r="1059" spans="1:19" ht="15" customHeight="1">
      <c r="A1059" s="3">
        <v>2024</v>
      </c>
      <c r="B1059" s="8">
        <f t="shared" ref="B1059:J1059" si="18">AVERAGE(B125:B136)</f>
        <v>5.7117833333333339</v>
      </c>
      <c r="C1059" s="8">
        <f t="shared" si="18"/>
        <v>5.7180749999999998</v>
      </c>
      <c r="D1059" s="8">
        <f t="shared" si="18"/>
        <v>5.7124666666666668</v>
      </c>
      <c r="E1059" s="8">
        <f t="shared" si="18"/>
        <v>5.7137749999999992</v>
      </c>
      <c r="F1059" s="4">
        <f t="shared" si="18"/>
        <v>6.3819999999999988</v>
      </c>
      <c r="G1059" s="8">
        <f t="shared" si="18"/>
        <v>5.5896916666666669</v>
      </c>
      <c r="H1059" s="4">
        <f t="shared" si="18"/>
        <v>6.5049666666666672</v>
      </c>
      <c r="I1059" s="8">
        <f t="shared" si="18"/>
        <v>5.5915333333333317</v>
      </c>
      <c r="J1059" s="4">
        <f t="shared" si="18"/>
        <v>5.4914416666666668</v>
      </c>
      <c r="K1059" s="4"/>
      <c r="L1059" s="5">
        <f t="shared" ref="L1059:Q1059" si="19">SUM(L125:L136)</f>
        <v>356.48229999999995</v>
      </c>
      <c r="M1059" s="5">
        <f t="shared" si="19"/>
        <v>142.42920000000001</v>
      </c>
      <c r="N1059" s="5">
        <f t="shared" si="19"/>
        <v>58.377000000000002</v>
      </c>
      <c r="O1059" s="5">
        <f t="shared" si="19"/>
        <v>4.4165999999999999</v>
      </c>
      <c r="P1059" s="5">
        <f t="shared" si="19"/>
        <v>14.7493</v>
      </c>
      <c r="Q1059" s="5">
        <f t="shared" si="19"/>
        <v>383.00459999999998</v>
      </c>
      <c r="R1059" s="5"/>
      <c r="S1059" s="4"/>
    </row>
    <row r="1060" spans="1:19" ht="15" customHeight="1">
      <c r="A1060" s="3">
        <v>2025</v>
      </c>
      <c r="B1060" s="8">
        <f t="shared" ref="B1060:J1060" si="20">AVERAGE(B137:B148)</f>
        <v>5.7014333333333331</v>
      </c>
      <c r="C1060" s="8">
        <f t="shared" si="20"/>
        <v>5.7077333333333344</v>
      </c>
      <c r="D1060" s="8">
        <f t="shared" si="20"/>
        <v>5.7021333333333324</v>
      </c>
      <c r="E1060" s="8">
        <f t="shared" si="20"/>
        <v>5.7034333333333329</v>
      </c>
      <c r="F1060" s="4">
        <f t="shared" si="20"/>
        <v>6.371666666666667</v>
      </c>
      <c r="G1060" s="8">
        <f t="shared" si="20"/>
        <v>5.5795166666666667</v>
      </c>
      <c r="H1060" s="4">
        <f t="shared" si="20"/>
        <v>6.4947833333333334</v>
      </c>
      <c r="I1060" s="8">
        <f t="shared" si="20"/>
        <v>5.5815083333333328</v>
      </c>
      <c r="J1060" s="4">
        <f t="shared" si="20"/>
        <v>5.4814416666666661</v>
      </c>
      <c r="K1060" s="4"/>
      <c r="L1060" s="5">
        <f t="shared" ref="L1060:Q1060" si="21">SUM(L137:L148)</f>
        <v>355.53689999999995</v>
      </c>
      <c r="M1060" s="5">
        <f t="shared" si="21"/>
        <v>142.0401</v>
      </c>
      <c r="N1060" s="5">
        <f t="shared" si="21"/>
        <v>58.217499999999994</v>
      </c>
      <c r="O1060" s="5">
        <f t="shared" si="21"/>
        <v>4.4046000000000003</v>
      </c>
      <c r="P1060" s="5">
        <f t="shared" si="21"/>
        <v>14.707600000000001</v>
      </c>
      <c r="Q1060" s="5">
        <f t="shared" si="21"/>
        <v>379.76819999999998</v>
      </c>
      <c r="R1060" s="5"/>
      <c r="S1060" s="4"/>
    </row>
    <row r="1061" spans="1:19" ht="15" customHeight="1">
      <c r="A1061" s="3">
        <v>2026</v>
      </c>
      <c r="B1061" s="8">
        <f t="shared" ref="B1061:J1061" si="22">AVERAGE(B149:B160)</f>
        <v>5.6807499999999997</v>
      </c>
      <c r="C1061" s="8">
        <f t="shared" si="22"/>
        <v>5.6870333333333321</v>
      </c>
      <c r="D1061" s="8">
        <f t="shared" si="22"/>
        <v>5.6814583333333326</v>
      </c>
      <c r="E1061" s="8">
        <f t="shared" si="22"/>
        <v>5.6827583333333331</v>
      </c>
      <c r="F1061" s="4">
        <f t="shared" si="22"/>
        <v>6.3509666666666655</v>
      </c>
      <c r="G1061" s="8">
        <f t="shared" si="22"/>
        <v>5.5591750000000006</v>
      </c>
      <c r="H1061" s="4">
        <f t="shared" si="22"/>
        <v>6.4744333333333328</v>
      </c>
      <c r="I1061" s="8">
        <f t="shared" si="22"/>
        <v>5.5615083333333333</v>
      </c>
      <c r="J1061" s="4">
        <f t="shared" si="22"/>
        <v>5.4614249999999993</v>
      </c>
      <c r="K1061" s="4"/>
      <c r="L1061" s="5">
        <f t="shared" ref="L1061:Q1061" si="23">SUM(L149:L160)</f>
        <v>355.53689999999995</v>
      </c>
      <c r="M1061" s="5">
        <f t="shared" si="23"/>
        <v>142.0401</v>
      </c>
      <c r="N1061" s="5">
        <f t="shared" si="23"/>
        <v>58.217499999999994</v>
      </c>
      <c r="O1061" s="5">
        <f t="shared" si="23"/>
        <v>4.4046000000000003</v>
      </c>
      <c r="P1061" s="5">
        <f t="shared" si="23"/>
        <v>14.707600000000001</v>
      </c>
      <c r="Q1061" s="5">
        <f t="shared" si="23"/>
        <v>377.59969999999987</v>
      </c>
      <c r="R1061" s="5"/>
      <c r="S1061" s="4"/>
    </row>
    <row r="1062" spans="1:19" ht="15" customHeight="1">
      <c r="A1062" s="3">
        <v>2027</v>
      </c>
      <c r="B1062" s="8">
        <f t="shared" ref="B1062:J1062" si="24">AVERAGE(B161:B172)</f>
        <v>5.8565833333333321</v>
      </c>
      <c r="C1062" s="8">
        <f t="shared" si="24"/>
        <v>5.8628833333333334</v>
      </c>
      <c r="D1062" s="8">
        <f t="shared" si="24"/>
        <v>5.8572999999999995</v>
      </c>
      <c r="E1062" s="8">
        <f t="shared" si="24"/>
        <v>5.8585916666666682</v>
      </c>
      <c r="F1062" s="4">
        <f t="shared" si="24"/>
        <v>6.5268250000000014</v>
      </c>
      <c r="G1062" s="8">
        <f t="shared" si="24"/>
        <v>5.7320916666666664</v>
      </c>
      <c r="H1062" s="4">
        <f t="shared" si="24"/>
        <v>6.6473750000000003</v>
      </c>
      <c r="I1062" s="8">
        <f t="shared" si="24"/>
        <v>5.7315916666666658</v>
      </c>
      <c r="J1062" s="4">
        <f t="shared" si="24"/>
        <v>5.6314500000000001</v>
      </c>
      <c r="K1062" s="4"/>
      <c r="L1062" s="5">
        <f t="shared" ref="L1062:Q1062" si="25">SUM(L161:L172)</f>
        <v>355.53689999999995</v>
      </c>
      <c r="M1062" s="5">
        <f t="shared" si="25"/>
        <v>142.0401</v>
      </c>
      <c r="N1062" s="5">
        <f t="shared" si="25"/>
        <v>58.217499999999994</v>
      </c>
      <c r="O1062" s="5">
        <f t="shared" si="25"/>
        <v>4.4046000000000003</v>
      </c>
      <c r="P1062" s="5">
        <f t="shared" si="25"/>
        <v>14.707600000000001</v>
      </c>
      <c r="Q1062" s="5">
        <f t="shared" si="25"/>
        <v>375.43180000000001</v>
      </c>
      <c r="R1062" s="5"/>
      <c r="S1062" s="4"/>
    </row>
    <row r="1063" spans="1:19" ht="15" customHeight="1">
      <c r="A1063" s="3">
        <v>2028</v>
      </c>
      <c r="B1063" s="8">
        <f t="shared" ref="B1063:J1063" si="26">AVERAGE(B173:B184)</f>
        <v>6.0427833333333334</v>
      </c>
      <c r="C1063" s="8">
        <f t="shared" si="26"/>
        <v>6.0491000000000001</v>
      </c>
      <c r="D1063" s="8">
        <f t="shared" si="26"/>
        <v>6.0435000000000008</v>
      </c>
      <c r="E1063" s="8">
        <f t="shared" si="26"/>
        <v>6.0447999999999995</v>
      </c>
      <c r="F1063" s="4">
        <f t="shared" si="26"/>
        <v>6.7130166666666682</v>
      </c>
      <c r="G1063" s="8">
        <f t="shared" si="26"/>
        <v>5.9152250000000004</v>
      </c>
      <c r="H1063" s="4">
        <f t="shared" si="26"/>
        <v>6.8304749999999999</v>
      </c>
      <c r="I1063" s="8">
        <f t="shared" si="26"/>
        <v>5.9116749999999998</v>
      </c>
      <c r="J1063" s="4">
        <f t="shared" si="26"/>
        <v>5.8114416666666671</v>
      </c>
      <c r="K1063" s="4"/>
      <c r="L1063" s="5">
        <f t="shared" ref="L1063:Q1063" si="27">SUM(L173:L184)</f>
        <v>356.48229999999995</v>
      </c>
      <c r="M1063" s="5">
        <f t="shared" si="27"/>
        <v>142.42920000000001</v>
      </c>
      <c r="N1063" s="5">
        <f t="shared" si="27"/>
        <v>58.377000000000002</v>
      </c>
      <c r="O1063" s="5">
        <f t="shared" si="27"/>
        <v>4.4165999999999999</v>
      </c>
      <c r="P1063" s="5">
        <f t="shared" si="27"/>
        <v>14.7493</v>
      </c>
      <c r="Q1063" s="5">
        <f t="shared" si="27"/>
        <v>374.28599999999994</v>
      </c>
      <c r="R1063" s="5"/>
      <c r="S1063" s="4"/>
    </row>
    <row r="1064" spans="1:19" ht="15" customHeight="1">
      <c r="A1064" s="3">
        <v>2029</v>
      </c>
      <c r="B1064" s="8">
        <f t="shared" ref="B1064:J1064" si="28">AVERAGE(B185:B196)</f>
        <v>6.2289916666666665</v>
      </c>
      <c r="C1064" s="8">
        <f t="shared" si="28"/>
        <v>6.2352999999999996</v>
      </c>
      <c r="D1064" s="8">
        <f t="shared" si="28"/>
        <v>6.2297000000000002</v>
      </c>
      <c r="E1064" s="8">
        <f t="shared" si="28"/>
        <v>6.2310000000000008</v>
      </c>
      <c r="F1064" s="4">
        <f t="shared" si="28"/>
        <v>6.899233333333334</v>
      </c>
      <c r="G1064" s="8">
        <f t="shared" si="28"/>
        <v>6.098325</v>
      </c>
      <c r="H1064" s="4">
        <f t="shared" si="28"/>
        <v>7.0136083333333339</v>
      </c>
      <c r="I1064" s="8">
        <f t="shared" si="28"/>
        <v>6.0917749999999993</v>
      </c>
      <c r="J1064" s="4">
        <f t="shared" si="28"/>
        <v>5.9914416666666668</v>
      </c>
      <c r="K1064" s="4"/>
      <c r="L1064" s="5">
        <f t="shared" ref="L1064:Q1064" si="29">SUM(L185:L196)</f>
        <v>355.53689999999995</v>
      </c>
      <c r="M1064" s="5">
        <f t="shared" si="29"/>
        <v>142.0401</v>
      </c>
      <c r="N1064" s="5">
        <f t="shared" si="29"/>
        <v>58.217499999999994</v>
      </c>
      <c r="O1064" s="5">
        <f t="shared" si="29"/>
        <v>4.4046000000000003</v>
      </c>
      <c r="P1064" s="5">
        <f t="shared" si="29"/>
        <v>14.707600000000001</v>
      </c>
      <c r="Q1064" s="5">
        <f t="shared" si="29"/>
        <v>371.09549999999996</v>
      </c>
      <c r="R1064" s="5"/>
      <c r="S1064" s="4"/>
    </row>
    <row r="1065" spans="1:19" ht="15" customHeight="1">
      <c r="A1065" s="3">
        <v>2030</v>
      </c>
      <c r="B1065" s="8">
        <f t="shared" ref="B1065:J1065" si="30">AVERAGE(B197:B208)</f>
        <v>6.425533333333334</v>
      </c>
      <c r="C1065" s="8">
        <f t="shared" si="30"/>
        <v>6.4318500000000007</v>
      </c>
      <c r="D1065" s="8">
        <f t="shared" si="30"/>
        <v>6.4262499999999996</v>
      </c>
      <c r="E1065" s="8">
        <f t="shared" si="30"/>
        <v>6.4275416666666674</v>
      </c>
      <c r="F1065" s="4">
        <f t="shared" si="30"/>
        <v>7.095766666666667</v>
      </c>
      <c r="G1065" s="8">
        <f t="shared" si="30"/>
        <v>6.2916166666666662</v>
      </c>
      <c r="H1065" s="4">
        <f t="shared" si="30"/>
        <v>7.206875000000001</v>
      </c>
      <c r="I1065" s="8">
        <f t="shared" si="30"/>
        <v>6.281883333333333</v>
      </c>
      <c r="J1065" s="4">
        <f t="shared" si="30"/>
        <v>6.1814333333333336</v>
      </c>
      <c r="K1065" s="4"/>
      <c r="L1065" s="5">
        <f t="shared" ref="L1065:Q1065" si="31">SUM(L197:L208)</f>
        <v>355.53689999999995</v>
      </c>
      <c r="M1065" s="5">
        <f t="shared" si="31"/>
        <v>142.0401</v>
      </c>
      <c r="N1065" s="5">
        <f t="shared" si="31"/>
        <v>58.217499999999994</v>
      </c>
      <c r="O1065" s="5">
        <f t="shared" si="31"/>
        <v>4.4046000000000003</v>
      </c>
      <c r="P1065" s="5">
        <f t="shared" si="31"/>
        <v>14.707600000000001</v>
      </c>
      <c r="Q1065" s="5">
        <f t="shared" si="31"/>
        <v>368.9276999999999</v>
      </c>
      <c r="R1065" s="5"/>
      <c r="S1065" s="4"/>
    </row>
    <row r="1066" spans="1:19" ht="15" customHeight="1">
      <c r="A1066" s="3">
        <v>2031</v>
      </c>
      <c r="B1066" s="8">
        <f t="shared" ref="B1066:J1066" si="32">AVERAGE(B209:B220)</f>
        <v>6.622091666666666</v>
      </c>
      <c r="C1066" s="8">
        <f t="shared" si="32"/>
        <v>6.6283833333333346</v>
      </c>
      <c r="D1066" s="8">
        <f t="shared" si="32"/>
        <v>6.6227999999999989</v>
      </c>
      <c r="E1066" s="8">
        <f t="shared" si="32"/>
        <v>6.6241000000000012</v>
      </c>
      <c r="F1066" s="4">
        <f t="shared" si="32"/>
        <v>7.2923333333333327</v>
      </c>
      <c r="G1066" s="8">
        <f t="shared" si="32"/>
        <v>6.4849000000000006</v>
      </c>
      <c r="H1066" s="4">
        <f t="shared" si="32"/>
        <v>7.4001833333333336</v>
      </c>
      <c r="I1066" s="8">
        <f t="shared" si="32"/>
        <v>6.4719583333333333</v>
      </c>
      <c r="J1066" s="4">
        <f t="shared" si="32"/>
        <v>6.3714333333333348</v>
      </c>
      <c r="K1066" s="4"/>
      <c r="L1066" s="5">
        <f t="shared" ref="L1066:Q1066" si="33">SUM(L209:L220)</f>
        <v>355.53689999999995</v>
      </c>
      <c r="M1066" s="5">
        <f t="shared" si="33"/>
        <v>142.0401</v>
      </c>
      <c r="N1066" s="5">
        <f t="shared" si="33"/>
        <v>58.217499999999994</v>
      </c>
      <c r="O1066" s="5">
        <f t="shared" si="33"/>
        <v>4.4046000000000003</v>
      </c>
      <c r="P1066" s="5">
        <f t="shared" si="33"/>
        <v>14.707600000000001</v>
      </c>
      <c r="Q1066" s="5">
        <f t="shared" si="33"/>
        <v>365.31420000000003</v>
      </c>
      <c r="R1066" s="5"/>
      <c r="S1066" s="4"/>
    </row>
    <row r="1067" spans="1:19" ht="15" customHeight="1">
      <c r="A1067" s="3">
        <v>2032</v>
      </c>
      <c r="B1067" s="8">
        <f t="shared" ref="B1067:J1067" si="34">AVERAGE(B221:B232)</f>
        <v>6.8289833333333334</v>
      </c>
      <c r="C1067" s="8">
        <f t="shared" si="34"/>
        <v>6.8352833333333338</v>
      </c>
      <c r="D1067" s="8">
        <f t="shared" si="34"/>
        <v>6.829691666666668</v>
      </c>
      <c r="E1067" s="8">
        <f t="shared" si="34"/>
        <v>6.8309999999999995</v>
      </c>
      <c r="F1067" s="4">
        <f t="shared" si="34"/>
        <v>7.4992166666666664</v>
      </c>
      <c r="G1067" s="8">
        <f t="shared" si="34"/>
        <v>6.6883583333333343</v>
      </c>
      <c r="H1067" s="4">
        <f t="shared" si="34"/>
        <v>7.603625000000001</v>
      </c>
      <c r="I1067" s="8">
        <f t="shared" si="34"/>
        <v>6.6720749999999995</v>
      </c>
      <c r="J1067" s="4">
        <f t="shared" si="34"/>
        <v>6.5714499999999996</v>
      </c>
      <c r="K1067" s="4"/>
      <c r="L1067" s="5">
        <f t="shared" ref="L1067:Q1067" si="35">SUM(L221:L232)</f>
        <v>356.48229999999995</v>
      </c>
      <c r="M1067" s="5">
        <f t="shared" si="35"/>
        <v>142.42920000000001</v>
      </c>
      <c r="N1067" s="5">
        <f t="shared" si="35"/>
        <v>58.377000000000002</v>
      </c>
      <c r="O1067" s="5">
        <f t="shared" si="35"/>
        <v>4.4165999999999999</v>
      </c>
      <c r="P1067" s="5">
        <f t="shared" si="35"/>
        <v>14.7493</v>
      </c>
      <c r="Q1067" s="5">
        <f t="shared" si="35"/>
        <v>364.46999999999997</v>
      </c>
      <c r="R1067" s="5"/>
      <c r="S1067" s="4"/>
    </row>
    <row r="1068" spans="1:19" ht="15" customHeight="1">
      <c r="A1068" s="3">
        <v>2033</v>
      </c>
      <c r="B1068" s="8">
        <f t="shared" ref="B1068:J1068" si="36">AVERAGE(B233:B244)</f>
        <v>7.0358666666666663</v>
      </c>
      <c r="C1068" s="8">
        <f t="shared" si="36"/>
        <v>7.0421583333333331</v>
      </c>
      <c r="D1068" s="8">
        <f t="shared" si="36"/>
        <v>7.0365833333333327</v>
      </c>
      <c r="E1068" s="8">
        <f t="shared" si="36"/>
        <v>7.0378833333333324</v>
      </c>
      <c r="F1068" s="4">
        <f t="shared" si="36"/>
        <v>7.7061083333333329</v>
      </c>
      <c r="G1068" s="8">
        <f t="shared" si="36"/>
        <v>6.8918166666666671</v>
      </c>
      <c r="H1068" s="4">
        <f t="shared" si="36"/>
        <v>7.8070916666666674</v>
      </c>
      <c r="I1068" s="8">
        <f t="shared" si="36"/>
        <v>6.872158333333334</v>
      </c>
      <c r="J1068" s="4">
        <f t="shared" si="36"/>
        <v>6.7714500000000006</v>
      </c>
      <c r="K1068" s="4"/>
      <c r="L1068" s="5">
        <f t="shared" ref="L1068:Q1068" si="37">SUM(L233:L244)</f>
        <v>355.53689999999995</v>
      </c>
      <c r="M1068" s="5">
        <f t="shared" si="37"/>
        <v>142.0401</v>
      </c>
      <c r="N1068" s="5">
        <f t="shared" si="37"/>
        <v>58.217499999999994</v>
      </c>
      <c r="O1068" s="5">
        <f t="shared" si="37"/>
        <v>4.4046000000000003</v>
      </c>
      <c r="P1068" s="5">
        <f t="shared" si="37"/>
        <v>14.707600000000001</v>
      </c>
      <c r="Q1068" s="5">
        <f t="shared" si="37"/>
        <v>362.33550000000002</v>
      </c>
      <c r="R1068" s="5"/>
      <c r="S1068" s="4"/>
    </row>
    <row r="1069" spans="1:19" ht="15" customHeight="1">
      <c r="A1069" s="3">
        <v>2034</v>
      </c>
      <c r="B1069" s="8">
        <f t="shared" ref="B1069:J1069" si="38">AVERAGE(B245:B256)</f>
        <v>7.180691666666668</v>
      </c>
      <c r="C1069" s="8">
        <f t="shared" si="38"/>
        <v>7.1869749999999994</v>
      </c>
      <c r="D1069" s="8">
        <f t="shared" si="38"/>
        <v>7.1813916666666664</v>
      </c>
      <c r="E1069" s="8">
        <f t="shared" si="38"/>
        <v>7.1826999999999996</v>
      </c>
      <c r="F1069" s="4">
        <f t="shared" si="38"/>
        <v>7.8509249999999993</v>
      </c>
      <c r="G1069" s="8">
        <f t="shared" si="38"/>
        <v>7.0342416666666674</v>
      </c>
      <c r="H1069" s="4">
        <f t="shared" si="38"/>
        <v>7.9495083333333341</v>
      </c>
      <c r="I1069" s="8">
        <f t="shared" si="38"/>
        <v>7.0122249999999999</v>
      </c>
      <c r="J1069" s="4">
        <f t="shared" si="38"/>
        <v>6.911458333333333</v>
      </c>
      <c r="K1069" s="4"/>
      <c r="L1069" s="5">
        <f t="shared" ref="L1069:Q1069" si="39">SUM(L245:L256)</f>
        <v>355.53689999999995</v>
      </c>
      <c r="M1069" s="5">
        <f t="shared" si="39"/>
        <v>142.0401</v>
      </c>
      <c r="N1069" s="5">
        <f t="shared" si="39"/>
        <v>58.217499999999994</v>
      </c>
      <c r="O1069" s="5">
        <f t="shared" si="39"/>
        <v>4.4046000000000003</v>
      </c>
      <c r="P1069" s="5">
        <f t="shared" si="39"/>
        <v>14.707600000000001</v>
      </c>
      <c r="Q1069" s="5">
        <f t="shared" si="39"/>
        <v>361.59120000000007</v>
      </c>
      <c r="R1069" s="5"/>
      <c r="S1069" s="4"/>
    </row>
    <row r="1070" spans="1:19" ht="15" customHeight="1">
      <c r="A1070" s="3">
        <v>2035</v>
      </c>
      <c r="B1070" s="8">
        <f t="shared" ref="B1070:J1070" si="40">AVERAGE(B257:B268)</f>
        <v>7.3255249999999998</v>
      </c>
      <c r="C1070" s="8">
        <f t="shared" si="40"/>
        <v>7.3318083333333339</v>
      </c>
      <c r="D1070" s="8">
        <f t="shared" si="40"/>
        <v>7.3262416666666672</v>
      </c>
      <c r="E1070" s="8">
        <f t="shared" si="40"/>
        <v>7.327541666666666</v>
      </c>
      <c r="F1070" s="4">
        <f t="shared" si="40"/>
        <v>7.9957333333333338</v>
      </c>
      <c r="G1070" s="8">
        <f t="shared" si="40"/>
        <v>7.1766666666666667</v>
      </c>
      <c r="H1070" s="4">
        <f t="shared" si="40"/>
        <v>8.091924999999998</v>
      </c>
      <c r="I1070" s="8">
        <f t="shared" si="40"/>
        <v>7.1522916666666667</v>
      </c>
      <c r="J1070" s="4">
        <f t="shared" si="40"/>
        <v>7.05145</v>
      </c>
      <c r="K1070" s="4"/>
      <c r="L1070" s="5">
        <f t="shared" ref="L1070:Q1070" si="41">SUM(L257:L268)</f>
        <v>355.53689999999995</v>
      </c>
      <c r="M1070" s="5">
        <f t="shared" si="41"/>
        <v>142.0401</v>
      </c>
      <c r="N1070" s="5">
        <f t="shared" si="41"/>
        <v>58.217499999999994</v>
      </c>
      <c r="O1070" s="5">
        <f t="shared" si="41"/>
        <v>4.4046000000000003</v>
      </c>
      <c r="P1070" s="5">
        <f t="shared" si="41"/>
        <v>14.707600000000001</v>
      </c>
      <c r="Q1070" s="5">
        <f t="shared" si="41"/>
        <v>360.82469999999995</v>
      </c>
      <c r="R1070" s="5"/>
      <c r="S1070" s="4"/>
    </row>
    <row r="1071" spans="1:19" ht="15" customHeight="1">
      <c r="A1071" s="3">
        <v>2036</v>
      </c>
      <c r="B1071" s="8">
        <f t="shared" ref="B1071:J1071" si="42">AVERAGE(B269:B280)</f>
        <v>7.5640250000000009</v>
      </c>
      <c r="C1071" s="8">
        <f t="shared" si="42"/>
        <v>7.5703250000000004</v>
      </c>
      <c r="D1071" s="8">
        <f t="shared" si="42"/>
        <v>7.5647416666666665</v>
      </c>
      <c r="E1071" s="8">
        <f t="shared" si="42"/>
        <v>7.5660333333333325</v>
      </c>
      <c r="F1071" s="4">
        <f t="shared" si="42"/>
        <v>8.2342416666666658</v>
      </c>
      <c r="G1071" s="8">
        <f t="shared" si="42"/>
        <v>7.4112083333333336</v>
      </c>
      <c r="H1071" s="4">
        <f t="shared" si="42"/>
        <v>8.3264750000000003</v>
      </c>
      <c r="I1071" s="8">
        <f t="shared" si="42"/>
        <v>7.3829833333333328</v>
      </c>
      <c r="J1071" s="4">
        <f t="shared" si="42"/>
        <v>7.282</v>
      </c>
      <c r="K1071" s="4"/>
      <c r="L1071" s="5">
        <f t="shared" ref="L1071:Q1071" si="43">SUM(L269:L280)</f>
        <v>356.48229999999995</v>
      </c>
      <c r="M1071" s="5">
        <f t="shared" si="43"/>
        <v>142.42920000000001</v>
      </c>
      <c r="N1071" s="5">
        <f t="shared" si="43"/>
        <v>58.377000000000002</v>
      </c>
      <c r="O1071" s="5">
        <f t="shared" si="43"/>
        <v>4.4165999999999999</v>
      </c>
      <c r="P1071" s="5">
        <f t="shared" si="43"/>
        <v>14.7493</v>
      </c>
      <c r="Q1071" s="5">
        <f t="shared" si="43"/>
        <v>361.0446</v>
      </c>
      <c r="R1071" s="5"/>
      <c r="S1071" s="4"/>
    </row>
    <row r="1072" spans="1:19" ht="15" customHeight="1">
      <c r="A1072" s="3">
        <v>2037</v>
      </c>
      <c r="B1072" s="8">
        <f t="shared" ref="B1072:J1072" si="44">AVERAGE(B281:B292)</f>
        <v>7.8103083333333325</v>
      </c>
      <c r="C1072" s="8">
        <f t="shared" si="44"/>
        <v>7.8166166666666657</v>
      </c>
      <c r="D1072" s="8">
        <f t="shared" si="44"/>
        <v>7.8110249999999981</v>
      </c>
      <c r="E1072" s="8">
        <f t="shared" si="44"/>
        <v>7.8123250000000004</v>
      </c>
      <c r="F1072" s="4">
        <f t="shared" si="44"/>
        <v>8.4805583333333328</v>
      </c>
      <c r="G1072" s="8">
        <f t="shared" si="44"/>
        <v>7.6534250000000013</v>
      </c>
      <c r="H1072" s="4">
        <f t="shared" si="44"/>
        <v>8.5687000000000015</v>
      </c>
      <c r="I1072" s="8">
        <f t="shared" si="44"/>
        <v>7.6212166666666663</v>
      </c>
      <c r="J1072" s="4">
        <f t="shared" si="44"/>
        <v>7.520108333333333</v>
      </c>
      <c r="K1072" s="4"/>
      <c r="L1072" s="5">
        <f t="shared" ref="L1072:Q1072" si="45">SUM(L281:L292)</f>
        <v>355.53689999999995</v>
      </c>
      <c r="M1072" s="5">
        <f t="shared" si="45"/>
        <v>142.0401</v>
      </c>
      <c r="N1072" s="5">
        <f t="shared" si="45"/>
        <v>58.217499999999994</v>
      </c>
      <c r="O1072" s="5">
        <f t="shared" si="45"/>
        <v>4.4046000000000003</v>
      </c>
      <c r="P1072" s="5">
        <f t="shared" si="45"/>
        <v>14.707600000000001</v>
      </c>
      <c r="Q1072" s="5">
        <f t="shared" si="45"/>
        <v>359.29169999999999</v>
      </c>
      <c r="R1072" s="5"/>
      <c r="S1072" s="4"/>
    </row>
    <row r="1073" spans="1:19" ht="15" customHeight="1">
      <c r="A1073" s="3">
        <f t="shared" ref="A1073:A1104" si="46">A1072+1</f>
        <v>2038</v>
      </c>
      <c r="B1073" s="8">
        <f t="shared" ref="B1073:J1073" si="47">AVERAGE(B293:B304)</f>
        <v>8.0646749999999994</v>
      </c>
      <c r="C1073" s="8">
        <f t="shared" si="47"/>
        <v>8.0709833333333325</v>
      </c>
      <c r="D1073" s="8">
        <f t="shared" si="47"/>
        <v>8.065391666666665</v>
      </c>
      <c r="E1073" s="8">
        <f t="shared" si="47"/>
        <v>8.066691666666669</v>
      </c>
      <c r="F1073" s="4">
        <f t="shared" si="47"/>
        <v>8.7349166666666669</v>
      </c>
      <c r="G1073" s="8">
        <f t="shared" si="47"/>
        <v>7.9035666666666664</v>
      </c>
      <c r="H1073" s="4">
        <f t="shared" si="47"/>
        <v>8.8188333333333322</v>
      </c>
      <c r="I1073" s="8">
        <f t="shared" si="47"/>
        <v>7.867208333333334</v>
      </c>
      <c r="J1073" s="4">
        <f t="shared" si="47"/>
        <v>7.7659916666666673</v>
      </c>
      <c r="K1073" s="4"/>
      <c r="L1073" s="5">
        <f t="shared" ref="L1073:Q1073" si="48">SUM(L293:L304)</f>
        <v>355.53689999999995</v>
      </c>
      <c r="M1073" s="5">
        <f t="shared" si="48"/>
        <v>142.0401</v>
      </c>
      <c r="N1073" s="5">
        <f t="shared" si="48"/>
        <v>58.217499999999994</v>
      </c>
      <c r="O1073" s="5">
        <f t="shared" si="48"/>
        <v>4.4046000000000003</v>
      </c>
      <c r="P1073" s="5">
        <f t="shared" si="48"/>
        <v>14.707600000000001</v>
      </c>
      <c r="Q1073" s="5">
        <f t="shared" si="48"/>
        <v>358.54670000000004</v>
      </c>
      <c r="R1073" s="5"/>
      <c r="S1073" s="4"/>
    </row>
    <row r="1074" spans="1:19" ht="15" customHeight="1">
      <c r="A1074" s="3">
        <f t="shared" si="46"/>
        <v>2039</v>
      </c>
      <c r="B1074" s="8">
        <f t="shared" ref="B1074:J1074" si="49">AVERAGE(B305:B316)</f>
        <v>8.3273583333333328</v>
      </c>
      <c r="C1074" s="8">
        <f t="shared" si="49"/>
        <v>8.3336416666666668</v>
      </c>
      <c r="D1074" s="8">
        <f t="shared" si="49"/>
        <v>8.3280666666666665</v>
      </c>
      <c r="E1074" s="8">
        <f t="shared" si="49"/>
        <v>8.3293666666666653</v>
      </c>
      <c r="F1074" s="4">
        <f t="shared" si="49"/>
        <v>8.997600000000002</v>
      </c>
      <c r="G1074" s="8">
        <f t="shared" si="49"/>
        <v>8.1618833333333356</v>
      </c>
      <c r="H1074" s="4">
        <f t="shared" si="49"/>
        <v>9.0771499999999996</v>
      </c>
      <c r="I1074" s="8">
        <f t="shared" si="49"/>
        <v>8.1212833333333325</v>
      </c>
      <c r="J1074" s="4">
        <f t="shared" si="49"/>
        <v>8.0199333333333325</v>
      </c>
      <c r="K1074" s="7"/>
      <c r="L1074" s="5">
        <f t="shared" ref="L1074:Q1074" si="50">SUM(L305:L316)</f>
        <v>355.53689999999995</v>
      </c>
      <c r="M1074" s="5">
        <f t="shared" si="50"/>
        <v>142.0401</v>
      </c>
      <c r="N1074" s="5">
        <f t="shared" si="50"/>
        <v>58.217499999999994</v>
      </c>
      <c r="O1074" s="5">
        <f t="shared" si="50"/>
        <v>4.4046000000000003</v>
      </c>
      <c r="P1074" s="5">
        <f t="shared" si="50"/>
        <v>14.707600000000001</v>
      </c>
      <c r="Q1074" s="5">
        <f t="shared" si="50"/>
        <v>357.78019999999998</v>
      </c>
      <c r="R1074" s="5"/>
      <c r="S1074" s="6"/>
    </row>
    <row r="1075" spans="1:19" ht="15" customHeight="1">
      <c r="A1075" s="3">
        <f t="shared" si="46"/>
        <v>2040</v>
      </c>
      <c r="B1075" s="8">
        <f t="shared" ref="B1075:J1075" si="51">AVERAGE(B317:B328)</f>
        <v>8.5986166666666666</v>
      </c>
      <c r="C1075" s="8">
        <f t="shared" si="51"/>
        <v>8.6049333333333333</v>
      </c>
      <c r="D1075" s="8">
        <f t="shared" si="51"/>
        <v>8.5993249999999986</v>
      </c>
      <c r="E1075" s="8">
        <f t="shared" si="51"/>
        <v>8.6006249999999991</v>
      </c>
      <c r="F1075" s="4">
        <f t="shared" si="51"/>
        <v>9.2688583333333341</v>
      </c>
      <c r="G1075" s="8">
        <f t="shared" si="51"/>
        <v>8.4286666666666665</v>
      </c>
      <c r="H1075" s="4">
        <f t="shared" si="51"/>
        <v>9.3439416666666659</v>
      </c>
      <c r="I1075" s="8">
        <f t="shared" si="51"/>
        <v>8.3836416666666675</v>
      </c>
      <c r="J1075" s="4">
        <f t="shared" si="51"/>
        <v>8.2821499999999997</v>
      </c>
      <c r="K1075" s="7"/>
      <c r="L1075" s="5">
        <f t="shared" ref="L1075:Q1075" si="52">SUM(L317:L328)</f>
        <v>356.48229999999995</v>
      </c>
      <c r="M1075" s="5">
        <f t="shared" si="52"/>
        <v>142.42920000000001</v>
      </c>
      <c r="N1075" s="5">
        <f t="shared" si="52"/>
        <v>58.377000000000002</v>
      </c>
      <c r="O1075" s="5">
        <f t="shared" si="52"/>
        <v>4.4165999999999999</v>
      </c>
      <c r="P1075" s="5">
        <f t="shared" si="52"/>
        <v>14.7493</v>
      </c>
      <c r="Q1075" s="5">
        <f t="shared" si="52"/>
        <v>357.99180000000001</v>
      </c>
      <c r="R1075" s="5"/>
      <c r="S1075" s="6"/>
    </row>
    <row r="1076" spans="1:19" ht="15" customHeight="1">
      <c r="A1076" s="3">
        <f t="shared" si="46"/>
        <v>2041</v>
      </c>
      <c r="B1076" s="8">
        <f t="shared" ref="B1076:J1076" si="53">AVERAGE(B329:B340)</f>
        <v>8.878775000000001</v>
      </c>
      <c r="C1076" s="8">
        <f t="shared" si="53"/>
        <v>8.8850666666666669</v>
      </c>
      <c r="D1076" s="8">
        <f t="shared" si="53"/>
        <v>8.8794749999999993</v>
      </c>
      <c r="E1076" s="8">
        <f t="shared" si="53"/>
        <v>8.8807750000000016</v>
      </c>
      <c r="F1076" s="4">
        <f t="shared" si="53"/>
        <v>9.5489999999999995</v>
      </c>
      <c r="G1076" s="8">
        <f t="shared" si="53"/>
        <v>8.7041499999999985</v>
      </c>
      <c r="H1076" s="4">
        <f t="shared" si="53"/>
        <v>9.6194249999999997</v>
      </c>
      <c r="I1076" s="8">
        <f t="shared" si="53"/>
        <v>8.6545833333333331</v>
      </c>
      <c r="J1076" s="4">
        <f t="shared" si="53"/>
        <v>8.5529833333333336</v>
      </c>
      <c r="K1076" s="7"/>
      <c r="L1076" s="5">
        <f t="shared" ref="L1076:Q1076" si="54">SUM(L329:L340)</f>
        <v>355.53689999999995</v>
      </c>
      <c r="M1076" s="5">
        <f t="shared" si="54"/>
        <v>142.0401</v>
      </c>
      <c r="N1076" s="5">
        <f t="shared" si="54"/>
        <v>58.217499999999994</v>
      </c>
      <c r="O1076" s="5">
        <f t="shared" si="54"/>
        <v>4.4046000000000003</v>
      </c>
      <c r="P1076" s="5">
        <f t="shared" si="54"/>
        <v>14.707600000000001</v>
      </c>
      <c r="Q1076" s="5">
        <f t="shared" si="54"/>
        <v>356.26930000000004</v>
      </c>
      <c r="R1076" s="5"/>
      <c r="S1076" s="6"/>
    </row>
    <row r="1077" spans="1:19" ht="15" customHeight="1">
      <c r="A1077" s="3">
        <f t="shared" si="46"/>
        <v>2042</v>
      </c>
      <c r="B1077" s="8">
        <f t="shared" ref="B1077:J1077" si="55">AVERAGE(B341:B352)</f>
        <v>9.1680583333333328</v>
      </c>
      <c r="C1077" s="8">
        <f t="shared" si="55"/>
        <v>9.1743583333333323</v>
      </c>
      <c r="D1077" s="8">
        <f t="shared" si="55"/>
        <v>9.1687750000000019</v>
      </c>
      <c r="E1077" s="8">
        <f t="shared" si="55"/>
        <v>9.1700749999999989</v>
      </c>
      <c r="F1077" s="4">
        <f t="shared" si="55"/>
        <v>9.8382916666666649</v>
      </c>
      <c r="G1077" s="8">
        <f t="shared" si="55"/>
        <v>8.9886583333333334</v>
      </c>
      <c r="H1077" s="4">
        <f t="shared" si="55"/>
        <v>9.9039000000000001</v>
      </c>
      <c r="I1077" s="8">
        <f t="shared" si="55"/>
        <v>8.9343916666666665</v>
      </c>
      <c r="J1077" s="4">
        <f t="shared" si="55"/>
        <v>8.8326333333333338</v>
      </c>
      <c r="K1077" s="7"/>
      <c r="L1077" s="5">
        <f t="shared" ref="L1077:Q1077" si="56">SUM(L341:L352)</f>
        <v>355.53689999999995</v>
      </c>
      <c r="M1077" s="5">
        <f t="shared" si="56"/>
        <v>142.0401</v>
      </c>
      <c r="N1077" s="5">
        <f t="shared" si="56"/>
        <v>58.217499999999994</v>
      </c>
      <c r="O1077" s="5">
        <f t="shared" si="56"/>
        <v>4.4046000000000003</v>
      </c>
      <c r="P1077" s="5">
        <f t="shared" si="56"/>
        <v>14.707600000000001</v>
      </c>
      <c r="Q1077" s="5">
        <f t="shared" si="56"/>
        <v>242.47669999999997</v>
      </c>
      <c r="R1077" s="5"/>
      <c r="S1077" s="6"/>
    </row>
    <row r="1078" spans="1:19" ht="15" customHeight="1">
      <c r="A1078" s="3">
        <f t="shared" si="46"/>
        <v>2043</v>
      </c>
      <c r="B1078" s="8">
        <f t="shared" ref="B1078:J1078" si="57">AVERAGE(B353:B364)</f>
        <v>9.4668166666666664</v>
      </c>
      <c r="C1078" s="8">
        <f t="shared" si="57"/>
        <v>9.473116666666666</v>
      </c>
      <c r="D1078" s="8">
        <f t="shared" si="57"/>
        <v>9.4675249999999984</v>
      </c>
      <c r="E1078" s="8">
        <f t="shared" si="57"/>
        <v>9.4688333333333361</v>
      </c>
      <c r="F1078" s="4">
        <f t="shared" si="57"/>
        <v>10.137041666666667</v>
      </c>
      <c r="G1078" s="8">
        <f t="shared" si="57"/>
        <v>9.2824666666666662</v>
      </c>
      <c r="H1078" s="4">
        <f t="shared" si="57"/>
        <v>10.197741666666666</v>
      </c>
      <c r="I1078" s="8">
        <f t="shared" si="57"/>
        <v>9.2233583333333335</v>
      </c>
      <c r="J1078" s="4">
        <f t="shared" si="57"/>
        <v>9.1214499999999976</v>
      </c>
      <c r="K1078" s="7"/>
      <c r="L1078" s="5">
        <f t="shared" ref="L1078:Q1078" si="58">SUM(L353:L364)</f>
        <v>355.53689999999995</v>
      </c>
      <c r="M1078" s="5">
        <f t="shared" si="58"/>
        <v>142.0401</v>
      </c>
      <c r="N1078" s="5">
        <f t="shared" si="58"/>
        <v>58.217499999999994</v>
      </c>
      <c r="O1078" s="5">
        <f t="shared" si="58"/>
        <v>4.4046000000000003</v>
      </c>
      <c r="P1078" s="5">
        <f t="shared" si="58"/>
        <v>14.707600000000001</v>
      </c>
      <c r="Q1078" s="5">
        <f t="shared" si="58"/>
        <v>241.71019999999996</v>
      </c>
      <c r="R1078" s="5"/>
      <c r="S1078" s="6"/>
    </row>
    <row r="1079" spans="1:19" ht="15" customHeight="1">
      <c r="A1079" s="3">
        <f t="shared" si="46"/>
        <v>2044</v>
      </c>
      <c r="B1079" s="8">
        <f t="shared" ref="B1079:J1079" si="59">AVERAGE(B365:B376)</f>
        <v>9.7753750000000004</v>
      </c>
      <c r="C1079" s="8">
        <f t="shared" si="59"/>
        <v>9.7816583333333345</v>
      </c>
      <c r="D1079" s="8">
        <f t="shared" si="59"/>
        <v>9.7760666666666651</v>
      </c>
      <c r="E1079" s="8">
        <f t="shared" si="59"/>
        <v>9.777375000000001</v>
      </c>
      <c r="F1079" s="4">
        <f t="shared" si="59"/>
        <v>10.445591666666667</v>
      </c>
      <c r="G1079" s="8">
        <f t="shared" si="59"/>
        <v>9.5858833333333333</v>
      </c>
      <c r="H1079" s="4">
        <f t="shared" si="59"/>
        <v>10.501158333333334</v>
      </c>
      <c r="I1079" s="8">
        <f t="shared" si="59"/>
        <v>9.521741666666669</v>
      </c>
      <c r="J1079" s="4">
        <f t="shared" si="59"/>
        <v>9.4197000000000006</v>
      </c>
      <c r="K1079" s="7"/>
      <c r="L1079" s="5">
        <f t="shared" ref="L1079:Q1079" si="60">SUM(L365:L376)</f>
        <v>356.48229999999995</v>
      </c>
      <c r="M1079" s="5">
        <f t="shared" si="60"/>
        <v>142.42920000000001</v>
      </c>
      <c r="N1079" s="5">
        <f t="shared" si="60"/>
        <v>58.377000000000002</v>
      </c>
      <c r="O1079" s="5">
        <f t="shared" si="60"/>
        <v>4.4165999999999999</v>
      </c>
      <c r="P1079" s="5">
        <f t="shared" si="60"/>
        <v>14.7493</v>
      </c>
      <c r="Q1079" s="5">
        <f t="shared" si="60"/>
        <v>241.58220000000006</v>
      </c>
      <c r="R1079" s="5"/>
      <c r="S1079" s="6"/>
    </row>
    <row r="1080" spans="1:19" ht="15" customHeight="1">
      <c r="A1080" s="3">
        <f t="shared" si="46"/>
        <v>2045</v>
      </c>
      <c r="B1080" s="8">
        <f t="shared" ref="B1080:J1080" si="61">AVERAGE(B377:B388)</f>
        <v>10.093983333333334</v>
      </c>
      <c r="C1080" s="8">
        <f t="shared" si="61"/>
        <v>10.100274999999998</v>
      </c>
      <c r="D1080" s="8">
        <f t="shared" si="61"/>
        <v>10.094683333333334</v>
      </c>
      <c r="E1080" s="8">
        <f t="shared" si="61"/>
        <v>10.095983333333335</v>
      </c>
      <c r="F1080" s="4">
        <f t="shared" si="61"/>
        <v>10.764216666666668</v>
      </c>
      <c r="G1080" s="8">
        <f t="shared" si="61"/>
        <v>9.8992333333333331</v>
      </c>
      <c r="H1080" s="4">
        <f t="shared" si="61"/>
        <v>10.814491666666667</v>
      </c>
      <c r="I1080" s="8">
        <f t="shared" si="61"/>
        <v>9.8299166666666657</v>
      </c>
      <c r="J1080" s="4">
        <f t="shared" si="61"/>
        <v>9.7277250000000013</v>
      </c>
      <c r="K1080" s="7"/>
      <c r="L1080" s="5">
        <f t="shared" ref="L1080:Q1080" si="62">SUM(L377:L388)</f>
        <v>355.53689999999995</v>
      </c>
      <c r="M1080" s="5">
        <f t="shared" si="62"/>
        <v>142.0401</v>
      </c>
      <c r="N1080" s="5">
        <f t="shared" si="62"/>
        <v>58.217499999999994</v>
      </c>
      <c r="O1080" s="5">
        <f t="shared" si="62"/>
        <v>4.4046000000000003</v>
      </c>
      <c r="P1080" s="5">
        <f t="shared" si="62"/>
        <v>14.707600000000001</v>
      </c>
      <c r="Q1080" s="5">
        <f t="shared" si="62"/>
        <v>240.15570000000002</v>
      </c>
      <c r="R1080" s="5"/>
      <c r="S1080" s="6"/>
    </row>
    <row r="1081" spans="1:19" ht="15" customHeight="1">
      <c r="A1081" s="3">
        <f t="shared" si="46"/>
        <v>2046</v>
      </c>
      <c r="B1081" s="8">
        <f t="shared" ref="B1081:J1081" si="63">AVERAGE(B389:B400)</f>
        <v>10.423016666666667</v>
      </c>
      <c r="C1081" s="8">
        <f t="shared" si="63"/>
        <v>10.429333333333334</v>
      </c>
      <c r="D1081" s="8">
        <f t="shared" si="63"/>
        <v>10.423724999999999</v>
      </c>
      <c r="E1081" s="8">
        <f t="shared" si="63"/>
        <v>10.425025</v>
      </c>
      <c r="F1081" s="4">
        <f t="shared" si="63"/>
        <v>11.093258333333333</v>
      </c>
      <c r="G1081" s="8">
        <f t="shared" si="63"/>
        <v>10.222816666666668</v>
      </c>
      <c r="H1081" s="4">
        <f t="shared" si="63"/>
        <v>11.138066666666665</v>
      </c>
      <c r="I1081" s="8">
        <f t="shared" si="63"/>
        <v>10.148175</v>
      </c>
      <c r="J1081" s="4">
        <f t="shared" si="63"/>
        <v>10.045824999999999</v>
      </c>
      <c r="K1081" s="7"/>
      <c r="L1081" s="5">
        <f t="shared" ref="L1081:Q1081" si="64">SUM(L389:L400)</f>
        <v>355.53689999999995</v>
      </c>
      <c r="M1081" s="5">
        <f t="shared" si="64"/>
        <v>142.0401</v>
      </c>
      <c r="N1081" s="5">
        <f t="shared" si="64"/>
        <v>58.217499999999994</v>
      </c>
      <c r="O1081" s="5">
        <f t="shared" si="64"/>
        <v>4.4046000000000003</v>
      </c>
      <c r="P1081" s="5">
        <f t="shared" si="64"/>
        <v>14.707600000000001</v>
      </c>
      <c r="Q1081" s="5">
        <f t="shared" si="64"/>
        <v>239.38920000000005</v>
      </c>
      <c r="R1081" s="5"/>
      <c r="S1081" s="6"/>
    </row>
    <row r="1082" spans="1:19" ht="15" customHeight="1">
      <c r="A1082" s="3">
        <f t="shared" si="46"/>
        <v>2047</v>
      </c>
      <c r="B1082" s="8">
        <f t="shared" ref="B1082:J1082" si="65">AVERAGE(B401:B412)</f>
        <v>10.762825000000001</v>
      </c>
      <c r="C1082" s="8">
        <f t="shared" si="65"/>
        <v>10.769116666666667</v>
      </c>
      <c r="D1082" s="8">
        <f t="shared" si="65"/>
        <v>10.763516666666666</v>
      </c>
      <c r="E1082" s="8">
        <f t="shared" si="65"/>
        <v>10.764816666666666</v>
      </c>
      <c r="F1082" s="4">
        <f t="shared" si="65"/>
        <v>11.433075000000001</v>
      </c>
      <c r="G1082" s="8">
        <f t="shared" si="65"/>
        <v>10.556991666666667</v>
      </c>
      <c r="H1082" s="4">
        <f t="shared" si="65"/>
        <v>11.472241666666667</v>
      </c>
      <c r="I1082" s="8">
        <f t="shared" si="65"/>
        <v>10.476833333333333</v>
      </c>
      <c r="J1082" s="4">
        <f t="shared" si="65"/>
        <v>10.374291666666666</v>
      </c>
      <c r="K1082" s="7"/>
      <c r="L1082" s="5">
        <f t="shared" ref="L1082:Q1082" si="66">SUM(L401:L412)</f>
        <v>355.53689999999995</v>
      </c>
      <c r="M1082" s="5">
        <f t="shared" si="66"/>
        <v>142.0401</v>
      </c>
      <c r="N1082" s="5">
        <f t="shared" si="66"/>
        <v>58.217499999999994</v>
      </c>
      <c r="O1082" s="5">
        <f t="shared" si="66"/>
        <v>4.4046000000000003</v>
      </c>
      <c r="P1082" s="5">
        <f t="shared" si="66"/>
        <v>14.707600000000001</v>
      </c>
      <c r="Q1082" s="5">
        <f t="shared" si="66"/>
        <v>238.62270000000004</v>
      </c>
      <c r="R1082" s="5"/>
      <c r="S1082" s="6"/>
    </row>
    <row r="1083" spans="1:19" ht="15" customHeight="1">
      <c r="A1083" s="3">
        <f t="shared" si="46"/>
        <v>2048</v>
      </c>
      <c r="B1083" s="8">
        <f t="shared" ref="B1083:J1083" si="67">AVERAGE(B413:B424)</f>
        <v>11.113758333333335</v>
      </c>
      <c r="C1083" s="8">
        <f t="shared" si="67"/>
        <v>11.120033333333334</v>
      </c>
      <c r="D1083" s="8">
        <f t="shared" si="67"/>
        <v>11.11446666666667</v>
      </c>
      <c r="E1083" s="8">
        <f t="shared" si="67"/>
        <v>11.115766666666666</v>
      </c>
      <c r="F1083" s="4">
        <f t="shared" si="67"/>
        <v>11.783983333333333</v>
      </c>
      <c r="G1083" s="8">
        <f t="shared" si="67"/>
        <v>10.902074999999998</v>
      </c>
      <c r="H1083" s="4">
        <f t="shared" si="67"/>
        <v>11.817358333333331</v>
      </c>
      <c r="I1083" s="8">
        <f t="shared" si="67"/>
        <v>10.816233333333335</v>
      </c>
      <c r="J1083" s="4">
        <f t="shared" si="67"/>
        <v>10.713541666666666</v>
      </c>
      <c r="K1083" s="7"/>
      <c r="L1083" s="5">
        <f t="shared" ref="L1083:Q1083" si="68">SUM(L413:L424)</f>
        <v>356.48229999999995</v>
      </c>
      <c r="M1083" s="5">
        <f t="shared" si="68"/>
        <v>142.42920000000001</v>
      </c>
      <c r="N1083" s="5">
        <f t="shared" si="68"/>
        <v>58.377000000000002</v>
      </c>
      <c r="O1083" s="5">
        <f t="shared" si="68"/>
        <v>4.4165999999999999</v>
      </c>
      <c r="P1083" s="5">
        <f t="shared" si="68"/>
        <v>14.7493</v>
      </c>
      <c r="Q1083" s="5">
        <f t="shared" si="68"/>
        <v>238.50780000000003</v>
      </c>
      <c r="R1083" s="5"/>
      <c r="S1083" s="6"/>
    </row>
    <row r="1084" spans="1:19" ht="15" customHeight="1">
      <c r="A1084" s="3">
        <f t="shared" si="46"/>
        <v>2049</v>
      </c>
      <c r="B1084" s="8">
        <f t="shared" ref="B1084:J1084" si="69">AVERAGE(B425:B436)</f>
        <v>11.476141666666669</v>
      </c>
      <c r="C1084" s="8">
        <f t="shared" si="69"/>
        <v>11.482441666666666</v>
      </c>
      <c r="D1084" s="8">
        <f t="shared" si="69"/>
        <v>11.476849999999999</v>
      </c>
      <c r="E1084" s="8">
        <f t="shared" si="69"/>
        <v>11.478150000000001</v>
      </c>
      <c r="F1084" s="4">
        <f t="shared" si="69"/>
        <v>12.146383333333334</v>
      </c>
      <c r="G1084" s="8">
        <f t="shared" si="69"/>
        <v>11.258466666666665</v>
      </c>
      <c r="H1084" s="4">
        <f t="shared" si="69"/>
        <v>12.173741666666666</v>
      </c>
      <c r="I1084" s="8">
        <f t="shared" si="69"/>
        <v>11.166716666666664</v>
      </c>
      <c r="J1084" s="4">
        <f t="shared" si="69"/>
        <v>11.063858333333334</v>
      </c>
      <c r="K1084" s="7"/>
      <c r="L1084" s="5">
        <f t="shared" ref="L1084:Q1084" si="70">SUM(L425:L436)</f>
        <v>355.53689999999995</v>
      </c>
      <c r="M1084" s="5">
        <f t="shared" si="70"/>
        <v>142.0401</v>
      </c>
      <c r="N1084" s="5">
        <f t="shared" si="70"/>
        <v>58.217499999999994</v>
      </c>
      <c r="O1084" s="5">
        <f t="shared" si="70"/>
        <v>4.4046000000000003</v>
      </c>
      <c r="P1084" s="5">
        <f t="shared" si="70"/>
        <v>14.707600000000001</v>
      </c>
      <c r="Q1084" s="5">
        <f t="shared" si="70"/>
        <v>237.08969999999999</v>
      </c>
      <c r="R1084" s="5"/>
      <c r="S1084" s="6"/>
    </row>
    <row r="1085" spans="1:19" ht="15" customHeight="1">
      <c r="A1085" s="3">
        <f t="shared" si="46"/>
        <v>2050</v>
      </c>
      <c r="B1085" s="8">
        <f t="shared" ref="B1085:J1085" si="71">AVERAGE(B437:B448)</f>
        <v>11.850375</v>
      </c>
      <c r="C1085" s="8">
        <f t="shared" si="71"/>
        <v>11.856666666666667</v>
      </c>
      <c r="D1085" s="8">
        <f t="shared" si="71"/>
        <v>11.851091666666667</v>
      </c>
      <c r="E1085" s="8">
        <f t="shared" si="71"/>
        <v>11.852383333333334</v>
      </c>
      <c r="F1085" s="4">
        <f t="shared" si="71"/>
        <v>12.520625000000001</v>
      </c>
      <c r="G1085" s="8">
        <f t="shared" si="71"/>
        <v>11.626499999999998</v>
      </c>
      <c r="H1085" s="4">
        <f t="shared" si="71"/>
        <v>12.541783333333333</v>
      </c>
      <c r="I1085" s="8">
        <f t="shared" si="71"/>
        <v>11.528683333333333</v>
      </c>
      <c r="J1085" s="4">
        <f t="shared" si="71"/>
        <v>11.425624999999998</v>
      </c>
      <c r="K1085" s="7"/>
      <c r="L1085" s="5">
        <f t="shared" ref="L1085:Q1085" si="72">SUM(L437:L448)</f>
        <v>355.53689999999995</v>
      </c>
      <c r="M1085" s="5">
        <f t="shared" si="72"/>
        <v>142.0401</v>
      </c>
      <c r="N1085" s="5">
        <f t="shared" si="72"/>
        <v>58.217499999999994</v>
      </c>
      <c r="O1085" s="5">
        <f t="shared" si="72"/>
        <v>4.4046000000000003</v>
      </c>
      <c r="P1085" s="5">
        <f t="shared" si="72"/>
        <v>14.707600000000001</v>
      </c>
      <c r="Q1085" s="5">
        <f t="shared" si="72"/>
        <v>236.32320000000004</v>
      </c>
      <c r="R1085" s="5"/>
      <c r="S1085" s="6"/>
    </row>
    <row r="1086" spans="1:19" ht="15" customHeight="1">
      <c r="A1086" s="3">
        <f t="shared" si="46"/>
        <v>2051</v>
      </c>
      <c r="B1086" s="8">
        <f t="shared" ref="B1086:J1086" si="73">AVERAGE(B449:B460)</f>
        <v>12.236858333333331</v>
      </c>
      <c r="C1086" s="8">
        <f t="shared" si="73"/>
        <v>12.243166666666665</v>
      </c>
      <c r="D1086" s="8">
        <f t="shared" si="73"/>
        <v>12.237575</v>
      </c>
      <c r="E1086" s="8">
        <f t="shared" si="73"/>
        <v>12.238875</v>
      </c>
      <c r="F1086" s="4">
        <f t="shared" si="73"/>
        <v>12.9071</v>
      </c>
      <c r="G1086" s="8">
        <f t="shared" si="73"/>
        <v>12.006591666666667</v>
      </c>
      <c r="H1086" s="4">
        <f t="shared" si="73"/>
        <v>12.921849999999999</v>
      </c>
      <c r="I1086" s="8">
        <f t="shared" si="73"/>
        <v>11.902483333333336</v>
      </c>
      <c r="J1086" s="4">
        <f t="shared" si="73"/>
        <v>11.799266666666668</v>
      </c>
      <c r="K1086" s="7"/>
      <c r="L1086" s="5">
        <f t="shared" ref="L1086:Q1086" si="74">SUM(L449:L460)</f>
        <v>355.53689999999995</v>
      </c>
      <c r="M1086" s="5">
        <f t="shared" si="74"/>
        <v>142.0401</v>
      </c>
      <c r="N1086" s="5">
        <f t="shared" si="74"/>
        <v>58.217499999999994</v>
      </c>
      <c r="O1086" s="5">
        <f t="shared" si="74"/>
        <v>4.4046000000000003</v>
      </c>
      <c r="P1086" s="5">
        <f t="shared" si="74"/>
        <v>14.707600000000001</v>
      </c>
      <c r="Q1086" s="5">
        <f t="shared" si="74"/>
        <v>235.57820000000007</v>
      </c>
      <c r="R1086" s="5"/>
      <c r="S1086" s="6"/>
    </row>
    <row r="1087" spans="1:19" ht="15" customHeight="1">
      <c r="A1087" s="3">
        <f t="shared" si="46"/>
        <v>2052</v>
      </c>
      <c r="B1087" s="8">
        <f t="shared" ref="B1087:J1087" si="75">AVERAGE(B461:B472)</f>
        <v>12.635991666666664</v>
      </c>
      <c r="C1087" s="8">
        <f t="shared" si="75"/>
        <v>12.642283333333332</v>
      </c>
      <c r="D1087" s="8">
        <f t="shared" si="75"/>
        <v>12.636691666666669</v>
      </c>
      <c r="E1087" s="8">
        <f t="shared" si="75"/>
        <v>12.637999999999998</v>
      </c>
      <c r="F1087" s="4">
        <f t="shared" si="75"/>
        <v>13.306216666666666</v>
      </c>
      <c r="G1087" s="8">
        <f t="shared" si="75"/>
        <v>12.399083333333332</v>
      </c>
      <c r="H1087" s="4">
        <f t="shared" si="75"/>
        <v>13.314333333333336</v>
      </c>
      <c r="I1087" s="8">
        <f t="shared" si="75"/>
        <v>12.288525</v>
      </c>
      <c r="J1087" s="4">
        <f t="shared" si="75"/>
        <v>12.185083333333333</v>
      </c>
      <c r="K1087" s="7"/>
      <c r="L1087" s="5">
        <f t="shared" ref="L1087:Q1087" si="76">SUM(L461:L472)</f>
        <v>356.48229999999995</v>
      </c>
      <c r="M1087" s="5">
        <f t="shared" si="76"/>
        <v>142.42920000000001</v>
      </c>
      <c r="N1087" s="5">
        <f t="shared" si="76"/>
        <v>58.377000000000002</v>
      </c>
      <c r="O1087" s="5">
        <f t="shared" si="76"/>
        <v>4.4165999999999999</v>
      </c>
      <c r="P1087" s="5">
        <f t="shared" si="76"/>
        <v>14.7493</v>
      </c>
      <c r="Q1087" s="5">
        <f t="shared" si="76"/>
        <v>235.45500000000004</v>
      </c>
      <c r="R1087" s="5"/>
      <c r="S1087" s="6"/>
    </row>
    <row r="1088" spans="1:19" ht="15" customHeight="1">
      <c r="A1088" s="3">
        <f t="shared" si="46"/>
        <v>2053</v>
      </c>
      <c r="B1088" s="8">
        <f t="shared" ref="B1088:J1088" si="77">AVERAGE(B473:B484)</f>
        <v>13.048158333333333</v>
      </c>
      <c r="C1088" s="8">
        <f t="shared" si="77"/>
        <v>13.054458333333335</v>
      </c>
      <c r="D1088" s="8">
        <f t="shared" si="77"/>
        <v>13.048866666666667</v>
      </c>
      <c r="E1088" s="8">
        <f t="shared" si="77"/>
        <v>13.050166666666668</v>
      </c>
      <c r="F1088" s="4">
        <f t="shared" si="77"/>
        <v>13.718408333333331</v>
      </c>
      <c r="G1088" s="8">
        <f t="shared" si="77"/>
        <v>12.804425</v>
      </c>
      <c r="H1088" s="4">
        <f t="shared" si="77"/>
        <v>13.719691666666664</v>
      </c>
      <c r="I1088" s="8">
        <f t="shared" si="77"/>
        <v>12.687166666666668</v>
      </c>
      <c r="J1088" s="4">
        <f t="shared" si="77"/>
        <v>12.583550000000001</v>
      </c>
      <c r="K1088" s="7"/>
      <c r="L1088" s="5">
        <f t="shared" ref="L1088:Q1088" si="78">SUM(L473:L484)</f>
        <v>355.53689999999995</v>
      </c>
      <c r="M1088" s="5">
        <f t="shared" si="78"/>
        <v>142.0401</v>
      </c>
      <c r="N1088" s="5">
        <f t="shared" si="78"/>
        <v>58.217499999999994</v>
      </c>
      <c r="O1088" s="5">
        <f t="shared" si="78"/>
        <v>4.4046000000000003</v>
      </c>
      <c r="P1088" s="5">
        <f t="shared" si="78"/>
        <v>14.707600000000001</v>
      </c>
      <c r="Q1088" s="5">
        <f t="shared" si="78"/>
        <v>234.04520000000002</v>
      </c>
      <c r="R1088" s="5"/>
      <c r="S1088" s="6"/>
    </row>
    <row r="1089" spans="1:19" ht="15" customHeight="1">
      <c r="A1089" s="3">
        <f t="shared" si="46"/>
        <v>2054</v>
      </c>
      <c r="B1089" s="8">
        <f t="shared" ref="B1089:J1089" si="79">AVERAGE(B485:B496)</f>
        <v>13.473825000000003</v>
      </c>
      <c r="C1089" s="8">
        <f t="shared" si="79"/>
        <v>13.480116666666666</v>
      </c>
      <c r="D1089" s="8">
        <f t="shared" si="79"/>
        <v>13.474533333333333</v>
      </c>
      <c r="E1089" s="8">
        <f t="shared" si="79"/>
        <v>13.475833333333332</v>
      </c>
      <c r="F1089" s="4">
        <f t="shared" si="79"/>
        <v>14.144049999999998</v>
      </c>
      <c r="G1089" s="8">
        <f t="shared" si="79"/>
        <v>13.223016666666666</v>
      </c>
      <c r="H1089" s="4">
        <f t="shared" si="79"/>
        <v>14.138291666666666</v>
      </c>
      <c r="I1089" s="8">
        <f t="shared" si="79"/>
        <v>13.098858333333334</v>
      </c>
      <c r="J1089" s="4">
        <f t="shared" si="79"/>
        <v>12.995016666666665</v>
      </c>
      <c r="K1089" s="7"/>
      <c r="L1089" s="5">
        <f t="shared" ref="L1089:Q1089" si="80">SUM(L485:L496)</f>
        <v>355.53689999999995</v>
      </c>
      <c r="M1089" s="5">
        <f t="shared" si="80"/>
        <v>142.0401</v>
      </c>
      <c r="N1089" s="5">
        <f t="shared" si="80"/>
        <v>58.217499999999994</v>
      </c>
      <c r="O1089" s="5">
        <f t="shared" si="80"/>
        <v>4.4046000000000003</v>
      </c>
      <c r="P1089" s="5">
        <f t="shared" si="80"/>
        <v>14.707600000000001</v>
      </c>
      <c r="Q1089" s="5">
        <f t="shared" si="80"/>
        <v>233.30079999999998</v>
      </c>
      <c r="R1089" s="5"/>
      <c r="S1089" s="6"/>
    </row>
    <row r="1090" spans="1:19" ht="15" customHeight="1">
      <c r="A1090" s="3">
        <f t="shared" si="46"/>
        <v>2055</v>
      </c>
      <c r="B1090" s="8">
        <f t="shared" ref="B1090:J1090" si="81">AVERAGE(B497:B508)</f>
        <v>13.913408333333335</v>
      </c>
      <c r="C1090" s="8">
        <f t="shared" si="81"/>
        <v>13.919700000000001</v>
      </c>
      <c r="D1090" s="8">
        <f t="shared" si="81"/>
        <v>13.914108333333333</v>
      </c>
      <c r="E1090" s="8">
        <f t="shared" si="81"/>
        <v>13.915408333333334</v>
      </c>
      <c r="F1090" s="4">
        <f t="shared" si="81"/>
        <v>14.583625</v>
      </c>
      <c r="G1090" s="8">
        <f t="shared" si="81"/>
        <v>13.655324999999999</v>
      </c>
      <c r="H1090" s="4">
        <f t="shared" si="81"/>
        <v>14.57056666666667</v>
      </c>
      <c r="I1090" s="8">
        <f t="shared" si="81"/>
        <v>13.524000000000001</v>
      </c>
      <c r="J1090" s="4">
        <f t="shared" si="81"/>
        <v>13.41995</v>
      </c>
      <c r="K1090" s="7"/>
      <c r="L1090" s="5">
        <f t="shared" ref="L1090:Q1090" si="82">SUM(L497:L508)</f>
        <v>355.53689999999995</v>
      </c>
      <c r="M1090" s="5">
        <f t="shared" si="82"/>
        <v>142.0401</v>
      </c>
      <c r="N1090" s="5">
        <f t="shared" si="82"/>
        <v>58.217499999999994</v>
      </c>
      <c r="O1090" s="5">
        <f t="shared" si="82"/>
        <v>4.4046000000000003</v>
      </c>
      <c r="P1090" s="5">
        <f t="shared" si="82"/>
        <v>14.707600000000001</v>
      </c>
      <c r="Q1090" s="5">
        <f t="shared" si="82"/>
        <v>232.55579999999998</v>
      </c>
      <c r="R1090" s="5"/>
      <c r="S1090" s="6"/>
    </row>
    <row r="1091" spans="1:19" ht="15" customHeight="1">
      <c r="A1091" s="3">
        <f t="shared" si="46"/>
        <v>2056</v>
      </c>
      <c r="B1091" s="8">
        <f t="shared" ref="B1091:J1091" si="83">AVERAGE(B509:B520)</f>
        <v>14.367341666666668</v>
      </c>
      <c r="C1091" s="8">
        <f t="shared" si="83"/>
        <v>14.37364166666667</v>
      </c>
      <c r="D1091" s="8">
        <f t="shared" si="83"/>
        <v>14.368058333333336</v>
      </c>
      <c r="E1091" s="8">
        <f t="shared" si="83"/>
        <v>14.369358333333331</v>
      </c>
      <c r="F1091" s="4">
        <f t="shared" si="83"/>
        <v>15.037574999999999</v>
      </c>
      <c r="G1091" s="8">
        <f t="shared" si="83"/>
        <v>14.101741666666667</v>
      </c>
      <c r="H1091" s="4">
        <f t="shared" si="83"/>
        <v>15.016999999999998</v>
      </c>
      <c r="I1091" s="8">
        <f t="shared" si="83"/>
        <v>13.963058333333334</v>
      </c>
      <c r="J1091" s="4">
        <f t="shared" si="83"/>
        <v>13.858791666666669</v>
      </c>
      <c r="K1091" s="7"/>
      <c r="L1091" s="5">
        <f t="shared" ref="L1091:Q1091" si="84">SUM(L509:L520)</f>
        <v>356.48229999999995</v>
      </c>
      <c r="M1091" s="5">
        <f t="shared" si="84"/>
        <v>142.42920000000001</v>
      </c>
      <c r="N1091" s="5">
        <f t="shared" si="84"/>
        <v>58.377000000000002</v>
      </c>
      <c r="O1091" s="5">
        <f t="shared" si="84"/>
        <v>4.4165999999999999</v>
      </c>
      <c r="P1091" s="5">
        <f t="shared" si="84"/>
        <v>14.7493</v>
      </c>
      <c r="Q1091" s="5">
        <f t="shared" si="84"/>
        <v>232.44659999999996</v>
      </c>
      <c r="R1091" s="5"/>
      <c r="S1091" s="6"/>
    </row>
    <row r="1092" spans="1:19" ht="15" customHeight="1">
      <c r="A1092" s="3">
        <f t="shared" si="46"/>
        <v>2057</v>
      </c>
      <c r="B1092" s="8">
        <f t="shared" ref="B1092:J1092" si="85">AVERAGE(B521:B532)</f>
        <v>14.836141666666665</v>
      </c>
      <c r="C1092" s="8">
        <f t="shared" si="85"/>
        <v>14.842441666666666</v>
      </c>
      <c r="D1092" s="8">
        <f t="shared" si="85"/>
        <v>14.83685</v>
      </c>
      <c r="E1092" s="8">
        <f t="shared" si="85"/>
        <v>14.838149999999999</v>
      </c>
      <c r="F1092" s="4">
        <f t="shared" si="85"/>
        <v>15.506383333333334</v>
      </c>
      <c r="G1092" s="8">
        <f t="shared" si="85"/>
        <v>14.562758333333337</v>
      </c>
      <c r="H1092" s="4">
        <f t="shared" si="85"/>
        <v>15.478025000000002</v>
      </c>
      <c r="I1092" s="8">
        <f t="shared" si="85"/>
        <v>14.416466666666665</v>
      </c>
      <c r="J1092" s="4">
        <f t="shared" si="85"/>
        <v>14.311991666666666</v>
      </c>
      <c r="K1092" s="7"/>
      <c r="L1092" s="5">
        <f t="shared" ref="L1092:Q1092" si="86">SUM(L521:L532)</f>
        <v>355.53689999999995</v>
      </c>
      <c r="M1092" s="5">
        <f t="shared" si="86"/>
        <v>142.0401</v>
      </c>
      <c r="N1092" s="5">
        <f t="shared" si="86"/>
        <v>58.217499999999994</v>
      </c>
      <c r="O1092" s="5">
        <f t="shared" si="86"/>
        <v>4.4046000000000003</v>
      </c>
      <c r="P1092" s="5">
        <f t="shared" si="86"/>
        <v>14.707600000000001</v>
      </c>
      <c r="Q1092" s="5">
        <f t="shared" si="86"/>
        <v>231.81149999999997</v>
      </c>
      <c r="R1092" s="5"/>
      <c r="S1092" s="6"/>
    </row>
    <row r="1093" spans="1:19" ht="15" customHeight="1">
      <c r="A1093" s="3">
        <f t="shared" si="46"/>
        <v>2058</v>
      </c>
      <c r="B1093" s="8">
        <f t="shared" ref="B1093:J1093" si="87">AVERAGE(B533:B544)</f>
        <v>15.32029166666667</v>
      </c>
      <c r="C1093" s="8">
        <f t="shared" si="87"/>
        <v>15.326575000000004</v>
      </c>
      <c r="D1093" s="8">
        <f t="shared" si="87"/>
        <v>15.320991666666666</v>
      </c>
      <c r="E1093" s="8">
        <f t="shared" si="87"/>
        <v>15.322291666666667</v>
      </c>
      <c r="F1093" s="4">
        <f t="shared" si="87"/>
        <v>15.990499999999997</v>
      </c>
      <c r="G1093" s="8">
        <f t="shared" si="87"/>
        <v>15.038866666666665</v>
      </c>
      <c r="H1093" s="4">
        <f t="shared" si="87"/>
        <v>15.954125000000003</v>
      </c>
      <c r="I1093" s="8">
        <f t="shared" si="87"/>
        <v>14.884708333333331</v>
      </c>
      <c r="J1093" s="4">
        <f t="shared" si="87"/>
        <v>14.780000000000001</v>
      </c>
      <c r="K1093" s="7"/>
      <c r="L1093" s="5">
        <f t="shared" ref="L1093:Q1093" si="88">SUM(L533:L544)</f>
        <v>355.53689999999995</v>
      </c>
      <c r="M1093" s="5">
        <f t="shared" si="88"/>
        <v>142.0401</v>
      </c>
      <c r="N1093" s="5">
        <f t="shared" si="88"/>
        <v>58.217499999999994</v>
      </c>
      <c r="O1093" s="5">
        <f t="shared" si="88"/>
        <v>4.4046000000000003</v>
      </c>
      <c r="P1093" s="5">
        <f t="shared" si="88"/>
        <v>14.707600000000001</v>
      </c>
      <c r="Q1093" s="5">
        <f t="shared" si="88"/>
        <v>231.81149999999997</v>
      </c>
      <c r="R1093" s="5"/>
      <c r="S1093" s="6"/>
    </row>
    <row r="1094" spans="1:19" ht="15" customHeight="1">
      <c r="A1094" s="3">
        <f t="shared" si="46"/>
        <v>2059</v>
      </c>
      <c r="B1094" s="8">
        <f t="shared" ref="B1094:J1094" si="89">AVERAGE(B545:B556)</f>
        <v>15.820250000000001</v>
      </c>
      <c r="C1094" s="8">
        <f t="shared" si="89"/>
        <v>15.826533333333332</v>
      </c>
      <c r="D1094" s="8">
        <f t="shared" si="89"/>
        <v>15.820950000000002</v>
      </c>
      <c r="E1094" s="8">
        <f t="shared" si="89"/>
        <v>15.822250000000002</v>
      </c>
      <c r="F1094" s="4">
        <f t="shared" si="89"/>
        <v>16.490466666666666</v>
      </c>
      <c r="G1094" s="8">
        <f t="shared" si="89"/>
        <v>15.530524999999999</v>
      </c>
      <c r="H1094" s="4">
        <f t="shared" si="89"/>
        <v>16.445791666666665</v>
      </c>
      <c r="I1094" s="8">
        <f t="shared" si="89"/>
        <v>15.368250000000002</v>
      </c>
      <c r="J1094" s="4">
        <f t="shared" si="89"/>
        <v>15.263300000000003</v>
      </c>
      <c r="K1094" s="4"/>
      <c r="L1094" s="5">
        <f>SUM(L545:L556)</f>
        <v>355.53689999999995</v>
      </c>
      <c r="M1094" s="5">
        <f>SUM(M545:M556)</f>
        <v>142.0401</v>
      </c>
      <c r="N1094" s="5">
        <f>SUM(N545:N556)</f>
        <v>58.217499999999994</v>
      </c>
      <c r="O1094" s="5">
        <f>SUM(O534:O545)</f>
        <v>4.4046000000000003</v>
      </c>
      <c r="P1094" s="5">
        <f>SUM(P545:P556)</f>
        <v>14.707600000000001</v>
      </c>
      <c r="Q1094" s="5">
        <f>SUM(Q545:Q556)</f>
        <v>231.81149999999997</v>
      </c>
      <c r="R1094" s="5"/>
      <c r="S1094" s="4"/>
    </row>
    <row r="1095" spans="1:19" ht="15" customHeight="1">
      <c r="A1095" s="3">
        <f t="shared" si="46"/>
        <v>2060</v>
      </c>
      <c r="B1095" s="8">
        <f t="shared" ref="B1095:J1095" si="90">AVERAGE(B557:B568)</f>
        <v>16.336558333333333</v>
      </c>
      <c r="C1095" s="8">
        <f t="shared" si="90"/>
        <v>16.342874999999999</v>
      </c>
      <c r="D1095" s="8">
        <f t="shared" si="90"/>
        <v>16.337258333333331</v>
      </c>
      <c r="E1095" s="8">
        <f t="shared" si="90"/>
        <v>16.338566666666669</v>
      </c>
      <c r="F1095" s="4">
        <f t="shared" si="90"/>
        <v>17.006783333333335</v>
      </c>
      <c r="G1095" s="8">
        <f t="shared" si="90"/>
        <v>16.038274999999999</v>
      </c>
      <c r="H1095" s="4">
        <f t="shared" si="90"/>
        <v>16.953550000000003</v>
      </c>
      <c r="I1095" s="8">
        <f t="shared" si="90"/>
        <v>15.867641666666666</v>
      </c>
      <c r="J1095" s="4">
        <f t="shared" si="90"/>
        <v>15.762416666666667</v>
      </c>
      <c r="K1095" s="7"/>
      <c r="L1095" s="5">
        <f>SUM(L557:L568)</f>
        <v>356.48229999999995</v>
      </c>
      <c r="M1095" s="5">
        <f>SUM(M557:M568)</f>
        <v>142.42920000000001</v>
      </c>
      <c r="N1095" s="5">
        <f>SUM(N557:N568)</f>
        <v>58.377000000000002</v>
      </c>
      <c r="O1095" s="5">
        <f>SUM(O535:O546)</f>
        <v>4.4046000000000003</v>
      </c>
      <c r="P1095" s="5">
        <f>SUM(P557:P568)</f>
        <v>14.7493</v>
      </c>
      <c r="Q1095" s="5">
        <f>SUM(Q557:Q568)</f>
        <v>232.44659999999996</v>
      </c>
      <c r="R1095" s="5"/>
      <c r="S1095" s="6"/>
    </row>
    <row r="1096" spans="1:19" ht="15" customHeight="1">
      <c r="A1096" s="3">
        <f t="shared" si="46"/>
        <v>2061</v>
      </c>
      <c r="B1096" s="8">
        <f t="shared" ref="B1096:J1096" si="91">AVERAGE(B569:B580)</f>
        <v>16.869741666666666</v>
      </c>
      <c r="C1096" s="8">
        <f t="shared" si="91"/>
        <v>16.876058333333333</v>
      </c>
      <c r="D1096" s="8">
        <f t="shared" si="91"/>
        <v>16.870458333333332</v>
      </c>
      <c r="E1096" s="8">
        <f t="shared" si="91"/>
        <v>16.871758333333332</v>
      </c>
      <c r="F1096" s="4">
        <f t="shared" si="91"/>
        <v>17.539983333333335</v>
      </c>
      <c r="G1096" s="8">
        <f t="shared" si="91"/>
        <v>16.562641666666668</v>
      </c>
      <c r="H1096" s="4">
        <f t="shared" si="91"/>
        <v>17.477908333333332</v>
      </c>
      <c r="I1096" s="8">
        <f t="shared" si="91"/>
        <v>16.383325000000003</v>
      </c>
      <c r="J1096" s="4">
        <f t="shared" si="91"/>
        <v>16.277874999999998</v>
      </c>
      <c r="K1096" s="7"/>
      <c r="L1096" s="5">
        <f>SUM(L569:L580)</f>
        <v>355.53689999999995</v>
      </c>
      <c r="M1096" s="5">
        <f>SUM(M569:M580)</f>
        <v>142.0401</v>
      </c>
      <c r="N1096" s="5">
        <f>SUM(N569:N580)</f>
        <v>58.217499999999994</v>
      </c>
      <c r="O1096" s="5">
        <f>SUM(O536:O547)</f>
        <v>4.4046000000000003</v>
      </c>
      <c r="P1096" s="5">
        <f>SUM(P569:P580)</f>
        <v>14.707600000000001</v>
      </c>
      <c r="Q1096" s="5">
        <f>SUM(Q569:Q580)</f>
        <v>231.81149999999997</v>
      </c>
      <c r="R1096" s="5"/>
      <c r="S1096" s="6"/>
    </row>
    <row r="1097" spans="1:19" ht="15" customHeight="1">
      <c r="A1097" s="3">
        <f t="shared" si="46"/>
        <v>2062</v>
      </c>
      <c r="B1097" s="4">
        <f t="shared" ref="B1097:J1106" ca="1" si="92">AVERAGE(OFFSET(B$581,($A1097-$A$1097)*12,0,12,1))</f>
        <v>17.42038333333333</v>
      </c>
      <c r="C1097" s="4">
        <f t="shared" ca="1" si="92"/>
        <v>17.426666666666666</v>
      </c>
      <c r="D1097" s="4">
        <f t="shared" ca="1" si="92"/>
        <v>17.421099999999999</v>
      </c>
      <c r="E1097" s="4">
        <f t="shared" ca="1" si="92"/>
        <v>17.4224</v>
      </c>
      <c r="F1097" s="4">
        <f t="shared" ca="1" si="92"/>
        <v>18.090624999999999</v>
      </c>
      <c r="G1097" s="4">
        <f t="shared" ca="1" si="92"/>
        <v>17.104150000000001</v>
      </c>
      <c r="H1097" s="4">
        <f t="shared" ca="1" si="92"/>
        <v>18.019416666666665</v>
      </c>
      <c r="I1097" s="4">
        <f t="shared" ca="1" si="92"/>
        <v>16.915891666666667</v>
      </c>
      <c r="J1097" s="4">
        <f t="shared" ca="1" si="92"/>
        <v>16.810166666666664</v>
      </c>
      <c r="K1097" s="4"/>
      <c r="L1097" s="5">
        <f t="shared" ref="L1097:Q1106" ca="1" si="93">SUM(OFFSET(L$581,($A1097-$A$1097)*12,0,12,1))</f>
        <v>355.53689999999995</v>
      </c>
      <c r="M1097" s="5">
        <f t="shared" ca="1" si="93"/>
        <v>142.0401</v>
      </c>
      <c r="N1097" s="5">
        <f t="shared" ca="1" si="93"/>
        <v>58.217499999999994</v>
      </c>
      <c r="O1097" s="5">
        <f t="shared" ca="1" si="93"/>
        <v>4.4046000000000003</v>
      </c>
      <c r="P1097" s="5">
        <f t="shared" ca="1" si="93"/>
        <v>14.707600000000001</v>
      </c>
      <c r="Q1097" s="5">
        <f t="shared" ca="1" si="93"/>
        <v>231.81149999999997</v>
      </c>
      <c r="R1097" s="4"/>
      <c r="S1097" s="4"/>
    </row>
    <row r="1098" spans="1:19" ht="15" customHeight="1">
      <c r="A1098" s="3">
        <f t="shared" si="46"/>
        <v>2063</v>
      </c>
      <c r="B1098" s="4">
        <f t="shared" ca="1" si="92"/>
        <v>17.989033333333332</v>
      </c>
      <c r="C1098" s="4">
        <f t="shared" ca="1" si="92"/>
        <v>17.995316666666664</v>
      </c>
      <c r="D1098" s="4">
        <f t="shared" ca="1" si="92"/>
        <v>17.989741666666671</v>
      </c>
      <c r="E1098" s="4">
        <f t="shared" ca="1" si="92"/>
        <v>17.991050000000001</v>
      </c>
      <c r="F1098" s="4">
        <f t="shared" ca="1" si="92"/>
        <v>18.659258333333337</v>
      </c>
      <c r="G1098" s="4">
        <f t="shared" ca="1" si="92"/>
        <v>17.663349999999998</v>
      </c>
      <c r="H1098" s="4">
        <f t="shared" ca="1" si="92"/>
        <v>18.578625000000002</v>
      </c>
      <c r="I1098" s="4">
        <f t="shared" ca="1" si="92"/>
        <v>17.465891666666664</v>
      </c>
      <c r="J1098" s="4">
        <f t="shared" ca="1" si="92"/>
        <v>17.359883333333332</v>
      </c>
      <c r="K1098" s="4"/>
      <c r="L1098" s="5">
        <f t="shared" ca="1" si="93"/>
        <v>355.53689999999995</v>
      </c>
      <c r="M1098" s="5">
        <f t="shared" ca="1" si="93"/>
        <v>142.0401</v>
      </c>
      <c r="N1098" s="5">
        <f t="shared" ca="1" si="93"/>
        <v>58.217499999999994</v>
      </c>
      <c r="O1098" s="5">
        <f t="shared" ca="1" si="93"/>
        <v>4.4046000000000003</v>
      </c>
      <c r="P1098" s="5">
        <f t="shared" ca="1" si="93"/>
        <v>14.707600000000001</v>
      </c>
      <c r="Q1098" s="5">
        <f t="shared" ca="1" si="93"/>
        <v>231.81149999999997</v>
      </c>
      <c r="R1098" s="4"/>
      <c r="S1098" s="4"/>
    </row>
    <row r="1099" spans="1:19" ht="15" customHeight="1">
      <c r="A1099" s="3">
        <f t="shared" si="46"/>
        <v>2064</v>
      </c>
      <c r="B1099" s="4">
        <f t="shared" ca="1" si="92"/>
        <v>18.576283333333333</v>
      </c>
      <c r="C1099" s="4">
        <f t="shared" ca="1" si="92"/>
        <v>18.582574999999999</v>
      </c>
      <c r="D1099" s="4">
        <f t="shared" ca="1" si="92"/>
        <v>18.576991666666668</v>
      </c>
      <c r="E1099" s="4">
        <f t="shared" ca="1" si="92"/>
        <v>18.578300000000002</v>
      </c>
      <c r="F1099" s="4">
        <f t="shared" ca="1" si="92"/>
        <v>19.246508333333335</v>
      </c>
      <c r="G1099" s="4">
        <f t="shared" ca="1" si="92"/>
        <v>18.240866666666665</v>
      </c>
      <c r="H1099" s="4">
        <f t="shared" ca="1" si="92"/>
        <v>19.156125000000003</v>
      </c>
      <c r="I1099" s="4">
        <f t="shared" ca="1" si="92"/>
        <v>18.033849999999997</v>
      </c>
      <c r="J1099" s="4">
        <f t="shared" ca="1" si="92"/>
        <v>17.92755</v>
      </c>
      <c r="K1099" s="4"/>
      <c r="L1099" s="5">
        <f t="shared" ca="1" si="93"/>
        <v>356.48229999999995</v>
      </c>
      <c r="M1099" s="5">
        <f t="shared" ca="1" si="93"/>
        <v>142.42920000000001</v>
      </c>
      <c r="N1099" s="5">
        <f t="shared" ca="1" si="93"/>
        <v>58.377000000000002</v>
      </c>
      <c r="O1099" s="5">
        <f t="shared" ca="1" si="93"/>
        <v>4.4165999999999999</v>
      </c>
      <c r="P1099" s="5">
        <f t="shared" ca="1" si="93"/>
        <v>14.7493</v>
      </c>
      <c r="Q1099" s="5">
        <f t="shared" ca="1" si="93"/>
        <v>232.44659999999996</v>
      </c>
      <c r="R1099" s="4"/>
      <c r="S1099" s="4"/>
    </row>
    <row r="1100" spans="1:19" ht="15" customHeight="1">
      <c r="A1100" s="3">
        <f t="shared" si="46"/>
        <v>2065</v>
      </c>
      <c r="B1100" s="4">
        <f t="shared" ca="1" si="92"/>
        <v>19.182716666666668</v>
      </c>
      <c r="C1100" s="4">
        <f t="shared" ca="1" si="92"/>
        <v>19.18900833333333</v>
      </c>
      <c r="D1100" s="4">
        <f t="shared" ca="1" si="92"/>
        <v>19.183433333333333</v>
      </c>
      <c r="E1100" s="4">
        <f t="shared" ca="1" si="92"/>
        <v>19.18473333333333</v>
      </c>
      <c r="F1100" s="4">
        <f t="shared" ca="1" si="92"/>
        <v>19.852950000000003</v>
      </c>
      <c r="G1100" s="4">
        <f t="shared" ca="1" si="92"/>
        <v>18.837258333333335</v>
      </c>
      <c r="H1100" s="4">
        <f t="shared" ca="1" si="92"/>
        <v>19.752516666666665</v>
      </c>
      <c r="I1100" s="4">
        <f t="shared" ca="1" si="92"/>
        <v>18.620391666666666</v>
      </c>
      <c r="J1100" s="4">
        <f t="shared" ca="1" si="92"/>
        <v>18.513800000000003</v>
      </c>
      <c r="K1100" s="4"/>
      <c r="L1100" s="5">
        <f t="shared" ca="1" si="93"/>
        <v>355.53689999999995</v>
      </c>
      <c r="M1100" s="5">
        <f t="shared" ca="1" si="93"/>
        <v>142.0401</v>
      </c>
      <c r="N1100" s="5">
        <f t="shared" ca="1" si="93"/>
        <v>58.217499999999994</v>
      </c>
      <c r="O1100" s="5">
        <f t="shared" ca="1" si="93"/>
        <v>4.4046000000000003</v>
      </c>
      <c r="P1100" s="5">
        <f t="shared" ca="1" si="93"/>
        <v>14.707600000000001</v>
      </c>
      <c r="Q1100" s="5">
        <f t="shared" ca="1" si="93"/>
        <v>231.81149999999997</v>
      </c>
      <c r="R1100" s="4"/>
      <c r="S1100" s="4"/>
    </row>
    <row r="1101" spans="1:19" ht="15" customHeight="1">
      <c r="A1101" s="3">
        <f t="shared" si="46"/>
        <v>2066</v>
      </c>
      <c r="B1101" s="4">
        <f t="shared" ca="1" si="92"/>
        <v>19.808991666666667</v>
      </c>
      <c r="C1101" s="4">
        <f t="shared" ca="1" si="92"/>
        <v>19.815291666666671</v>
      </c>
      <c r="D1101" s="4">
        <f t="shared" ca="1" si="92"/>
        <v>19.809700000000003</v>
      </c>
      <c r="E1101" s="4">
        <f t="shared" ca="1" si="92"/>
        <v>19.810999999999996</v>
      </c>
      <c r="F1101" s="4">
        <f t="shared" ca="1" si="92"/>
        <v>20.479233333333333</v>
      </c>
      <c r="G1101" s="4">
        <f t="shared" ca="1" si="92"/>
        <v>19.453125</v>
      </c>
      <c r="H1101" s="4">
        <f t="shared" ca="1" si="92"/>
        <v>20.368416666666672</v>
      </c>
      <c r="I1101" s="4">
        <f t="shared" ca="1" si="92"/>
        <v>19.226116666666666</v>
      </c>
      <c r="J1101" s="4">
        <f t="shared" ca="1" si="92"/>
        <v>19.119216666666667</v>
      </c>
      <c r="K1101" s="4"/>
      <c r="L1101" s="5">
        <f t="shared" ca="1" si="93"/>
        <v>355.53689999999995</v>
      </c>
      <c r="M1101" s="5">
        <f t="shared" ca="1" si="93"/>
        <v>142.0401</v>
      </c>
      <c r="N1101" s="5">
        <f t="shared" ca="1" si="93"/>
        <v>58.217499999999994</v>
      </c>
      <c r="O1101" s="5">
        <f t="shared" ca="1" si="93"/>
        <v>4.4046000000000003</v>
      </c>
      <c r="P1101" s="5">
        <f t="shared" ca="1" si="93"/>
        <v>14.707600000000001</v>
      </c>
      <c r="Q1101" s="5">
        <f t="shared" ca="1" si="93"/>
        <v>231.81149999999997</v>
      </c>
      <c r="R1101" s="4"/>
      <c r="S1101" s="4"/>
    </row>
    <row r="1102" spans="1:19" ht="15" customHeight="1">
      <c r="A1102" s="3">
        <f t="shared" si="46"/>
        <v>2067</v>
      </c>
      <c r="B1102" s="4">
        <f t="shared" ca="1" si="92"/>
        <v>20.455758333333335</v>
      </c>
      <c r="C1102" s="4">
        <f t="shared" ca="1" si="92"/>
        <v>20.462049999999998</v>
      </c>
      <c r="D1102" s="4">
        <f t="shared" ca="1" si="92"/>
        <v>20.456474999999998</v>
      </c>
      <c r="E1102" s="4">
        <f t="shared" ca="1" si="92"/>
        <v>20.457766666666672</v>
      </c>
      <c r="F1102" s="4">
        <f t="shared" ca="1" si="92"/>
        <v>21.125983333333334</v>
      </c>
      <c r="G1102" s="4">
        <f t="shared" ca="1" si="92"/>
        <v>20.089183333333335</v>
      </c>
      <c r="H1102" s="4">
        <f t="shared" ca="1" si="92"/>
        <v>21.004449999999995</v>
      </c>
      <c r="I1102" s="4">
        <f t="shared" ca="1" si="92"/>
        <v>19.851658333333333</v>
      </c>
      <c r="J1102" s="4">
        <f t="shared" ca="1" si="92"/>
        <v>19.744441666666667</v>
      </c>
      <c r="K1102" s="4"/>
      <c r="L1102" s="5">
        <f t="shared" ca="1" si="93"/>
        <v>355.53689999999995</v>
      </c>
      <c r="M1102" s="5">
        <f t="shared" ca="1" si="93"/>
        <v>142.0401</v>
      </c>
      <c r="N1102" s="5">
        <f t="shared" ca="1" si="93"/>
        <v>58.217499999999994</v>
      </c>
      <c r="O1102" s="5">
        <f t="shared" ca="1" si="93"/>
        <v>4.4046000000000003</v>
      </c>
      <c r="P1102" s="5">
        <f t="shared" ca="1" si="93"/>
        <v>14.707600000000001</v>
      </c>
      <c r="Q1102" s="5">
        <f t="shared" ca="1" si="93"/>
        <v>231.81149999999997</v>
      </c>
      <c r="R1102" s="4"/>
      <c r="S1102" s="4"/>
    </row>
    <row r="1103" spans="1:19" ht="15" customHeight="1">
      <c r="A1103" s="3">
        <f t="shared" si="46"/>
        <v>2068</v>
      </c>
      <c r="B1103" s="4">
        <f t="shared" ca="1" si="92"/>
        <v>21.123666666666669</v>
      </c>
      <c r="C1103" s="4">
        <f t="shared" ca="1" si="92"/>
        <v>21.129966666666668</v>
      </c>
      <c r="D1103" s="4">
        <f t="shared" ca="1" si="92"/>
        <v>21.124383333333331</v>
      </c>
      <c r="E1103" s="4">
        <f t="shared" ca="1" si="92"/>
        <v>21.125691666666668</v>
      </c>
      <c r="F1103" s="4">
        <f t="shared" ca="1" si="92"/>
        <v>21.793908333333331</v>
      </c>
      <c r="G1103" s="4">
        <f t="shared" ca="1" si="92"/>
        <v>20.746024999999999</v>
      </c>
      <c r="H1103" s="4">
        <f t="shared" ca="1" si="92"/>
        <v>21.661283333333333</v>
      </c>
      <c r="I1103" s="4">
        <f t="shared" ca="1" si="92"/>
        <v>20.497658333333334</v>
      </c>
      <c r="J1103" s="4">
        <f t="shared" ca="1" si="92"/>
        <v>20.390133333333335</v>
      </c>
      <c r="K1103" s="4"/>
      <c r="L1103" s="5">
        <f t="shared" ca="1" si="93"/>
        <v>356.48229999999995</v>
      </c>
      <c r="M1103" s="5">
        <f t="shared" ca="1" si="93"/>
        <v>142.42920000000001</v>
      </c>
      <c r="N1103" s="5">
        <f t="shared" ca="1" si="93"/>
        <v>58.377000000000002</v>
      </c>
      <c r="O1103" s="5">
        <f t="shared" ca="1" si="93"/>
        <v>4.4165999999999999</v>
      </c>
      <c r="P1103" s="5">
        <f t="shared" ca="1" si="93"/>
        <v>14.7493</v>
      </c>
      <c r="Q1103" s="5">
        <f t="shared" ca="1" si="93"/>
        <v>232.44659999999996</v>
      </c>
      <c r="R1103" s="4"/>
      <c r="S1103" s="4"/>
    </row>
    <row r="1104" spans="1:19" ht="15" customHeight="1">
      <c r="A1104" s="3">
        <f t="shared" si="46"/>
        <v>2069</v>
      </c>
      <c r="B1104" s="4">
        <f t="shared" ca="1" si="92"/>
        <v>21.813433333333336</v>
      </c>
      <c r="C1104" s="4">
        <f t="shared" ca="1" si="92"/>
        <v>21.819733333333332</v>
      </c>
      <c r="D1104" s="4">
        <f t="shared" ca="1" si="92"/>
        <v>21.814133333333331</v>
      </c>
      <c r="E1104" s="4">
        <f t="shared" ca="1" si="92"/>
        <v>21.815433333333331</v>
      </c>
      <c r="F1104" s="4">
        <f t="shared" ca="1" si="92"/>
        <v>22.483658333333334</v>
      </c>
      <c r="G1104" s="4">
        <f t="shared" ca="1" si="92"/>
        <v>21.424341666666663</v>
      </c>
      <c r="H1104" s="4">
        <f t="shared" ca="1" si="92"/>
        <v>22.339608333333331</v>
      </c>
      <c r="I1104" s="4">
        <f t="shared" ca="1" si="92"/>
        <v>21.164758333333335</v>
      </c>
      <c r="J1104" s="4">
        <f t="shared" ca="1" si="92"/>
        <v>21.056900000000002</v>
      </c>
      <c r="K1104" s="4"/>
      <c r="L1104" s="5">
        <f t="shared" ca="1" si="93"/>
        <v>355.53689999999995</v>
      </c>
      <c r="M1104" s="5">
        <f t="shared" ca="1" si="93"/>
        <v>142.0401</v>
      </c>
      <c r="N1104" s="5">
        <f t="shared" ca="1" si="93"/>
        <v>58.217499999999994</v>
      </c>
      <c r="O1104" s="5">
        <f t="shared" ca="1" si="93"/>
        <v>4.4046000000000003</v>
      </c>
      <c r="P1104" s="5">
        <f t="shared" ca="1" si="93"/>
        <v>14.707600000000001</v>
      </c>
      <c r="Q1104" s="5">
        <f t="shared" ca="1" si="93"/>
        <v>231.81149999999997</v>
      </c>
      <c r="R1104" s="4"/>
      <c r="S1104" s="4"/>
    </row>
    <row r="1105" spans="1:19" ht="15" customHeight="1">
      <c r="A1105" s="3">
        <f t="shared" ref="A1105:A1135" si="94">A1104+1</f>
        <v>2070</v>
      </c>
      <c r="B1105" s="4">
        <f t="shared" ca="1" si="92"/>
        <v>22.525724999999998</v>
      </c>
      <c r="C1105" s="4">
        <f t="shared" ca="1" si="92"/>
        <v>22.532025000000001</v>
      </c>
      <c r="D1105" s="4">
        <f t="shared" ca="1" si="92"/>
        <v>22.526433333333333</v>
      </c>
      <c r="E1105" s="4">
        <f t="shared" ca="1" si="92"/>
        <v>22.527725</v>
      </c>
      <c r="F1105" s="4">
        <f t="shared" ca="1" si="92"/>
        <v>23.195966666666667</v>
      </c>
      <c r="G1105" s="4">
        <f t="shared" ca="1" si="92"/>
        <v>22.124833333333331</v>
      </c>
      <c r="H1105" s="4">
        <f t="shared" ca="1" si="92"/>
        <v>23.040099999999999</v>
      </c>
      <c r="I1105" s="4">
        <f t="shared" ca="1" si="92"/>
        <v>21.85370833333333</v>
      </c>
      <c r="J1105" s="4">
        <f t="shared" ca="1" si="92"/>
        <v>21.745499999999996</v>
      </c>
      <c r="K1105" s="4"/>
      <c r="L1105" s="5">
        <f t="shared" ca="1" si="93"/>
        <v>355.53689999999995</v>
      </c>
      <c r="M1105" s="5">
        <f t="shared" ca="1" si="93"/>
        <v>142.0401</v>
      </c>
      <c r="N1105" s="5">
        <f t="shared" ca="1" si="93"/>
        <v>58.217499999999994</v>
      </c>
      <c r="O1105" s="5">
        <f t="shared" ca="1" si="93"/>
        <v>4.4046000000000003</v>
      </c>
      <c r="P1105" s="5">
        <f t="shared" ca="1" si="93"/>
        <v>14.707600000000001</v>
      </c>
      <c r="Q1105" s="5">
        <f t="shared" ca="1" si="93"/>
        <v>231.81149999999997</v>
      </c>
      <c r="R1105" s="4"/>
      <c r="S1105" s="4"/>
    </row>
    <row r="1106" spans="1:19" ht="15" customHeight="1">
      <c r="A1106" s="3">
        <f t="shared" si="94"/>
        <v>2071</v>
      </c>
      <c r="B1106" s="4">
        <f t="shared" ca="1" si="92"/>
        <v>23.261333333333329</v>
      </c>
      <c r="C1106" s="4">
        <f t="shared" ca="1" si="92"/>
        <v>23.267633333333333</v>
      </c>
      <c r="D1106" s="4">
        <f t="shared" ca="1" si="92"/>
        <v>23.262058333333329</v>
      </c>
      <c r="E1106" s="4">
        <f t="shared" ca="1" si="92"/>
        <v>23.263350000000003</v>
      </c>
      <c r="F1106" s="4">
        <f t="shared" ca="1" si="92"/>
        <v>23.931583333333336</v>
      </c>
      <c r="G1106" s="4">
        <f t="shared" ca="1" si="92"/>
        <v>22.848249999999997</v>
      </c>
      <c r="H1106" s="4">
        <f t="shared" ca="1" si="92"/>
        <v>23.763491666666667</v>
      </c>
      <c r="I1106" s="4">
        <f t="shared" ca="1" si="92"/>
        <v>22.565166666666666</v>
      </c>
      <c r="J1106" s="4">
        <f t="shared" ca="1" si="92"/>
        <v>22.456616666666665</v>
      </c>
      <c r="K1106" s="4"/>
      <c r="L1106" s="5">
        <f t="shared" ca="1" si="93"/>
        <v>355.53689999999995</v>
      </c>
      <c r="M1106" s="5">
        <f t="shared" ca="1" si="93"/>
        <v>142.0401</v>
      </c>
      <c r="N1106" s="5">
        <f t="shared" ca="1" si="93"/>
        <v>58.217499999999994</v>
      </c>
      <c r="O1106" s="5">
        <f t="shared" ca="1" si="93"/>
        <v>4.4046000000000003</v>
      </c>
      <c r="P1106" s="5">
        <f t="shared" ca="1" si="93"/>
        <v>14.707600000000001</v>
      </c>
      <c r="Q1106" s="5">
        <f t="shared" ca="1" si="93"/>
        <v>231.81149999999997</v>
      </c>
      <c r="R1106" s="4"/>
      <c r="S1106" s="4"/>
    </row>
    <row r="1107" spans="1:19" ht="15" customHeight="1">
      <c r="A1107" s="3">
        <f t="shared" si="94"/>
        <v>2072</v>
      </c>
      <c r="B1107" s="4">
        <f t="shared" ref="B1107:J1116" ca="1" si="95">AVERAGE(OFFSET(B$581,($A1107-$A$1097)*12,0,12,1))</f>
        <v>24.021008333333327</v>
      </c>
      <c r="C1107" s="4">
        <f t="shared" ca="1" si="95"/>
        <v>24.027291666666667</v>
      </c>
      <c r="D1107" s="4">
        <f t="shared" ca="1" si="95"/>
        <v>24.021716666666666</v>
      </c>
      <c r="E1107" s="4">
        <f t="shared" ca="1" si="95"/>
        <v>24.023008333333337</v>
      </c>
      <c r="F1107" s="4">
        <f t="shared" ca="1" si="95"/>
        <v>24.691225000000003</v>
      </c>
      <c r="G1107" s="4">
        <f t="shared" ca="1" si="95"/>
        <v>23.595308333333332</v>
      </c>
      <c r="H1107" s="4">
        <f t="shared" ca="1" si="95"/>
        <v>24.510566666666673</v>
      </c>
      <c r="I1107" s="4">
        <f t="shared" ca="1" si="95"/>
        <v>23.299908333333331</v>
      </c>
      <c r="J1107" s="4">
        <f t="shared" ca="1" si="95"/>
        <v>23.190983333333335</v>
      </c>
      <c r="K1107" s="4"/>
      <c r="L1107" s="5">
        <f t="shared" ref="L1107:Q1116" ca="1" si="96">SUM(OFFSET(L$581,($A1107-$A$1097)*12,0,12,1))</f>
        <v>356.48229999999995</v>
      </c>
      <c r="M1107" s="5">
        <f t="shared" ca="1" si="96"/>
        <v>142.42920000000001</v>
      </c>
      <c r="N1107" s="5">
        <f t="shared" ca="1" si="96"/>
        <v>58.377000000000002</v>
      </c>
      <c r="O1107" s="5">
        <f t="shared" ca="1" si="96"/>
        <v>4.4165999999999999</v>
      </c>
      <c r="P1107" s="5">
        <f t="shared" ca="1" si="96"/>
        <v>14.7493</v>
      </c>
      <c r="Q1107" s="5">
        <f t="shared" ca="1" si="96"/>
        <v>232.44659999999996</v>
      </c>
      <c r="R1107" s="4"/>
      <c r="S1107" s="4"/>
    </row>
    <row r="1108" spans="1:19" ht="15" customHeight="1">
      <c r="A1108" s="3">
        <f t="shared" si="94"/>
        <v>2073</v>
      </c>
      <c r="B1108" s="4">
        <f t="shared" ca="1" si="95"/>
        <v>24.805525000000003</v>
      </c>
      <c r="C1108" s="4">
        <f t="shared" ca="1" si="95"/>
        <v>24.811816666666669</v>
      </c>
      <c r="D1108" s="4">
        <f t="shared" ca="1" si="95"/>
        <v>24.806233333333328</v>
      </c>
      <c r="E1108" s="4">
        <f t="shared" ca="1" si="95"/>
        <v>24.807541666666665</v>
      </c>
      <c r="F1108" s="4">
        <f t="shared" ca="1" si="95"/>
        <v>25.475750000000001</v>
      </c>
      <c r="G1108" s="4">
        <f t="shared" ca="1" si="95"/>
        <v>24.366808333333335</v>
      </c>
      <c r="H1108" s="4">
        <f t="shared" ca="1" si="95"/>
        <v>25.282083333333333</v>
      </c>
      <c r="I1108" s="4">
        <f t="shared" ca="1" si="95"/>
        <v>24.058683333333335</v>
      </c>
      <c r="J1108" s="4">
        <f t="shared" ca="1" si="95"/>
        <v>23.949366666666666</v>
      </c>
      <c r="K1108" s="4"/>
      <c r="L1108" s="5">
        <f t="shared" ca="1" si="96"/>
        <v>355.53689999999995</v>
      </c>
      <c r="M1108" s="5">
        <f t="shared" ca="1" si="96"/>
        <v>142.0401</v>
      </c>
      <c r="N1108" s="5">
        <f t="shared" ca="1" si="96"/>
        <v>58.217499999999994</v>
      </c>
      <c r="O1108" s="5">
        <f t="shared" ca="1" si="96"/>
        <v>4.4046000000000003</v>
      </c>
      <c r="P1108" s="5">
        <f t="shared" ca="1" si="96"/>
        <v>14.707600000000001</v>
      </c>
      <c r="Q1108" s="5">
        <f t="shared" ca="1" si="96"/>
        <v>231.81149999999997</v>
      </c>
      <c r="R1108" s="4"/>
      <c r="S1108" s="4"/>
    </row>
    <row r="1109" spans="1:19" ht="15" customHeight="1">
      <c r="A1109" s="3">
        <f t="shared" si="94"/>
        <v>2074</v>
      </c>
      <c r="B1109" s="4">
        <f t="shared" ca="1" si="95"/>
        <v>25.615674999999996</v>
      </c>
      <c r="C1109" s="4">
        <f t="shared" ca="1" si="95"/>
        <v>25.621966666666665</v>
      </c>
      <c r="D1109" s="4">
        <f t="shared" ca="1" si="95"/>
        <v>25.616383333333335</v>
      </c>
      <c r="E1109" s="4">
        <f t="shared" ca="1" si="95"/>
        <v>25.617683333333332</v>
      </c>
      <c r="F1109" s="4">
        <f t="shared" ca="1" si="95"/>
        <v>26.285908333333335</v>
      </c>
      <c r="G1109" s="4">
        <f t="shared" ca="1" si="95"/>
        <v>25.163541666666671</v>
      </c>
      <c r="H1109" s="4">
        <f t="shared" ca="1" si="95"/>
        <v>26.078816666666668</v>
      </c>
      <c r="I1109" s="4">
        <f t="shared" ca="1" si="95"/>
        <v>24.842266666666664</v>
      </c>
      <c r="J1109" s="4">
        <f t="shared" ca="1" si="95"/>
        <v>24.732550000000003</v>
      </c>
      <c r="K1109" s="4"/>
      <c r="L1109" s="5">
        <f t="shared" ca="1" si="96"/>
        <v>355.53689999999995</v>
      </c>
      <c r="M1109" s="5">
        <f t="shared" ca="1" si="96"/>
        <v>142.0401</v>
      </c>
      <c r="N1109" s="5">
        <f t="shared" ca="1" si="96"/>
        <v>58.217499999999994</v>
      </c>
      <c r="O1109" s="5">
        <f t="shared" ca="1" si="96"/>
        <v>4.4046000000000003</v>
      </c>
      <c r="P1109" s="5">
        <f t="shared" ca="1" si="96"/>
        <v>14.707600000000001</v>
      </c>
      <c r="Q1109" s="5">
        <f t="shared" ca="1" si="96"/>
        <v>231.81149999999997</v>
      </c>
      <c r="R1109" s="4"/>
      <c r="S1109" s="4"/>
    </row>
    <row r="1110" spans="1:19" ht="15" customHeight="1">
      <c r="A1110" s="3">
        <f t="shared" si="94"/>
        <v>2075</v>
      </c>
      <c r="B1110" s="4">
        <f t="shared" ca="1" si="95"/>
        <v>26.452349999999999</v>
      </c>
      <c r="C1110" s="4">
        <f t="shared" ca="1" si="95"/>
        <v>26.458633333333335</v>
      </c>
      <c r="D1110" s="4">
        <f t="shared" ca="1" si="95"/>
        <v>26.453050000000001</v>
      </c>
      <c r="E1110" s="4">
        <f t="shared" ca="1" si="95"/>
        <v>26.454350000000002</v>
      </c>
      <c r="F1110" s="4">
        <f t="shared" ca="1" si="95"/>
        <v>27.122574999999998</v>
      </c>
      <c r="G1110" s="4">
        <f t="shared" ca="1" si="95"/>
        <v>25.986324999999994</v>
      </c>
      <c r="H1110" s="4">
        <f t="shared" ca="1" si="95"/>
        <v>26.901591666666661</v>
      </c>
      <c r="I1110" s="4">
        <f t="shared" ca="1" si="95"/>
        <v>25.651458333333338</v>
      </c>
      <c r="J1110" s="4">
        <f t="shared" ca="1" si="95"/>
        <v>25.541341666666668</v>
      </c>
      <c r="K1110" s="4"/>
      <c r="L1110" s="5">
        <f t="shared" ca="1" si="96"/>
        <v>355.53689999999995</v>
      </c>
      <c r="M1110" s="5">
        <f t="shared" ca="1" si="96"/>
        <v>142.0401</v>
      </c>
      <c r="N1110" s="5">
        <f t="shared" ca="1" si="96"/>
        <v>58.217499999999994</v>
      </c>
      <c r="O1110" s="5">
        <f t="shared" ca="1" si="96"/>
        <v>4.4046000000000003</v>
      </c>
      <c r="P1110" s="5">
        <f t="shared" ca="1" si="96"/>
        <v>14.707600000000001</v>
      </c>
      <c r="Q1110" s="5">
        <f t="shared" ca="1" si="96"/>
        <v>231.81149999999997</v>
      </c>
      <c r="R1110" s="4"/>
      <c r="S1110" s="4"/>
    </row>
    <row r="1111" spans="1:19" ht="15" customHeight="1">
      <c r="A1111" s="3">
        <f t="shared" si="94"/>
        <v>2076</v>
      </c>
      <c r="B1111" s="4">
        <f t="shared" ca="1" si="95"/>
        <v>27.316358333333337</v>
      </c>
      <c r="C1111" s="4">
        <f t="shared" ca="1" si="95"/>
        <v>27.322658333333333</v>
      </c>
      <c r="D1111" s="4">
        <f t="shared" ca="1" si="95"/>
        <v>27.317083333333333</v>
      </c>
      <c r="E1111" s="4">
        <f t="shared" ca="1" si="95"/>
        <v>27.318375</v>
      </c>
      <c r="F1111" s="4">
        <f t="shared" ca="1" si="95"/>
        <v>27.986591666666666</v>
      </c>
      <c r="G1111" s="4">
        <f t="shared" ca="1" si="95"/>
        <v>26.836033333333333</v>
      </c>
      <c r="H1111" s="4">
        <f t="shared" ca="1" si="95"/>
        <v>27.751308333333338</v>
      </c>
      <c r="I1111" s="4">
        <f t="shared" ca="1" si="95"/>
        <v>26.487116666666669</v>
      </c>
      <c r="J1111" s="4">
        <f t="shared" ca="1" si="95"/>
        <v>26.376599999999996</v>
      </c>
      <c r="K1111" s="4"/>
      <c r="L1111" s="5">
        <f t="shared" ca="1" si="96"/>
        <v>356.48229999999995</v>
      </c>
      <c r="M1111" s="5">
        <f t="shared" ca="1" si="96"/>
        <v>142.42920000000001</v>
      </c>
      <c r="N1111" s="5">
        <f t="shared" ca="1" si="96"/>
        <v>58.377000000000002</v>
      </c>
      <c r="O1111" s="5">
        <f t="shared" ca="1" si="96"/>
        <v>4.4165999999999999</v>
      </c>
      <c r="P1111" s="5">
        <f t="shared" ca="1" si="96"/>
        <v>14.7493</v>
      </c>
      <c r="Q1111" s="5">
        <f t="shared" ca="1" si="96"/>
        <v>232.44659999999996</v>
      </c>
      <c r="R1111" s="4"/>
      <c r="S1111" s="4"/>
    </row>
    <row r="1112" spans="1:19" ht="15" customHeight="1">
      <c r="A1112" s="3">
        <f t="shared" si="94"/>
        <v>2077</v>
      </c>
      <c r="B1112" s="4">
        <f t="shared" ca="1" si="95"/>
        <v>28.208633333333335</v>
      </c>
      <c r="C1112" s="4">
        <f t="shared" ca="1" si="95"/>
        <v>28.214950000000002</v>
      </c>
      <c r="D1112" s="4">
        <f t="shared" ca="1" si="95"/>
        <v>28.209341666666663</v>
      </c>
      <c r="E1112" s="4">
        <f t="shared" ca="1" si="95"/>
        <v>28.210641666666664</v>
      </c>
      <c r="F1112" s="4">
        <f t="shared" ca="1" si="95"/>
        <v>28.878883333333334</v>
      </c>
      <c r="G1112" s="4">
        <f t="shared" ca="1" si="95"/>
        <v>27.713500000000007</v>
      </c>
      <c r="H1112" s="4">
        <f t="shared" ca="1" si="95"/>
        <v>28.628775000000001</v>
      </c>
      <c r="I1112" s="4">
        <f t="shared" ca="1" si="95"/>
        <v>27.350116666666668</v>
      </c>
      <c r="J1112" s="4">
        <f t="shared" ca="1" si="95"/>
        <v>27.239174999999992</v>
      </c>
      <c r="K1112" s="4"/>
      <c r="L1112" s="5">
        <f t="shared" ca="1" si="96"/>
        <v>355.53689999999995</v>
      </c>
      <c r="M1112" s="5">
        <f t="shared" ca="1" si="96"/>
        <v>142.0401</v>
      </c>
      <c r="N1112" s="5">
        <f t="shared" ca="1" si="96"/>
        <v>58.217499999999994</v>
      </c>
      <c r="O1112" s="5">
        <f t="shared" ca="1" si="96"/>
        <v>4.4046000000000003</v>
      </c>
      <c r="P1112" s="5">
        <f t="shared" ca="1" si="96"/>
        <v>14.707600000000001</v>
      </c>
      <c r="Q1112" s="5">
        <f t="shared" ca="1" si="96"/>
        <v>231.81149999999997</v>
      </c>
      <c r="R1112" s="4"/>
      <c r="S1112" s="4"/>
    </row>
    <row r="1113" spans="1:19" ht="15" customHeight="1">
      <c r="A1113" s="3">
        <f t="shared" si="94"/>
        <v>2078</v>
      </c>
      <c r="B1113" s="4">
        <f t="shared" ca="1" si="95"/>
        <v>29.130108333333339</v>
      </c>
      <c r="C1113" s="4">
        <f t="shared" ca="1" si="95"/>
        <v>29.136400000000005</v>
      </c>
      <c r="D1113" s="4">
        <f t="shared" ca="1" si="95"/>
        <v>29.130816666666671</v>
      </c>
      <c r="E1113" s="4">
        <f t="shared" ca="1" si="95"/>
        <v>29.132116666666665</v>
      </c>
      <c r="F1113" s="4">
        <f t="shared" ca="1" si="95"/>
        <v>29.800324999999997</v>
      </c>
      <c r="G1113" s="4">
        <f t="shared" ca="1" si="95"/>
        <v>28.619683333333338</v>
      </c>
      <c r="H1113" s="4">
        <f t="shared" ca="1" si="95"/>
        <v>29.534950000000006</v>
      </c>
      <c r="I1113" s="4">
        <f t="shared" ca="1" si="95"/>
        <v>28.241341666666671</v>
      </c>
      <c r="J1113" s="4">
        <f t="shared" ca="1" si="95"/>
        <v>28.129941666666667</v>
      </c>
      <c r="K1113" s="4"/>
      <c r="L1113" s="5">
        <f t="shared" ca="1" si="96"/>
        <v>355.53689999999995</v>
      </c>
      <c r="M1113" s="5">
        <f t="shared" ca="1" si="96"/>
        <v>142.0401</v>
      </c>
      <c r="N1113" s="5">
        <f t="shared" ca="1" si="96"/>
        <v>58.217499999999994</v>
      </c>
      <c r="O1113" s="5">
        <f t="shared" ca="1" si="96"/>
        <v>4.4046000000000003</v>
      </c>
      <c r="P1113" s="5">
        <f t="shared" ca="1" si="96"/>
        <v>14.707600000000001</v>
      </c>
      <c r="Q1113" s="5">
        <f t="shared" ca="1" si="96"/>
        <v>231.81149999999997</v>
      </c>
      <c r="R1113" s="4"/>
      <c r="S1113" s="4"/>
    </row>
    <row r="1114" spans="1:19" ht="15" customHeight="1">
      <c r="A1114" s="3">
        <f t="shared" si="94"/>
        <v>2079</v>
      </c>
      <c r="B1114" s="4">
        <f t="shared" ca="1" si="95"/>
        <v>30.081691666666668</v>
      </c>
      <c r="C1114" s="4">
        <f t="shared" ca="1" si="95"/>
        <v>30.087991666666667</v>
      </c>
      <c r="D1114" s="4">
        <f t="shared" ca="1" si="95"/>
        <v>30.082400000000003</v>
      </c>
      <c r="E1114" s="4">
        <f t="shared" ca="1" si="95"/>
        <v>30.083708333333334</v>
      </c>
      <c r="F1114" s="4">
        <f t="shared" ca="1" si="95"/>
        <v>30.751933333333341</v>
      </c>
      <c r="G1114" s="4">
        <f t="shared" ca="1" si="95"/>
        <v>29.555500000000006</v>
      </c>
      <c r="H1114" s="4">
        <f t="shared" ca="1" si="95"/>
        <v>30.470775000000007</v>
      </c>
      <c r="I1114" s="4">
        <f t="shared" ca="1" si="95"/>
        <v>29.161708333333337</v>
      </c>
      <c r="J1114" s="4">
        <f t="shared" ca="1" si="95"/>
        <v>29.049841666666666</v>
      </c>
      <c r="K1114" s="4"/>
      <c r="L1114" s="5">
        <f t="shared" ca="1" si="96"/>
        <v>355.53689999999995</v>
      </c>
      <c r="M1114" s="5">
        <f t="shared" ca="1" si="96"/>
        <v>142.0401</v>
      </c>
      <c r="N1114" s="5">
        <f t="shared" ca="1" si="96"/>
        <v>58.217499999999994</v>
      </c>
      <c r="O1114" s="5">
        <f t="shared" ca="1" si="96"/>
        <v>4.4046000000000003</v>
      </c>
      <c r="P1114" s="5">
        <f t="shared" ca="1" si="96"/>
        <v>14.707600000000001</v>
      </c>
      <c r="Q1114" s="5">
        <f t="shared" ca="1" si="96"/>
        <v>231.81149999999997</v>
      </c>
      <c r="R1114" s="4"/>
      <c r="S1114" s="4"/>
    </row>
    <row r="1115" spans="1:19" ht="15" customHeight="1">
      <c r="A1115" s="3">
        <f t="shared" si="94"/>
        <v>2080</v>
      </c>
      <c r="B1115" s="4">
        <f t="shared" ca="1" si="95"/>
        <v>31.06441666666667</v>
      </c>
      <c r="C1115" s="4">
        <f t="shared" ca="1" si="95"/>
        <v>31.070708333333332</v>
      </c>
      <c r="D1115" s="4">
        <f t="shared" ca="1" si="95"/>
        <v>31.065124999999998</v>
      </c>
      <c r="E1115" s="4">
        <f t="shared" ca="1" si="95"/>
        <v>31.066424999999999</v>
      </c>
      <c r="F1115" s="4">
        <f t="shared" ca="1" si="95"/>
        <v>31.734641666666665</v>
      </c>
      <c r="G1115" s="4">
        <f t="shared" ca="1" si="95"/>
        <v>30.521916666666669</v>
      </c>
      <c r="H1115" s="4">
        <f t="shared" ca="1" si="95"/>
        <v>31.437200000000001</v>
      </c>
      <c r="I1115" s="4">
        <f t="shared" ca="1" si="95"/>
        <v>30.112175000000004</v>
      </c>
      <c r="J1115" s="4">
        <f t="shared" ca="1" si="95"/>
        <v>29.999825000000001</v>
      </c>
      <c r="K1115" s="4"/>
      <c r="L1115" s="5">
        <f t="shared" ca="1" si="96"/>
        <v>356.48229999999995</v>
      </c>
      <c r="M1115" s="5">
        <f t="shared" ca="1" si="96"/>
        <v>142.42920000000001</v>
      </c>
      <c r="N1115" s="5">
        <f t="shared" ca="1" si="96"/>
        <v>58.377000000000002</v>
      </c>
      <c r="O1115" s="5">
        <f t="shared" ca="1" si="96"/>
        <v>4.4165999999999999</v>
      </c>
      <c r="P1115" s="5">
        <f t="shared" ca="1" si="96"/>
        <v>14.7493</v>
      </c>
      <c r="Q1115" s="5">
        <f t="shared" ca="1" si="96"/>
        <v>232.44659999999996</v>
      </c>
      <c r="R1115" s="4"/>
      <c r="S1115" s="4"/>
    </row>
    <row r="1116" spans="1:19" ht="15" customHeight="1">
      <c r="A1116" s="3">
        <f t="shared" si="94"/>
        <v>2081</v>
      </c>
      <c r="B1116" s="4">
        <f t="shared" ca="1" si="95"/>
        <v>32.079249999999995</v>
      </c>
      <c r="C1116" s="4">
        <f t="shared" ca="1" si="95"/>
        <v>32.085541666666664</v>
      </c>
      <c r="D1116" s="4">
        <f t="shared" ca="1" si="95"/>
        <v>32.07995833333333</v>
      </c>
      <c r="E1116" s="4">
        <f t="shared" ca="1" si="95"/>
        <v>32.081258333333338</v>
      </c>
      <c r="F1116" s="4">
        <f t="shared" ca="1" si="95"/>
        <v>32.749499999999991</v>
      </c>
      <c r="G1116" s="4">
        <f t="shared" ca="1" si="95"/>
        <v>31.519958333333335</v>
      </c>
      <c r="H1116" s="4">
        <f t="shared" ca="1" si="95"/>
        <v>32.435216666666662</v>
      </c>
      <c r="I1116" s="4">
        <f t="shared" ca="1" si="95"/>
        <v>31.093725000000003</v>
      </c>
      <c r="J1116" s="4">
        <f t="shared" ca="1" si="95"/>
        <v>30.980900000000002</v>
      </c>
      <c r="K1116" s="4"/>
      <c r="L1116" s="5">
        <f t="shared" ca="1" si="96"/>
        <v>355.53689999999995</v>
      </c>
      <c r="M1116" s="5">
        <f t="shared" ca="1" si="96"/>
        <v>142.0401</v>
      </c>
      <c r="N1116" s="5">
        <f t="shared" ca="1" si="96"/>
        <v>58.217499999999994</v>
      </c>
      <c r="O1116" s="5">
        <f t="shared" ca="1" si="96"/>
        <v>4.4046000000000003</v>
      </c>
      <c r="P1116" s="5">
        <f t="shared" ca="1" si="96"/>
        <v>14.707600000000001</v>
      </c>
      <c r="Q1116" s="5">
        <f t="shared" ca="1" si="96"/>
        <v>231.81149999999997</v>
      </c>
      <c r="R1116" s="4"/>
      <c r="S1116" s="4"/>
    </row>
    <row r="1117" spans="1:19" ht="15" customHeight="1">
      <c r="A1117" s="3">
        <f t="shared" si="94"/>
        <v>2082</v>
      </c>
      <c r="B1117" s="4">
        <f t="shared" ref="B1117:J1126" ca="1" si="97">AVERAGE(OFFSET(B$581,($A1117-$A$1097)*12,0,12,1))</f>
        <v>33.127300000000005</v>
      </c>
      <c r="C1117" s="4">
        <f t="shared" ca="1" si="97"/>
        <v>33.133608333333328</v>
      </c>
      <c r="D1117" s="4">
        <f t="shared" ca="1" si="97"/>
        <v>33.128016666666667</v>
      </c>
      <c r="E1117" s="4">
        <f t="shared" ca="1" si="97"/>
        <v>33.129316666666675</v>
      </c>
      <c r="F1117" s="4">
        <f t="shared" ca="1" si="97"/>
        <v>33.797541666666667</v>
      </c>
      <c r="G1117" s="4">
        <f t="shared" ca="1" si="97"/>
        <v>32.550625000000004</v>
      </c>
      <c r="H1117" s="4">
        <f t="shared" ca="1" si="97"/>
        <v>33.465875000000004</v>
      </c>
      <c r="I1117" s="4">
        <f t="shared" ca="1" si="97"/>
        <v>32.107375000000005</v>
      </c>
      <c r="J1117" s="4">
        <f t="shared" ca="1" si="97"/>
        <v>31.994041666666664</v>
      </c>
      <c r="K1117" s="4"/>
      <c r="L1117" s="5">
        <f t="shared" ref="L1117:Q1126" ca="1" si="98">SUM(OFFSET(L$581,($A1117-$A$1097)*12,0,12,1))</f>
        <v>355.53689999999995</v>
      </c>
      <c r="M1117" s="5">
        <f t="shared" ca="1" si="98"/>
        <v>142.0401</v>
      </c>
      <c r="N1117" s="5">
        <f t="shared" ca="1" si="98"/>
        <v>58.217499999999994</v>
      </c>
      <c r="O1117" s="5">
        <f t="shared" ca="1" si="98"/>
        <v>4.4046000000000003</v>
      </c>
      <c r="P1117" s="5">
        <f t="shared" ca="1" si="98"/>
        <v>14.707600000000001</v>
      </c>
      <c r="Q1117" s="5">
        <f t="shared" ca="1" si="98"/>
        <v>231.81149999999997</v>
      </c>
      <c r="R1117" s="4"/>
      <c r="S1117" s="4"/>
    </row>
    <row r="1118" spans="1:19" ht="15" customHeight="1">
      <c r="A1118" s="3">
        <f t="shared" si="94"/>
        <v>2083</v>
      </c>
      <c r="B1118" s="4">
        <f t="shared" ca="1" si="97"/>
        <v>34.209625000000003</v>
      </c>
      <c r="C1118" s="4">
        <f t="shared" ca="1" si="97"/>
        <v>34.215916666666665</v>
      </c>
      <c r="D1118" s="4">
        <f t="shared" ca="1" si="97"/>
        <v>34.210325000000005</v>
      </c>
      <c r="E1118" s="4">
        <f t="shared" ca="1" si="97"/>
        <v>34.211633333333332</v>
      </c>
      <c r="F1118" s="4">
        <f t="shared" ca="1" si="97"/>
        <v>34.879849999999998</v>
      </c>
      <c r="G1118" s="4">
        <f t="shared" ca="1" si="97"/>
        <v>33.614983333333335</v>
      </c>
      <c r="H1118" s="4">
        <f t="shared" ca="1" si="97"/>
        <v>34.530258333333336</v>
      </c>
      <c r="I1118" s="4">
        <f t="shared" ca="1" si="97"/>
        <v>33.154183333333329</v>
      </c>
      <c r="J1118" s="4">
        <f t="shared" ca="1" si="97"/>
        <v>33.040300000000002</v>
      </c>
      <c r="K1118" s="4"/>
      <c r="L1118" s="5">
        <f t="shared" ca="1" si="98"/>
        <v>355.53689999999995</v>
      </c>
      <c r="M1118" s="5">
        <f t="shared" ca="1" si="98"/>
        <v>142.0401</v>
      </c>
      <c r="N1118" s="5">
        <f t="shared" ca="1" si="98"/>
        <v>58.217499999999994</v>
      </c>
      <c r="O1118" s="5">
        <f t="shared" ca="1" si="98"/>
        <v>4.4046000000000003</v>
      </c>
      <c r="P1118" s="5">
        <f t="shared" ca="1" si="98"/>
        <v>14.707600000000001</v>
      </c>
      <c r="Q1118" s="5">
        <f t="shared" ca="1" si="98"/>
        <v>231.81149999999997</v>
      </c>
      <c r="R1118" s="4"/>
      <c r="S1118" s="4"/>
    </row>
    <row r="1119" spans="1:19" ht="15" customHeight="1">
      <c r="A1119" s="3">
        <f t="shared" si="94"/>
        <v>2084</v>
      </c>
      <c r="B1119" s="4">
        <f t="shared" ca="1" si="97"/>
        <v>35.327333333333335</v>
      </c>
      <c r="C1119" s="4">
        <f t="shared" ca="1" si="97"/>
        <v>35.333641666666665</v>
      </c>
      <c r="D1119" s="4">
        <f t="shared" ca="1" si="97"/>
        <v>35.328041666666664</v>
      </c>
      <c r="E1119" s="4">
        <f t="shared" ca="1" si="97"/>
        <v>35.329341666666672</v>
      </c>
      <c r="F1119" s="4">
        <f t="shared" ca="1" si="97"/>
        <v>35.997575000000005</v>
      </c>
      <c r="G1119" s="4">
        <f t="shared" ca="1" si="97"/>
        <v>34.714166666666671</v>
      </c>
      <c r="H1119" s="4">
        <f t="shared" ca="1" si="97"/>
        <v>35.629425000000005</v>
      </c>
      <c r="I1119" s="4">
        <f t="shared" ca="1" si="97"/>
        <v>34.235216666666666</v>
      </c>
      <c r="J1119" s="4">
        <f t="shared" ca="1" si="97"/>
        <v>34.120808333333329</v>
      </c>
      <c r="K1119" s="4"/>
      <c r="L1119" s="5">
        <f t="shared" ca="1" si="98"/>
        <v>356.48229999999995</v>
      </c>
      <c r="M1119" s="5">
        <f t="shared" ca="1" si="98"/>
        <v>142.42920000000001</v>
      </c>
      <c r="N1119" s="5">
        <f t="shared" ca="1" si="98"/>
        <v>58.377000000000002</v>
      </c>
      <c r="O1119" s="5">
        <f t="shared" ca="1" si="98"/>
        <v>4.4165999999999999</v>
      </c>
      <c r="P1119" s="5">
        <f t="shared" ca="1" si="98"/>
        <v>14.7493</v>
      </c>
      <c r="Q1119" s="5">
        <f t="shared" ca="1" si="98"/>
        <v>232.44659999999996</v>
      </c>
      <c r="R1119" s="4"/>
      <c r="S1119" s="4"/>
    </row>
    <row r="1120" spans="1:19" ht="15" customHeight="1">
      <c r="A1120" s="3">
        <f t="shared" si="94"/>
        <v>2085</v>
      </c>
      <c r="B1120" s="4">
        <f t="shared" ca="1" si="97"/>
        <v>36.481608333333327</v>
      </c>
      <c r="C1120" s="4">
        <f t="shared" ca="1" si="97"/>
        <v>36.48790833333333</v>
      </c>
      <c r="D1120" s="4">
        <f t="shared" ca="1" si="97"/>
        <v>36.482308333333336</v>
      </c>
      <c r="E1120" s="4">
        <f t="shared" ca="1" si="97"/>
        <v>36.483608333333343</v>
      </c>
      <c r="F1120" s="4">
        <f t="shared" ca="1" si="97"/>
        <v>37.151825000000002</v>
      </c>
      <c r="G1120" s="4">
        <f t="shared" ca="1" si="97"/>
        <v>35.849299999999999</v>
      </c>
      <c r="H1120" s="4">
        <f t="shared" ca="1" si="97"/>
        <v>36.76455</v>
      </c>
      <c r="I1120" s="4">
        <f t="shared" ca="1" si="97"/>
        <v>35.351591666666664</v>
      </c>
      <c r="J1120" s="4">
        <f t="shared" ca="1" si="97"/>
        <v>35.236641666666671</v>
      </c>
      <c r="K1120" s="4"/>
      <c r="L1120" s="5">
        <f t="shared" ca="1" si="98"/>
        <v>355.53689999999995</v>
      </c>
      <c r="M1120" s="5">
        <f t="shared" ca="1" si="98"/>
        <v>142.0401</v>
      </c>
      <c r="N1120" s="5">
        <f t="shared" ca="1" si="98"/>
        <v>58.217499999999994</v>
      </c>
      <c r="O1120" s="5">
        <f t="shared" ca="1" si="98"/>
        <v>4.4046000000000003</v>
      </c>
      <c r="P1120" s="5">
        <f t="shared" ca="1" si="98"/>
        <v>14.707600000000001</v>
      </c>
      <c r="Q1120" s="5">
        <f t="shared" ca="1" si="98"/>
        <v>231.81149999999997</v>
      </c>
      <c r="R1120" s="4"/>
      <c r="S1120" s="4"/>
    </row>
    <row r="1121" spans="1:19" ht="15" customHeight="1">
      <c r="A1121" s="3">
        <f t="shared" si="94"/>
        <v>2086</v>
      </c>
      <c r="B1121" s="4">
        <f t="shared" ca="1" si="97"/>
        <v>37.673616666666668</v>
      </c>
      <c r="C1121" s="4">
        <f t="shared" ca="1" si="97"/>
        <v>37.679916666666664</v>
      </c>
      <c r="D1121" s="4">
        <f t="shared" ca="1" si="97"/>
        <v>37.674325000000003</v>
      </c>
      <c r="E1121" s="4">
        <f t="shared" ca="1" si="97"/>
        <v>37.675624999999989</v>
      </c>
      <c r="F1121" s="4">
        <f t="shared" ca="1" si="97"/>
        <v>38.34385833333333</v>
      </c>
      <c r="G1121" s="4">
        <f t="shared" ca="1" si="97"/>
        <v>37.021541666666664</v>
      </c>
      <c r="H1121" s="4">
        <f t="shared" ca="1" si="97"/>
        <v>37.936808333333339</v>
      </c>
      <c r="I1121" s="4">
        <f t="shared" ca="1" si="97"/>
        <v>36.504500000000007</v>
      </c>
      <c r="J1121" s="4">
        <f t="shared" ca="1" si="97"/>
        <v>36.388975000000002</v>
      </c>
      <c r="K1121" s="4"/>
      <c r="L1121" s="5">
        <f t="shared" ca="1" si="98"/>
        <v>355.53689999999995</v>
      </c>
      <c r="M1121" s="5">
        <f t="shared" ca="1" si="98"/>
        <v>142.0401</v>
      </c>
      <c r="N1121" s="5">
        <f t="shared" ca="1" si="98"/>
        <v>58.217499999999994</v>
      </c>
      <c r="O1121" s="5">
        <f t="shared" ca="1" si="98"/>
        <v>4.4046000000000003</v>
      </c>
      <c r="P1121" s="5">
        <f t="shared" ca="1" si="98"/>
        <v>14.707600000000001</v>
      </c>
      <c r="Q1121" s="5">
        <f t="shared" ca="1" si="98"/>
        <v>231.81149999999997</v>
      </c>
      <c r="R1121" s="4"/>
      <c r="S1121" s="4"/>
    </row>
    <row r="1122" spans="1:19" ht="15" customHeight="1">
      <c r="A1122" s="3">
        <f t="shared" si="94"/>
        <v>2087</v>
      </c>
      <c r="B1122" s="4">
        <f t="shared" ca="1" si="97"/>
        <v>38.904633333333329</v>
      </c>
      <c r="C1122" s="4">
        <f t="shared" ca="1" si="97"/>
        <v>38.910908333333332</v>
      </c>
      <c r="D1122" s="4">
        <f t="shared" ca="1" si="97"/>
        <v>38.905333333333331</v>
      </c>
      <c r="E1122" s="4">
        <f t="shared" ca="1" si="97"/>
        <v>38.906641666666665</v>
      </c>
      <c r="F1122" s="4">
        <f t="shared" ca="1" si="97"/>
        <v>39.574866666666672</v>
      </c>
      <c r="G1122" s="4">
        <f t="shared" ca="1" si="97"/>
        <v>38.232116666666663</v>
      </c>
      <c r="H1122" s="4">
        <f t="shared" ca="1" si="97"/>
        <v>39.147391666666664</v>
      </c>
      <c r="I1122" s="4">
        <f t="shared" ca="1" si="97"/>
        <v>37.69509166666667</v>
      </c>
      <c r="J1122" s="4">
        <f t="shared" ca="1" si="97"/>
        <v>37.578975000000007</v>
      </c>
      <c r="K1122" s="4"/>
      <c r="L1122" s="5">
        <f t="shared" ca="1" si="98"/>
        <v>355.53689999999995</v>
      </c>
      <c r="M1122" s="5">
        <f t="shared" ca="1" si="98"/>
        <v>142.0401</v>
      </c>
      <c r="N1122" s="5">
        <f t="shared" ca="1" si="98"/>
        <v>58.217499999999994</v>
      </c>
      <c r="O1122" s="5">
        <f t="shared" ca="1" si="98"/>
        <v>4.4046000000000003</v>
      </c>
      <c r="P1122" s="5">
        <f t="shared" ca="1" si="98"/>
        <v>14.707600000000001</v>
      </c>
      <c r="Q1122" s="5">
        <f t="shared" ca="1" si="98"/>
        <v>231.81149999999997</v>
      </c>
      <c r="R1122" s="4"/>
      <c r="S1122" s="4"/>
    </row>
    <row r="1123" spans="1:19" ht="15" customHeight="1">
      <c r="A1123" s="3">
        <f t="shared" si="94"/>
        <v>2088</v>
      </c>
      <c r="B1123" s="4">
        <f t="shared" ca="1" si="97"/>
        <v>40.175883333333338</v>
      </c>
      <c r="C1123" s="4">
        <f t="shared" ca="1" si="97"/>
        <v>40.182175000000001</v>
      </c>
      <c r="D1123" s="4">
        <f t="shared" ca="1" si="97"/>
        <v>40.17659166666666</v>
      </c>
      <c r="E1123" s="4">
        <f t="shared" ca="1" si="97"/>
        <v>40.177900000000001</v>
      </c>
      <c r="F1123" s="4">
        <f t="shared" ca="1" si="97"/>
        <v>40.846116666666667</v>
      </c>
      <c r="G1123" s="4">
        <f t="shared" ca="1" si="97"/>
        <v>39.482299999999995</v>
      </c>
      <c r="H1123" s="4">
        <f t="shared" ca="1" si="97"/>
        <v>40.397574999999996</v>
      </c>
      <c r="I1123" s="4">
        <f t="shared" ca="1" si="97"/>
        <v>38.924641666666666</v>
      </c>
      <c r="J1123" s="4">
        <f t="shared" ca="1" si="97"/>
        <v>38.807883333333336</v>
      </c>
      <c r="K1123" s="4"/>
      <c r="L1123" s="5">
        <f t="shared" ca="1" si="98"/>
        <v>356.48229999999995</v>
      </c>
      <c r="M1123" s="5">
        <f t="shared" ca="1" si="98"/>
        <v>142.42920000000001</v>
      </c>
      <c r="N1123" s="5">
        <f t="shared" ca="1" si="98"/>
        <v>58.377000000000002</v>
      </c>
      <c r="O1123" s="5">
        <f t="shared" ca="1" si="98"/>
        <v>4.4165999999999999</v>
      </c>
      <c r="P1123" s="5">
        <f t="shared" ca="1" si="98"/>
        <v>14.7493</v>
      </c>
      <c r="Q1123" s="5">
        <f t="shared" ca="1" si="98"/>
        <v>232.44659999999996</v>
      </c>
      <c r="R1123" s="4"/>
      <c r="S1123" s="4"/>
    </row>
    <row r="1124" spans="1:19" ht="15" customHeight="1">
      <c r="A1124" s="3">
        <f t="shared" si="94"/>
        <v>2089</v>
      </c>
      <c r="B1124" s="4">
        <f t="shared" ca="1" si="97"/>
        <v>41.488716666666676</v>
      </c>
      <c r="C1124" s="4">
        <f t="shared" ca="1" si="97"/>
        <v>41.495008333333338</v>
      </c>
      <c r="D1124" s="4">
        <f t="shared" ca="1" si="97"/>
        <v>41.489425000000004</v>
      </c>
      <c r="E1124" s="4">
        <f t="shared" ca="1" si="97"/>
        <v>41.490725000000005</v>
      </c>
      <c r="F1124" s="4">
        <f t="shared" ca="1" si="97"/>
        <v>42.15893333333333</v>
      </c>
      <c r="G1124" s="4">
        <f t="shared" ca="1" si="97"/>
        <v>40.773383333333335</v>
      </c>
      <c r="H1124" s="4">
        <f t="shared" ca="1" si="97"/>
        <v>41.688641666666669</v>
      </c>
      <c r="I1124" s="4">
        <f t="shared" ca="1" si="97"/>
        <v>40.194400000000002</v>
      </c>
      <c r="J1124" s="4">
        <f t="shared" ca="1" si="97"/>
        <v>40.077008333333332</v>
      </c>
      <c r="K1124" s="4"/>
      <c r="L1124" s="5">
        <f t="shared" ca="1" si="98"/>
        <v>355.53689999999995</v>
      </c>
      <c r="M1124" s="5">
        <f t="shared" ca="1" si="98"/>
        <v>142.0401</v>
      </c>
      <c r="N1124" s="5">
        <f t="shared" ca="1" si="98"/>
        <v>58.217499999999994</v>
      </c>
      <c r="O1124" s="5">
        <f t="shared" ca="1" si="98"/>
        <v>4.4046000000000003</v>
      </c>
      <c r="P1124" s="5">
        <f t="shared" ca="1" si="98"/>
        <v>14.707600000000001</v>
      </c>
      <c r="Q1124" s="5">
        <f t="shared" ca="1" si="98"/>
        <v>231.81149999999997</v>
      </c>
      <c r="R1124" s="4"/>
      <c r="S1124" s="4"/>
    </row>
    <row r="1125" spans="1:19" ht="15" customHeight="1">
      <c r="A1125" s="3">
        <f t="shared" si="94"/>
        <v>2090</v>
      </c>
      <c r="B1125" s="4">
        <f t="shared" ca="1" si="97"/>
        <v>42.844474999999996</v>
      </c>
      <c r="C1125" s="4">
        <f t="shared" ca="1" si="97"/>
        <v>42.850766666666665</v>
      </c>
      <c r="D1125" s="4">
        <f t="shared" ca="1" si="97"/>
        <v>42.845175000000005</v>
      </c>
      <c r="E1125" s="4">
        <f t="shared" ca="1" si="97"/>
        <v>42.846474999999998</v>
      </c>
      <c r="F1125" s="4">
        <f t="shared" ca="1" si="97"/>
        <v>43.514724999999999</v>
      </c>
      <c r="G1125" s="4">
        <f t="shared" ca="1" si="97"/>
        <v>42.106666666666669</v>
      </c>
      <c r="H1125" s="4">
        <f t="shared" ca="1" si="97"/>
        <v>43.021916666666669</v>
      </c>
      <c r="I1125" s="4">
        <f t="shared" ca="1" si="97"/>
        <v>41.505666666666663</v>
      </c>
      <c r="J1125" s="4">
        <f t="shared" ca="1" si="97"/>
        <v>41.387616666666666</v>
      </c>
      <c r="K1125" s="4"/>
      <c r="L1125" s="5">
        <f t="shared" ca="1" si="98"/>
        <v>355.53689999999995</v>
      </c>
      <c r="M1125" s="5">
        <f t="shared" ca="1" si="98"/>
        <v>142.0401</v>
      </c>
      <c r="N1125" s="5">
        <f t="shared" ca="1" si="98"/>
        <v>58.217499999999994</v>
      </c>
      <c r="O1125" s="5">
        <f t="shared" ca="1" si="98"/>
        <v>4.4046000000000003</v>
      </c>
      <c r="P1125" s="5">
        <f t="shared" ca="1" si="98"/>
        <v>14.707600000000001</v>
      </c>
      <c r="Q1125" s="5">
        <f t="shared" ca="1" si="98"/>
        <v>231.81149999999997</v>
      </c>
      <c r="R1125" s="4"/>
      <c r="S1125" s="4"/>
    </row>
    <row r="1126" spans="1:19" ht="15" customHeight="1">
      <c r="A1126" s="3">
        <f t="shared" si="94"/>
        <v>2091</v>
      </c>
      <c r="B1126" s="4">
        <f t="shared" ca="1" si="97"/>
        <v>44.244583333333338</v>
      </c>
      <c r="C1126" s="4">
        <f t="shared" ca="1" si="97"/>
        <v>44.250875000000001</v>
      </c>
      <c r="D1126" s="4">
        <f t="shared" ca="1" si="97"/>
        <v>44.245291666666667</v>
      </c>
      <c r="E1126" s="4">
        <f t="shared" ca="1" si="97"/>
        <v>44.246591666666667</v>
      </c>
      <c r="F1126" s="4">
        <f t="shared" ca="1" si="97"/>
        <v>44.914825</v>
      </c>
      <c r="G1126" s="4">
        <f t="shared" ca="1" si="97"/>
        <v>43.483550000000001</v>
      </c>
      <c r="H1126" s="4">
        <f t="shared" ca="1" si="97"/>
        <v>44.398808333333328</v>
      </c>
      <c r="I1126" s="4">
        <f t="shared" ca="1" si="97"/>
        <v>42.859833333333334</v>
      </c>
      <c r="J1126" s="4">
        <f t="shared" ca="1" si="97"/>
        <v>42.74111666666667</v>
      </c>
      <c r="K1126" s="4"/>
      <c r="L1126" s="5">
        <f t="shared" ca="1" si="98"/>
        <v>355.53689999999995</v>
      </c>
      <c r="M1126" s="5">
        <f t="shared" ca="1" si="98"/>
        <v>142.0401</v>
      </c>
      <c r="N1126" s="5">
        <f t="shared" ca="1" si="98"/>
        <v>58.217499999999994</v>
      </c>
      <c r="O1126" s="5">
        <f t="shared" ca="1" si="98"/>
        <v>4.4046000000000003</v>
      </c>
      <c r="P1126" s="5">
        <f t="shared" ca="1" si="98"/>
        <v>14.707600000000001</v>
      </c>
      <c r="Q1126" s="5">
        <f t="shared" ca="1" si="98"/>
        <v>231.81149999999997</v>
      </c>
      <c r="R1126" s="4"/>
      <c r="S1126" s="4"/>
    </row>
    <row r="1127" spans="1:19" ht="15" customHeight="1">
      <c r="A1127" s="3">
        <f t="shared" si="94"/>
        <v>2092</v>
      </c>
      <c r="B1127" s="4">
        <f t="shared" ref="B1127:J1135" ca="1" si="99">AVERAGE(OFFSET(B$581,($A1127-$A$1097)*12,0,12,1))</f>
        <v>45.690458333333339</v>
      </c>
      <c r="C1127" s="4">
        <f t="shared" ca="1" si="99"/>
        <v>45.696775000000002</v>
      </c>
      <c r="D1127" s="4">
        <f t="shared" ca="1" si="99"/>
        <v>45.691191666666668</v>
      </c>
      <c r="E1127" s="4">
        <f t="shared" ca="1" si="99"/>
        <v>45.692483333333335</v>
      </c>
      <c r="F1127" s="4">
        <f t="shared" ca="1" si="99"/>
        <v>46.360700000000001</v>
      </c>
      <c r="G1127" s="4">
        <f t="shared" ca="1" si="99"/>
        <v>44.905475000000003</v>
      </c>
      <c r="H1127" s="4">
        <f t="shared" ca="1" si="99"/>
        <v>45.82073333333333</v>
      </c>
      <c r="I1127" s="4">
        <f t="shared" ca="1" si="99"/>
        <v>44.258266666666664</v>
      </c>
      <c r="J1127" s="4">
        <f t="shared" ca="1" si="99"/>
        <v>44.138858333333339</v>
      </c>
      <c r="K1127" s="4"/>
      <c r="L1127" s="5">
        <f t="shared" ref="L1127:Q1135" ca="1" si="100">SUM(OFFSET(L$581,($A1127-$A$1097)*12,0,12,1))</f>
        <v>356.48229999999995</v>
      </c>
      <c r="M1127" s="5">
        <f t="shared" ca="1" si="100"/>
        <v>142.42920000000001</v>
      </c>
      <c r="N1127" s="5">
        <f t="shared" ca="1" si="100"/>
        <v>58.377000000000002</v>
      </c>
      <c r="O1127" s="5">
        <f t="shared" ca="1" si="100"/>
        <v>4.4165999999999999</v>
      </c>
      <c r="P1127" s="5">
        <f t="shared" ca="1" si="100"/>
        <v>14.7493</v>
      </c>
      <c r="Q1127" s="5">
        <f t="shared" ca="1" si="100"/>
        <v>232.44659999999996</v>
      </c>
      <c r="R1127" s="4"/>
      <c r="S1127" s="4"/>
    </row>
    <row r="1128" spans="1:19" ht="15" customHeight="1">
      <c r="A1128" s="3">
        <f t="shared" si="94"/>
        <v>2093</v>
      </c>
      <c r="B1128" s="4">
        <f t="shared" ca="1" si="99"/>
        <v>47.183633333333326</v>
      </c>
      <c r="C1128" s="4">
        <f t="shared" ca="1" si="99"/>
        <v>47.189958333333344</v>
      </c>
      <c r="D1128" s="4">
        <f t="shared" ca="1" si="99"/>
        <v>47.184366666666669</v>
      </c>
      <c r="E1128" s="4">
        <f t="shared" ca="1" si="99"/>
        <v>47.185658333333322</v>
      </c>
      <c r="F1128" s="4">
        <f t="shared" ca="1" si="99"/>
        <v>47.853891666666662</v>
      </c>
      <c r="G1128" s="4">
        <f t="shared" ca="1" si="99"/>
        <v>46.373899999999992</v>
      </c>
      <c r="H1128" s="4">
        <f t="shared" ca="1" si="99"/>
        <v>47.289158333333326</v>
      </c>
      <c r="I1128" s="4">
        <f t="shared" ca="1" si="99"/>
        <v>45.702441666666665</v>
      </c>
      <c r="J1128" s="4">
        <f t="shared" ca="1" si="99"/>
        <v>45.582308333333337</v>
      </c>
      <c r="K1128" s="4"/>
      <c r="L1128" s="5">
        <f t="shared" ca="1" si="100"/>
        <v>355.53689999999995</v>
      </c>
      <c r="M1128" s="5">
        <f t="shared" ca="1" si="100"/>
        <v>142.0401</v>
      </c>
      <c r="N1128" s="5">
        <f t="shared" ca="1" si="100"/>
        <v>58.217499999999994</v>
      </c>
      <c r="O1128" s="5">
        <f t="shared" ca="1" si="100"/>
        <v>4.4046000000000003</v>
      </c>
      <c r="P1128" s="5">
        <f t="shared" ca="1" si="100"/>
        <v>14.707600000000001</v>
      </c>
      <c r="Q1128" s="5">
        <f t="shared" ca="1" si="100"/>
        <v>231.81149999999997</v>
      </c>
      <c r="R1128" s="4"/>
      <c r="S1128" s="4"/>
    </row>
    <row r="1129" spans="1:19" ht="15" customHeight="1">
      <c r="A1129" s="3">
        <f t="shared" si="94"/>
        <v>2094</v>
      </c>
      <c r="B1129" s="4">
        <f t="shared" ca="1" si="99"/>
        <v>48.725674999999995</v>
      </c>
      <c r="C1129" s="4">
        <f t="shared" ca="1" si="99"/>
        <v>48.731975000000006</v>
      </c>
      <c r="D1129" s="4">
        <f t="shared" ca="1" si="99"/>
        <v>48.726383333333338</v>
      </c>
      <c r="E1129" s="4">
        <f t="shared" ca="1" si="99"/>
        <v>48.727674999999998</v>
      </c>
      <c r="F1129" s="4">
        <f t="shared" ca="1" si="99"/>
        <v>49.395900000000005</v>
      </c>
      <c r="G1129" s="4">
        <f t="shared" ca="1" si="99"/>
        <v>47.890333333333338</v>
      </c>
      <c r="H1129" s="4">
        <f t="shared" ca="1" si="99"/>
        <v>48.805583333333338</v>
      </c>
      <c r="I1129" s="4">
        <f t="shared" ca="1" si="99"/>
        <v>47.193874999999998</v>
      </c>
      <c r="J1129" s="4">
        <f t="shared" ca="1" si="99"/>
        <v>47.072975000000007</v>
      </c>
      <c r="K1129" s="4"/>
      <c r="L1129" s="5">
        <f t="shared" ca="1" si="100"/>
        <v>355.53689999999995</v>
      </c>
      <c r="M1129" s="5">
        <f t="shared" ca="1" si="100"/>
        <v>142.0401</v>
      </c>
      <c r="N1129" s="5">
        <f t="shared" ca="1" si="100"/>
        <v>58.217499999999994</v>
      </c>
      <c r="O1129" s="5">
        <f t="shared" ca="1" si="100"/>
        <v>4.4046000000000003</v>
      </c>
      <c r="P1129" s="5">
        <f t="shared" ca="1" si="100"/>
        <v>14.707600000000001</v>
      </c>
      <c r="Q1129" s="5">
        <f t="shared" ca="1" si="100"/>
        <v>231.81149999999997</v>
      </c>
      <c r="R1129" s="4"/>
      <c r="S1129" s="4"/>
    </row>
    <row r="1130" spans="1:19" ht="15" customHeight="1">
      <c r="A1130" s="3">
        <f t="shared" si="94"/>
        <v>2095</v>
      </c>
      <c r="B1130" s="4">
        <f t="shared" ca="1" si="99"/>
        <v>50.318108333333328</v>
      </c>
      <c r="C1130" s="4">
        <f t="shared" ca="1" si="99"/>
        <v>50.324424999999998</v>
      </c>
      <c r="D1130" s="4">
        <f t="shared" ca="1" si="99"/>
        <v>50.318800000000003</v>
      </c>
      <c r="E1130" s="4">
        <f t="shared" ca="1" si="99"/>
        <v>50.320099999999996</v>
      </c>
      <c r="F1130" s="4">
        <f t="shared" ca="1" si="99"/>
        <v>50.988349999999997</v>
      </c>
      <c r="G1130" s="4">
        <f t="shared" ca="1" si="99"/>
        <v>49.456366666666668</v>
      </c>
      <c r="H1130" s="4">
        <f t="shared" ca="1" si="99"/>
        <v>50.371641666666669</v>
      </c>
      <c r="I1130" s="4">
        <f t="shared" ca="1" si="99"/>
        <v>48.734041666666663</v>
      </c>
      <c r="J1130" s="4">
        <f t="shared" ca="1" si="99"/>
        <v>48.612399999999987</v>
      </c>
      <c r="K1130" s="4"/>
      <c r="L1130" s="5">
        <f t="shared" ca="1" si="100"/>
        <v>355.53689999999995</v>
      </c>
      <c r="M1130" s="5">
        <f t="shared" ca="1" si="100"/>
        <v>142.0401</v>
      </c>
      <c r="N1130" s="5">
        <f t="shared" ca="1" si="100"/>
        <v>58.217499999999994</v>
      </c>
      <c r="O1130" s="5">
        <f t="shared" ca="1" si="100"/>
        <v>4.4046000000000003</v>
      </c>
      <c r="P1130" s="5">
        <f t="shared" ca="1" si="100"/>
        <v>14.707600000000001</v>
      </c>
      <c r="Q1130" s="5">
        <f t="shared" ca="1" si="100"/>
        <v>231.81149999999997</v>
      </c>
      <c r="R1130" s="4"/>
      <c r="S1130" s="4"/>
    </row>
    <row r="1131" spans="1:19" ht="15" customHeight="1">
      <c r="A1131" s="3">
        <f t="shared" si="94"/>
        <v>2096</v>
      </c>
      <c r="B1131" s="4">
        <f t="shared" ca="1" si="99"/>
        <v>51.962624999999996</v>
      </c>
      <c r="C1131" s="4">
        <f t="shared" ca="1" si="99"/>
        <v>51.968933333333332</v>
      </c>
      <c r="D1131" s="4">
        <f t="shared" ca="1" si="99"/>
        <v>51.963341666666658</v>
      </c>
      <c r="E1131" s="4">
        <f t="shared" ca="1" si="99"/>
        <v>51.964633333333332</v>
      </c>
      <c r="F1131" s="4">
        <f t="shared" ca="1" si="99"/>
        <v>52.632883333333332</v>
      </c>
      <c r="G1131" s="4">
        <f t="shared" ca="1" si="99"/>
        <v>51.073616666666659</v>
      </c>
      <c r="H1131" s="4">
        <f t="shared" ca="1" si="99"/>
        <v>51.988883333333341</v>
      </c>
      <c r="I1131" s="4">
        <f t="shared" ca="1" si="99"/>
        <v>50.324591666666663</v>
      </c>
      <c r="J1131" s="4">
        <f t="shared" ca="1" si="99"/>
        <v>50.202149999999996</v>
      </c>
      <c r="K1131" s="4"/>
      <c r="L1131" s="5">
        <f t="shared" ca="1" si="100"/>
        <v>356.48229999999995</v>
      </c>
      <c r="M1131" s="5">
        <f t="shared" ca="1" si="100"/>
        <v>142.42920000000001</v>
      </c>
      <c r="N1131" s="5">
        <f t="shared" ca="1" si="100"/>
        <v>58.377000000000002</v>
      </c>
      <c r="O1131" s="5">
        <f t="shared" ca="1" si="100"/>
        <v>4.4165999999999999</v>
      </c>
      <c r="P1131" s="5">
        <f t="shared" ca="1" si="100"/>
        <v>14.7493</v>
      </c>
      <c r="Q1131" s="5">
        <f t="shared" ca="1" si="100"/>
        <v>232.44659999999996</v>
      </c>
      <c r="R1131" s="4"/>
      <c r="S1131" s="4"/>
    </row>
    <row r="1132" spans="1:19" ht="15" customHeight="1">
      <c r="A1132" s="3">
        <f t="shared" si="94"/>
        <v>2097</v>
      </c>
      <c r="B1132" s="4">
        <f t="shared" ca="1" si="99"/>
        <v>53.660941666666666</v>
      </c>
      <c r="C1132" s="4">
        <f t="shared" ca="1" si="99"/>
        <v>53.667233333333336</v>
      </c>
      <c r="D1132" s="4">
        <f t="shared" ca="1" si="99"/>
        <v>53.661658333333342</v>
      </c>
      <c r="E1132" s="4">
        <f t="shared" ca="1" si="99"/>
        <v>53.662958333333329</v>
      </c>
      <c r="F1132" s="4">
        <f t="shared" ca="1" si="99"/>
        <v>54.331183333333321</v>
      </c>
      <c r="G1132" s="4">
        <f t="shared" ca="1" si="99"/>
        <v>52.743749999999999</v>
      </c>
      <c r="H1132" s="4">
        <f t="shared" ca="1" si="99"/>
        <v>53.659025000000007</v>
      </c>
      <c r="I1132" s="4">
        <f t="shared" ca="1" si="99"/>
        <v>51.967166666666664</v>
      </c>
      <c r="J1132" s="4">
        <f t="shared" ca="1" si="99"/>
        <v>51.843891666666657</v>
      </c>
      <c r="K1132" s="4"/>
      <c r="L1132" s="5">
        <f t="shared" ca="1" si="100"/>
        <v>355.53689999999995</v>
      </c>
      <c r="M1132" s="5">
        <f t="shared" ca="1" si="100"/>
        <v>142.0401</v>
      </c>
      <c r="N1132" s="5">
        <f t="shared" ca="1" si="100"/>
        <v>58.217499999999994</v>
      </c>
      <c r="O1132" s="5">
        <f t="shared" ca="1" si="100"/>
        <v>4.4046000000000003</v>
      </c>
      <c r="P1132" s="5">
        <f t="shared" ca="1" si="100"/>
        <v>14.707600000000001</v>
      </c>
      <c r="Q1132" s="5">
        <f t="shared" ca="1" si="100"/>
        <v>231.81149999999997</v>
      </c>
      <c r="R1132" s="4"/>
      <c r="S1132" s="4"/>
    </row>
    <row r="1133" spans="1:19" ht="15" customHeight="1">
      <c r="A1133" s="3">
        <f t="shared" si="94"/>
        <v>2098</v>
      </c>
      <c r="B1133" s="4">
        <f t="shared" ca="1" si="99"/>
        <v>55.414791666666666</v>
      </c>
      <c r="C1133" s="4">
        <f t="shared" ca="1" si="99"/>
        <v>55.421074999999995</v>
      </c>
      <c r="D1133" s="4">
        <f t="shared" ca="1" si="99"/>
        <v>55.415491666666675</v>
      </c>
      <c r="E1133" s="4">
        <f t="shared" ca="1" si="99"/>
        <v>55.416799999999995</v>
      </c>
      <c r="F1133" s="4">
        <f t="shared" ca="1" si="99"/>
        <v>56.085008333333327</v>
      </c>
      <c r="G1133" s="4">
        <f t="shared" ca="1" si="99"/>
        <v>54.468533333333333</v>
      </c>
      <c r="H1133" s="4">
        <f t="shared" ca="1" si="99"/>
        <v>55.383783333333334</v>
      </c>
      <c r="I1133" s="4">
        <f t="shared" ca="1" si="99"/>
        <v>53.663450000000005</v>
      </c>
      <c r="J1133" s="4">
        <f t="shared" ca="1" si="99"/>
        <v>53.539341666666672</v>
      </c>
      <c r="K1133" s="4"/>
      <c r="L1133" s="5">
        <f t="shared" ca="1" si="100"/>
        <v>355.53689999999995</v>
      </c>
      <c r="M1133" s="5">
        <f t="shared" ca="1" si="100"/>
        <v>142.0401</v>
      </c>
      <c r="N1133" s="5">
        <f t="shared" ca="1" si="100"/>
        <v>58.217499999999994</v>
      </c>
      <c r="O1133" s="5">
        <f t="shared" ca="1" si="100"/>
        <v>4.4046000000000003</v>
      </c>
      <c r="P1133" s="5">
        <f t="shared" ca="1" si="100"/>
        <v>14.707600000000001</v>
      </c>
      <c r="Q1133" s="5">
        <f t="shared" ca="1" si="100"/>
        <v>231.81149999999997</v>
      </c>
      <c r="R1133" s="4"/>
      <c r="S1133" s="4"/>
    </row>
    <row r="1134" spans="1:19" ht="15" customHeight="1">
      <c r="A1134" s="3">
        <f t="shared" si="94"/>
        <v>2099</v>
      </c>
      <c r="B1134" s="4">
        <f t="shared" ca="1" si="99"/>
        <v>57.225983333333339</v>
      </c>
      <c r="C1134" s="4">
        <f t="shared" ca="1" si="99"/>
        <v>57.232291666666669</v>
      </c>
      <c r="D1134" s="4">
        <f t="shared" ca="1" si="99"/>
        <v>57.226708333333328</v>
      </c>
      <c r="E1134" s="4">
        <f t="shared" ca="1" si="99"/>
        <v>57.227999999999987</v>
      </c>
      <c r="F1134" s="4">
        <f t="shared" ca="1" si="99"/>
        <v>57.896233333333328</v>
      </c>
      <c r="G1134" s="4">
        <f t="shared" ca="1" si="99"/>
        <v>56.249683333333337</v>
      </c>
      <c r="H1134" s="4">
        <f t="shared" ca="1" si="99"/>
        <v>57.164966666666665</v>
      </c>
      <c r="I1134" s="4">
        <f t="shared" ca="1" si="99"/>
        <v>55.415233333333333</v>
      </c>
      <c r="J1134" s="4">
        <f t="shared" ca="1" si="99"/>
        <v>55.290216666666673</v>
      </c>
      <c r="K1134" s="4"/>
      <c r="L1134" s="5">
        <f t="shared" ca="1" si="100"/>
        <v>355.53689999999995</v>
      </c>
      <c r="M1134" s="5">
        <f t="shared" ca="1" si="100"/>
        <v>142.0401</v>
      </c>
      <c r="N1134" s="5">
        <f t="shared" ca="1" si="100"/>
        <v>58.217499999999994</v>
      </c>
      <c r="O1134" s="5">
        <f t="shared" ca="1" si="100"/>
        <v>4.4046000000000003</v>
      </c>
      <c r="P1134" s="5">
        <f t="shared" ca="1" si="100"/>
        <v>14.707600000000001</v>
      </c>
      <c r="Q1134" s="5">
        <f t="shared" ca="1" si="100"/>
        <v>231.81149999999997</v>
      </c>
      <c r="R1134" s="4"/>
      <c r="S1134" s="4"/>
    </row>
    <row r="1135" spans="1:19" ht="15" customHeight="1">
      <c r="A1135" s="3">
        <f t="shared" si="94"/>
        <v>2100</v>
      </c>
      <c r="B1135" s="4">
        <f t="shared" ca="1" si="99"/>
        <v>59.096425000000004</v>
      </c>
      <c r="C1135" s="4">
        <f t="shared" ca="1" si="99"/>
        <v>59.102716666666673</v>
      </c>
      <c r="D1135" s="4">
        <f t="shared" ca="1" si="99"/>
        <v>59.097133333333339</v>
      </c>
      <c r="E1135" s="4">
        <f t="shared" ca="1" si="99"/>
        <v>59.098433333333325</v>
      </c>
      <c r="F1135" s="4">
        <f t="shared" ca="1" si="99"/>
        <v>59.766649999999998</v>
      </c>
      <c r="G1135" s="4">
        <f t="shared" ca="1" si="99"/>
        <v>58.089100000000002</v>
      </c>
      <c r="H1135" s="4">
        <f t="shared" ca="1" si="99"/>
        <v>59.004391666666663</v>
      </c>
      <c r="I1135" s="4">
        <f t="shared" ca="1" si="99"/>
        <v>57.224283333333325</v>
      </c>
      <c r="J1135" s="4">
        <f t="shared" ca="1" si="99"/>
        <v>57.098366666666664</v>
      </c>
      <c r="K1135" s="4"/>
      <c r="L1135" s="5">
        <f t="shared" ca="1" si="100"/>
        <v>355.53689999999995</v>
      </c>
      <c r="M1135" s="5">
        <f t="shared" ca="1" si="100"/>
        <v>142.0401</v>
      </c>
      <c r="N1135" s="5">
        <f t="shared" ca="1" si="100"/>
        <v>58.217499999999994</v>
      </c>
      <c r="O1135" s="5">
        <f t="shared" ca="1" si="100"/>
        <v>4.4046000000000003</v>
      </c>
      <c r="P1135" s="5">
        <f t="shared" ca="1" si="100"/>
        <v>14.707600000000001</v>
      </c>
      <c r="Q1135" s="5">
        <f t="shared" ca="1" si="100"/>
        <v>231.81149999999997</v>
      </c>
      <c r="R1135" s="4"/>
      <c r="S1135" s="4"/>
    </row>
    <row r="1136" spans="1:19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</sheetData>
  <mergeCells count="2">
    <mergeCell ref="L13:S13"/>
    <mergeCell ref="L14:S14"/>
  </mergeCells>
  <pageMargins left="0.25" right="0.25" top="0.5" bottom="0.5" header="0.25" footer="0.25"/>
  <pageSetup paperSize="119" scale="85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11</xdr:row>
                    <xdr:rowOff>171450</xdr:rowOff>
                  </from>
                  <to>
                    <xdr:col>4</xdr:col>
                    <xdr:colOff>533400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4</xdr:col>
                    <xdr:colOff>533400</xdr:colOff>
                    <xdr:row>11</xdr:row>
                    <xdr:rowOff>171450</xdr:rowOff>
                  </from>
                  <to>
                    <xdr:col>6</xdr:col>
                    <xdr:colOff>257175</xdr:colOff>
                    <xdr:row>13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T1155"/>
  <sheetViews>
    <sheetView zoomScale="70" zoomScaleNormal="70" workbookViewId="0">
      <pane xSplit="1" ySplit="16" topLeftCell="B17" activePane="bottomRight" state="frozen"/>
      <selection activeCell="B17" sqref="B17"/>
      <selection pane="topRight" activeCell="B17" sqref="B17"/>
      <selection pane="bottomLeft" activeCell="B17" sqref="B17"/>
      <selection pane="bottomRight" activeCell="B17" sqref="B17"/>
    </sheetView>
  </sheetViews>
  <sheetFormatPr defaultColWidth="7.109375" defaultRowHeight="12.75"/>
  <cols>
    <col min="1" max="1" width="7.5546875" style="33" bestFit="1" customWidth="1"/>
    <col min="2" max="2" width="7.88671875" style="33" customWidth="1"/>
    <col min="3" max="7" width="11.33203125" style="32" customWidth="1"/>
    <col min="8" max="8" width="12.77734375" style="32" bestFit="1" customWidth="1"/>
    <col min="9" max="9" width="13.21875" style="32" customWidth="1"/>
    <col min="10" max="10" width="12.77734375" style="32" customWidth="1"/>
    <col min="11" max="11" width="7.77734375" style="32" customWidth="1"/>
    <col min="12" max="16384" width="7.109375" style="32"/>
  </cols>
  <sheetData>
    <row r="1" spans="1:10" ht="15.75">
      <c r="A1" s="84" t="s">
        <v>64</v>
      </c>
    </row>
    <row r="2" spans="1:10" ht="15.75">
      <c r="A2" s="84" t="s">
        <v>65</v>
      </c>
    </row>
    <row r="3" spans="1:10" ht="15.75">
      <c r="A3" s="84" t="s">
        <v>66</v>
      </c>
    </row>
    <row r="4" spans="1:10" ht="15.75">
      <c r="A4" s="84" t="s">
        <v>67</v>
      </c>
    </row>
    <row r="5" spans="1:10" ht="15.75">
      <c r="A5" s="84" t="s">
        <v>69</v>
      </c>
    </row>
    <row r="6" spans="1:10" ht="15.75">
      <c r="A6" s="84" t="s">
        <v>71</v>
      </c>
    </row>
    <row r="8" spans="1:10" ht="20.25">
      <c r="A8" s="31" t="s">
        <v>35</v>
      </c>
    </row>
    <row r="9" spans="1:10" ht="15.75">
      <c r="A9" s="30" t="s">
        <v>25</v>
      </c>
    </row>
    <row r="11" spans="1:10">
      <c r="A11" s="32"/>
    </row>
    <row r="12" spans="1:10" ht="15.75">
      <c r="A12" s="32"/>
      <c r="B12" s="30"/>
      <c r="C12" s="53"/>
      <c r="I12" s="24"/>
    </row>
    <row r="13" spans="1:10" ht="15.75">
      <c r="A13" s="30"/>
      <c r="B13" s="30"/>
      <c r="C13" s="53"/>
      <c r="I13" s="24"/>
    </row>
    <row r="14" spans="1:10" ht="15.75">
      <c r="A14" s="30"/>
      <c r="C14" s="86" t="s">
        <v>34</v>
      </c>
      <c r="D14" s="86"/>
      <c r="E14" s="86"/>
      <c r="F14" s="52"/>
      <c r="G14" s="51"/>
      <c r="H14" s="50"/>
      <c r="I14" s="49"/>
    </row>
    <row r="15" spans="1:10" ht="97.9" customHeight="1">
      <c r="A15" s="18"/>
      <c r="B15" s="18"/>
      <c r="C15" s="21" t="s">
        <v>20</v>
      </c>
      <c r="D15" s="48" t="s">
        <v>19</v>
      </c>
      <c r="E15" s="21" t="s">
        <v>33</v>
      </c>
      <c r="F15" s="21" t="s">
        <v>32</v>
      </c>
      <c r="G15" s="21" t="s">
        <v>16</v>
      </c>
      <c r="H15" s="47" t="s">
        <v>31</v>
      </c>
      <c r="I15" s="21" t="s">
        <v>30</v>
      </c>
      <c r="J15" s="21" t="s">
        <v>29</v>
      </c>
    </row>
    <row r="16" spans="1:10" ht="15.75">
      <c r="A16" s="20" t="s">
        <v>2</v>
      </c>
      <c r="B16" s="20" t="s">
        <v>28</v>
      </c>
      <c r="C16" s="20" t="s">
        <v>27</v>
      </c>
      <c r="D16" s="20" t="s">
        <v>27</v>
      </c>
      <c r="E16" s="20" t="s">
        <v>27</v>
      </c>
      <c r="F16" s="20" t="s">
        <v>27</v>
      </c>
      <c r="G16" s="20" t="s">
        <v>27</v>
      </c>
      <c r="H16" s="46" t="s">
        <v>27</v>
      </c>
      <c r="I16" s="20" t="s">
        <v>27</v>
      </c>
      <c r="J16" s="20" t="s">
        <v>27</v>
      </c>
    </row>
    <row r="17" spans="1:20" ht="15.75">
      <c r="A17" s="13">
        <v>42005</v>
      </c>
      <c r="B17" s="44">
        <v>31</v>
      </c>
      <c r="C17" s="35">
        <v>122.58</v>
      </c>
      <c r="D17" s="35">
        <v>297.94099999999997</v>
      </c>
      <c r="E17" s="41">
        <v>729.47900000000004</v>
      </c>
      <c r="F17" s="35">
        <v>1150</v>
      </c>
      <c r="G17" s="35">
        <v>100</v>
      </c>
      <c r="H17" s="43"/>
      <c r="I17" s="35">
        <v>695</v>
      </c>
      <c r="J17" s="35">
        <v>50</v>
      </c>
      <c r="K17" s="36"/>
      <c r="L17" s="45"/>
      <c r="M17" s="36"/>
      <c r="N17" s="36"/>
      <c r="O17" s="36"/>
      <c r="P17" s="36"/>
      <c r="Q17" s="36"/>
      <c r="R17" s="36"/>
      <c r="S17" s="36"/>
      <c r="T17" s="36"/>
    </row>
    <row r="18" spans="1:20" ht="15.75">
      <c r="A18" s="13">
        <v>42036</v>
      </c>
      <c r="B18" s="44">
        <v>28</v>
      </c>
      <c r="C18" s="35">
        <v>122.58</v>
      </c>
      <c r="D18" s="35">
        <v>297.94099999999997</v>
      </c>
      <c r="E18" s="41">
        <v>729.47900000000004</v>
      </c>
      <c r="F18" s="35">
        <v>1150</v>
      </c>
      <c r="G18" s="35">
        <v>100</v>
      </c>
      <c r="H18" s="43"/>
      <c r="I18" s="35">
        <v>695</v>
      </c>
      <c r="J18" s="35">
        <v>50</v>
      </c>
      <c r="K18" s="36"/>
      <c r="L18" s="45"/>
      <c r="M18" s="36"/>
      <c r="N18" s="36"/>
      <c r="O18" s="36"/>
      <c r="P18" s="36"/>
      <c r="Q18" s="36"/>
      <c r="R18" s="36"/>
      <c r="S18" s="36"/>
      <c r="T18" s="36"/>
    </row>
    <row r="19" spans="1:20" ht="15.75">
      <c r="A19" s="13">
        <v>42064</v>
      </c>
      <c r="B19" s="44">
        <v>31</v>
      </c>
      <c r="C19" s="35">
        <v>122.58</v>
      </c>
      <c r="D19" s="35">
        <v>297.94099999999997</v>
      </c>
      <c r="E19" s="41">
        <v>729.47900000000004</v>
      </c>
      <c r="F19" s="35">
        <v>1150</v>
      </c>
      <c r="G19" s="35">
        <v>100</v>
      </c>
      <c r="H19" s="43"/>
      <c r="I19" s="35">
        <v>695</v>
      </c>
      <c r="J19" s="35">
        <v>50</v>
      </c>
      <c r="K19" s="36"/>
      <c r="L19" s="45"/>
      <c r="M19" s="36"/>
      <c r="N19" s="36"/>
      <c r="O19" s="36"/>
      <c r="P19" s="36"/>
      <c r="Q19" s="36"/>
      <c r="R19" s="36"/>
      <c r="S19" s="36"/>
      <c r="T19" s="36"/>
    </row>
    <row r="20" spans="1:20" ht="15.75">
      <c r="A20" s="13">
        <v>42095</v>
      </c>
      <c r="B20" s="44">
        <v>30</v>
      </c>
      <c r="C20" s="35">
        <v>141.29300000000001</v>
      </c>
      <c r="D20" s="35">
        <v>267.99299999999999</v>
      </c>
      <c r="E20" s="41">
        <v>829.71400000000006</v>
      </c>
      <c r="F20" s="35">
        <v>1239</v>
      </c>
      <c r="G20" s="35">
        <v>100</v>
      </c>
      <c r="H20" s="43"/>
      <c r="I20" s="35">
        <v>695</v>
      </c>
      <c r="J20" s="35">
        <v>50</v>
      </c>
      <c r="K20" s="36"/>
      <c r="L20" s="45"/>
      <c r="M20" s="36"/>
      <c r="N20" s="36"/>
      <c r="O20" s="36"/>
      <c r="P20" s="36"/>
      <c r="Q20" s="36"/>
      <c r="R20" s="36"/>
      <c r="S20" s="36"/>
      <c r="T20" s="36"/>
    </row>
    <row r="21" spans="1:20" ht="15.75">
      <c r="A21" s="13">
        <v>42125</v>
      </c>
      <c r="B21" s="44">
        <v>31</v>
      </c>
      <c r="C21" s="35">
        <v>194.20500000000001</v>
      </c>
      <c r="D21" s="35">
        <v>267.46600000000001</v>
      </c>
      <c r="E21" s="41">
        <v>912.32899999999995</v>
      </c>
      <c r="F21" s="35">
        <v>1374</v>
      </c>
      <c r="G21" s="35">
        <v>75</v>
      </c>
      <c r="H21" s="43"/>
      <c r="I21" s="35">
        <v>695</v>
      </c>
      <c r="J21" s="35">
        <v>50</v>
      </c>
      <c r="K21" s="36"/>
      <c r="L21" s="45"/>
      <c r="M21" s="36"/>
      <c r="N21" s="36"/>
      <c r="O21" s="36"/>
      <c r="P21" s="36"/>
      <c r="Q21" s="36"/>
      <c r="R21" s="36"/>
      <c r="S21" s="36"/>
      <c r="T21" s="36"/>
    </row>
    <row r="22" spans="1:20" ht="15.75">
      <c r="A22" s="13">
        <v>42156</v>
      </c>
      <c r="B22" s="44">
        <v>30</v>
      </c>
      <c r="C22" s="35">
        <v>194.20500000000001</v>
      </c>
      <c r="D22" s="35">
        <v>267.46600000000001</v>
      </c>
      <c r="E22" s="41">
        <v>912.32899999999995</v>
      </c>
      <c r="F22" s="35">
        <v>1374</v>
      </c>
      <c r="G22" s="35">
        <v>50</v>
      </c>
      <c r="H22" s="43"/>
      <c r="I22" s="35">
        <v>695</v>
      </c>
      <c r="J22" s="35">
        <v>50</v>
      </c>
      <c r="K22" s="36"/>
      <c r="L22" s="45"/>
      <c r="M22" s="36"/>
      <c r="N22" s="36"/>
      <c r="O22" s="36"/>
      <c r="P22" s="36"/>
      <c r="Q22" s="36"/>
      <c r="R22" s="36"/>
      <c r="S22" s="36"/>
      <c r="T22" s="36"/>
    </row>
    <row r="23" spans="1:20" ht="15.75">
      <c r="A23" s="13">
        <v>42186</v>
      </c>
      <c r="B23" s="44">
        <v>31</v>
      </c>
      <c r="C23" s="35">
        <v>194.20500000000001</v>
      </c>
      <c r="D23" s="35">
        <v>267.46600000000001</v>
      </c>
      <c r="E23" s="41">
        <v>912.32899999999995</v>
      </c>
      <c r="F23" s="35">
        <v>1374</v>
      </c>
      <c r="G23" s="35">
        <v>50</v>
      </c>
      <c r="H23" s="43"/>
      <c r="I23" s="35">
        <v>695</v>
      </c>
      <c r="J23" s="35">
        <v>0</v>
      </c>
      <c r="K23" s="36"/>
      <c r="L23" s="45"/>
      <c r="M23" s="36"/>
      <c r="N23" s="36"/>
      <c r="O23" s="36"/>
      <c r="P23" s="36"/>
      <c r="Q23" s="36"/>
      <c r="R23" s="36"/>
      <c r="S23" s="36"/>
      <c r="T23" s="36"/>
    </row>
    <row r="24" spans="1:20" ht="15.75">
      <c r="A24" s="13">
        <v>42217</v>
      </c>
      <c r="B24" s="44">
        <v>31</v>
      </c>
      <c r="C24" s="35">
        <v>194.20500000000001</v>
      </c>
      <c r="D24" s="35">
        <v>267.46600000000001</v>
      </c>
      <c r="E24" s="41">
        <v>912.32899999999995</v>
      </c>
      <c r="F24" s="35">
        <v>1374</v>
      </c>
      <c r="G24" s="35">
        <v>50</v>
      </c>
      <c r="H24" s="43"/>
      <c r="I24" s="35">
        <v>695</v>
      </c>
      <c r="J24" s="35">
        <v>0</v>
      </c>
      <c r="K24" s="36"/>
      <c r="L24" s="45"/>
      <c r="M24" s="36"/>
      <c r="N24" s="36"/>
      <c r="O24" s="36"/>
      <c r="P24" s="36"/>
      <c r="Q24" s="36"/>
      <c r="R24" s="36"/>
      <c r="S24" s="36"/>
      <c r="T24" s="36"/>
    </row>
    <row r="25" spans="1:20" ht="15.75">
      <c r="A25" s="13">
        <v>42248</v>
      </c>
      <c r="B25" s="44">
        <v>30</v>
      </c>
      <c r="C25" s="35">
        <v>194.20500000000001</v>
      </c>
      <c r="D25" s="35">
        <v>267.46600000000001</v>
      </c>
      <c r="E25" s="41">
        <v>912.32899999999995</v>
      </c>
      <c r="F25" s="35">
        <v>1374</v>
      </c>
      <c r="G25" s="35">
        <v>50</v>
      </c>
      <c r="H25" s="43"/>
      <c r="I25" s="35">
        <v>695</v>
      </c>
      <c r="J25" s="35">
        <v>0</v>
      </c>
      <c r="K25" s="36"/>
      <c r="L25" s="45"/>
      <c r="M25" s="36"/>
      <c r="N25" s="36"/>
      <c r="O25" s="36"/>
      <c r="P25" s="36"/>
      <c r="Q25" s="36"/>
      <c r="R25" s="36"/>
      <c r="S25" s="36"/>
      <c r="T25" s="36"/>
    </row>
    <row r="26" spans="1:20" ht="15.75">
      <c r="A26" s="13">
        <v>42278</v>
      </c>
      <c r="B26" s="44">
        <v>31</v>
      </c>
      <c r="C26" s="35">
        <v>131.881</v>
      </c>
      <c r="D26" s="35">
        <v>277.16699999999997</v>
      </c>
      <c r="E26" s="41">
        <v>829.952</v>
      </c>
      <c r="F26" s="35">
        <v>1239</v>
      </c>
      <c r="G26" s="35">
        <v>75</v>
      </c>
      <c r="H26" s="43"/>
      <c r="I26" s="35">
        <v>695</v>
      </c>
      <c r="J26" s="35">
        <v>0</v>
      </c>
      <c r="K26" s="36"/>
      <c r="L26" s="45"/>
      <c r="M26" s="36"/>
      <c r="N26" s="36"/>
      <c r="O26" s="36"/>
      <c r="P26" s="36"/>
      <c r="Q26" s="36"/>
      <c r="R26" s="36"/>
      <c r="S26" s="36"/>
      <c r="T26" s="36"/>
    </row>
    <row r="27" spans="1:20" ht="15.75">
      <c r="A27" s="13">
        <v>42309</v>
      </c>
      <c r="B27" s="44">
        <v>30</v>
      </c>
      <c r="C27" s="35">
        <v>122.58</v>
      </c>
      <c r="D27" s="35">
        <v>297.94099999999997</v>
      </c>
      <c r="E27" s="41">
        <v>729.47900000000004</v>
      </c>
      <c r="F27" s="35">
        <v>1150</v>
      </c>
      <c r="G27" s="35">
        <v>100</v>
      </c>
      <c r="H27" s="43"/>
      <c r="I27" s="35">
        <v>695</v>
      </c>
      <c r="J27" s="35">
        <v>50</v>
      </c>
      <c r="K27" s="36"/>
      <c r="L27" s="45"/>
      <c r="M27" s="36"/>
      <c r="N27" s="36"/>
      <c r="O27" s="36"/>
      <c r="P27" s="36"/>
      <c r="Q27" s="36"/>
      <c r="R27" s="36"/>
      <c r="S27" s="36"/>
      <c r="T27" s="36"/>
    </row>
    <row r="28" spans="1:20" ht="15.75">
      <c r="A28" s="13">
        <v>42339</v>
      </c>
      <c r="B28" s="44">
        <v>31</v>
      </c>
      <c r="C28" s="35">
        <v>122.58</v>
      </c>
      <c r="D28" s="35">
        <v>297.94099999999997</v>
      </c>
      <c r="E28" s="41">
        <v>729.47900000000004</v>
      </c>
      <c r="F28" s="35">
        <v>1150</v>
      </c>
      <c r="G28" s="35">
        <v>100</v>
      </c>
      <c r="H28" s="43"/>
      <c r="I28" s="35">
        <v>695</v>
      </c>
      <c r="J28" s="35">
        <v>50</v>
      </c>
      <c r="K28" s="36"/>
      <c r="L28" s="45"/>
      <c r="M28" s="36"/>
      <c r="N28" s="36"/>
      <c r="O28" s="36"/>
      <c r="P28" s="36"/>
      <c r="Q28" s="36"/>
      <c r="R28" s="36"/>
      <c r="S28" s="36"/>
      <c r="T28" s="36"/>
    </row>
    <row r="29" spans="1:20" ht="15.75">
      <c r="A29" s="13">
        <v>42370</v>
      </c>
      <c r="B29" s="44">
        <v>31</v>
      </c>
      <c r="C29" s="35">
        <v>122.58</v>
      </c>
      <c r="D29" s="35">
        <v>297.94099999999997</v>
      </c>
      <c r="E29" s="41">
        <v>729.47900000000004</v>
      </c>
      <c r="F29" s="35">
        <v>1150</v>
      </c>
      <c r="G29" s="35">
        <v>100</v>
      </c>
      <c r="H29" s="43"/>
      <c r="I29" s="35">
        <v>695</v>
      </c>
      <c r="J29" s="35">
        <v>50</v>
      </c>
      <c r="K29" s="36"/>
      <c r="L29" s="45"/>
      <c r="M29" s="36"/>
      <c r="N29" s="36"/>
      <c r="O29" s="36"/>
      <c r="P29" s="36"/>
      <c r="Q29" s="36"/>
      <c r="R29" s="36"/>
      <c r="S29" s="36"/>
      <c r="T29" s="36"/>
    </row>
    <row r="30" spans="1:20" ht="15.75">
      <c r="A30" s="13">
        <v>42401</v>
      </c>
      <c r="B30" s="44">
        <v>29</v>
      </c>
      <c r="C30" s="35">
        <v>122.58</v>
      </c>
      <c r="D30" s="35">
        <v>297.94099999999997</v>
      </c>
      <c r="E30" s="41">
        <v>729.47900000000004</v>
      </c>
      <c r="F30" s="35">
        <v>1150</v>
      </c>
      <c r="G30" s="35">
        <v>100</v>
      </c>
      <c r="H30" s="43"/>
      <c r="I30" s="35">
        <v>695</v>
      </c>
      <c r="J30" s="35">
        <v>50</v>
      </c>
      <c r="K30" s="36"/>
      <c r="L30" s="45"/>
      <c r="M30" s="36"/>
      <c r="N30" s="36"/>
      <c r="O30" s="36"/>
      <c r="P30" s="36"/>
      <c r="Q30" s="36"/>
      <c r="R30" s="36"/>
      <c r="S30" s="36"/>
      <c r="T30" s="36"/>
    </row>
    <row r="31" spans="1:20" ht="15.75">
      <c r="A31" s="13">
        <v>42430</v>
      </c>
      <c r="B31" s="44">
        <v>31</v>
      </c>
      <c r="C31" s="35">
        <v>122.58</v>
      </c>
      <c r="D31" s="35">
        <v>297.94099999999997</v>
      </c>
      <c r="E31" s="41">
        <v>729.47900000000004</v>
      </c>
      <c r="F31" s="35">
        <v>1150</v>
      </c>
      <c r="G31" s="35">
        <v>100</v>
      </c>
      <c r="H31" s="43"/>
      <c r="I31" s="35">
        <v>695</v>
      </c>
      <c r="J31" s="35">
        <v>50</v>
      </c>
      <c r="K31" s="36"/>
      <c r="L31" s="45"/>
      <c r="M31" s="36"/>
      <c r="N31" s="36"/>
      <c r="O31" s="36"/>
      <c r="P31" s="36"/>
      <c r="Q31" s="36"/>
      <c r="R31" s="36"/>
      <c r="S31" s="36"/>
      <c r="T31" s="36"/>
    </row>
    <row r="32" spans="1:20" ht="15.75">
      <c r="A32" s="13">
        <v>42461</v>
      </c>
      <c r="B32" s="44">
        <v>30</v>
      </c>
      <c r="C32" s="35">
        <v>141.29300000000001</v>
      </c>
      <c r="D32" s="35">
        <v>267.99299999999999</v>
      </c>
      <c r="E32" s="41">
        <v>829.71400000000006</v>
      </c>
      <c r="F32" s="35">
        <v>1239</v>
      </c>
      <c r="G32" s="35">
        <v>100</v>
      </c>
      <c r="H32" s="43"/>
      <c r="I32" s="35">
        <v>695</v>
      </c>
      <c r="J32" s="35">
        <v>50</v>
      </c>
      <c r="K32" s="36"/>
      <c r="L32" s="45"/>
      <c r="M32" s="36"/>
      <c r="N32" s="36"/>
      <c r="O32" s="36"/>
      <c r="P32" s="36"/>
      <c r="Q32" s="36"/>
      <c r="R32" s="36"/>
      <c r="S32" s="36"/>
      <c r="T32" s="36"/>
    </row>
    <row r="33" spans="1:20" ht="15.75">
      <c r="A33" s="13">
        <v>42491</v>
      </c>
      <c r="B33" s="44">
        <v>31</v>
      </c>
      <c r="C33" s="35">
        <v>194.20500000000001</v>
      </c>
      <c r="D33" s="35">
        <v>267.46600000000001</v>
      </c>
      <c r="E33" s="41">
        <v>912.32899999999995</v>
      </c>
      <c r="F33" s="35">
        <v>1374</v>
      </c>
      <c r="G33" s="35">
        <v>75</v>
      </c>
      <c r="H33" s="43"/>
      <c r="I33" s="35">
        <v>695</v>
      </c>
      <c r="J33" s="35">
        <v>50</v>
      </c>
      <c r="K33" s="36"/>
      <c r="L33" s="45"/>
      <c r="M33" s="36"/>
      <c r="N33" s="36"/>
      <c r="O33" s="36"/>
      <c r="P33" s="36"/>
      <c r="Q33" s="36"/>
      <c r="R33" s="36"/>
      <c r="S33" s="36"/>
      <c r="T33" s="36"/>
    </row>
    <row r="34" spans="1:20" ht="15.75">
      <c r="A34" s="13">
        <v>42522</v>
      </c>
      <c r="B34" s="44">
        <v>30</v>
      </c>
      <c r="C34" s="35">
        <v>194.20500000000001</v>
      </c>
      <c r="D34" s="35">
        <v>267.46600000000001</v>
      </c>
      <c r="E34" s="41">
        <v>912.32899999999995</v>
      </c>
      <c r="F34" s="35">
        <v>1374</v>
      </c>
      <c r="G34" s="35">
        <v>50</v>
      </c>
      <c r="H34" s="43"/>
      <c r="I34" s="35">
        <v>695</v>
      </c>
      <c r="J34" s="35">
        <v>50</v>
      </c>
      <c r="K34" s="36"/>
      <c r="L34" s="45"/>
      <c r="M34" s="36"/>
      <c r="N34" s="36"/>
      <c r="O34" s="36"/>
      <c r="P34" s="36"/>
      <c r="Q34" s="36"/>
      <c r="R34" s="36"/>
      <c r="S34" s="36"/>
      <c r="T34" s="36"/>
    </row>
    <row r="35" spans="1:20" ht="15.75">
      <c r="A35" s="13">
        <v>42552</v>
      </c>
      <c r="B35" s="44">
        <v>31</v>
      </c>
      <c r="C35" s="35">
        <v>194.20500000000001</v>
      </c>
      <c r="D35" s="35">
        <v>267.46600000000001</v>
      </c>
      <c r="E35" s="41">
        <v>912.32899999999995</v>
      </c>
      <c r="F35" s="35">
        <v>1374</v>
      </c>
      <c r="G35" s="35">
        <v>50</v>
      </c>
      <c r="H35" s="43"/>
      <c r="I35" s="35">
        <v>695</v>
      </c>
      <c r="J35" s="35">
        <v>0</v>
      </c>
      <c r="K35" s="36"/>
      <c r="L35" s="45"/>
      <c r="M35" s="36"/>
      <c r="N35" s="36"/>
      <c r="O35" s="36"/>
      <c r="P35" s="36"/>
      <c r="Q35" s="36"/>
      <c r="R35" s="36"/>
      <c r="S35" s="36"/>
      <c r="T35" s="36"/>
    </row>
    <row r="36" spans="1:20" ht="15.75">
      <c r="A36" s="13">
        <v>42583</v>
      </c>
      <c r="B36" s="44">
        <v>31</v>
      </c>
      <c r="C36" s="35">
        <v>194.20500000000001</v>
      </c>
      <c r="D36" s="35">
        <v>267.46600000000001</v>
      </c>
      <c r="E36" s="41">
        <v>912.32899999999995</v>
      </c>
      <c r="F36" s="35">
        <v>1374</v>
      </c>
      <c r="G36" s="35">
        <v>50</v>
      </c>
      <c r="H36" s="43"/>
      <c r="I36" s="35">
        <v>695</v>
      </c>
      <c r="J36" s="35">
        <v>0</v>
      </c>
      <c r="K36" s="36"/>
      <c r="L36" s="45"/>
      <c r="M36" s="36"/>
      <c r="N36" s="36"/>
      <c r="O36" s="36"/>
      <c r="P36" s="36"/>
      <c r="Q36" s="36"/>
      <c r="R36" s="36"/>
      <c r="S36" s="36"/>
      <c r="T36" s="36"/>
    </row>
    <row r="37" spans="1:20" ht="15.75">
      <c r="A37" s="13">
        <v>42614</v>
      </c>
      <c r="B37" s="44">
        <v>30</v>
      </c>
      <c r="C37" s="35">
        <v>194.20500000000001</v>
      </c>
      <c r="D37" s="35">
        <v>267.46600000000001</v>
      </c>
      <c r="E37" s="41">
        <v>912.32899999999995</v>
      </c>
      <c r="F37" s="35">
        <v>1374</v>
      </c>
      <c r="G37" s="35">
        <v>50</v>
      </c>
      <c r="H37" s="43"/>
      <c r="I37" s="35">
        <v>695</v>
      </c>
      <c r="J37" s="35">
        <v>0</v>
      </c>
      <c r="K37" s="36"/>
      <c r="L37" s="45"/>
      <c r="M37" s="36"/>
      <c r="N37" s="36"/>
      <c r="O37" s="36"/>
      <c r="P37" s="36"/>
      <c r="Q37" s="36"/>
      <c r="R37" s="36"/>
      <c r="S37" s="36"/>
      <c r="T37" s="36"/>
    </row>
    <row r="38" spans="1:20" ht="15.75">
      <c r="A38" s="13">
        <v>42644</v>
      </c>
      <c r="B38" s="44">
        <v>31</v>
      </c>
      <c r="C38" s="35">
        <v>131.881</v>
      </c>
      <c r="D38" s="35">
        <v>277.16699999999997</v>
      </c>
      <c r="E38" s="41">
        <v>829.952</v>
      </c>
      <c r="F38" s="35">
        <v>1239</v>
      </c>
      <c r="G38" s="35">
        <v>75</v>
      </c>
      <c r="H38" s="43"/>
      <c r="I38" s="35">
        <v>695</v>
      </c>
      <c r="J38" s="35">
        <v>0</v>
      </c>
      <c r="K38" s="36"/>
      <c r="L38" s="45"/>
      <c r="M38" s="36"/>
      <c r="N38" s="36"/>
      <c r="O38" s="36"/>
      <c r="P38" s="36"/>
      <c r="Q38" s="36"/>
      <c r="R38" s="36"/>
      <c r="S38" s="36"/>
      <c r="T38" s="36"/>
    </row>
    <row r="39" spans="1:20" ht="15.75">
      <c r="A39" s="13">
        <v>42675</v>
      </c>
      <c r="B39" s="44">
        <v>30</v>
      </c>
      <c r="C39" s="35">
        <v>122.58</v>
      </c>
      <c r="D39" s="35">
        <v>297.94099999999997</v>
      </c>
      <c r="E39" s="41">
        <v>729.47900000000004</v>
      </c>
      <c r="F39" s="35">
        <v>1150</v>
      </c>
      <c r="G39" s="35">
        <v>100</v>
      </c>
      <c r="H39" s="43"/>
      <c r="I39" s="35">
        <v>695</v>
      </c>
      <c r="J39" s="35">
        <v>50</v>
      </c>
      <c r="K39" s="36"/>
      <c r="L39" s="45"/>
      <c r="M39" s="36"/>
      <c r="N39" s="36"/>
      <c r="O39" s="36"/>
      <c r="P39" s="36"/>
      <c r="Q39" s="36"/>
      <c r="R39" s="36"/>
      <c r="S39" s="36"/>
      <c r="T39" s="36"/>
    </row>
    <row r="40" spans="1:20" ht="15.75">
      <c r="A40" s="13">
        <v>42705</v>
      </c>
      <c r="B40" s="44">
        <v>31</v>
      </c>
      <c r="C40" s="35">
        <v>122.58</v>
      </c>
      <c r="D40" s="35">
        <v>297.94099999999997</v>
      </c>
      <c r="E40" s="41">
        <v>729.47900000000004</v>
      </c>
      <c r="F40" s="35">
        <v>1150</v>
      </c>
      <c r="G40" s="35">
        <v>100</v>
      </c>
      <c r="H40" s="43"/>
      <c r="I40" s="35">
        <v>695</v>
      </c>
      <c r="J40" s="35">
        <v>50</v>
      </c>
      <c r="K40" s="36"/>
      <c r="L40" s="45"/>
      <c r="M40" s="36"/>
      <c r="N40" s="36"/>
      <c r="O40" s="36"/>
      <c r="P40" s="36"/>
      <c r="Q40" s="36"/>
      <c r="R40" s="36"/>
      <c r="S40" s="36"/>
      <c r="T40" s="36"/>
    </row>
    <row r="41" spans="1:20" ht="15.75">
      <c r="A41" s="13">
        <v>42736</v>
      </c>
      <c r="B41" s="44">
        <v>31</v>
      </c>
      <c r="C41" s="35">
        <v>122.58</v>
      </c>
      <c r="D41" s="35">
        <v>297.94099999999997</v>
      </c>
      <c r="E41" s="41">
        <v>729.47900000000004</v>
      </c>
      <c r="F41" s="35">
        <v>1150</v>
      </c>
      <c r="G41" s="35">
        <v>100</v>
      </c>
      <c r="H41" s="43"/>
      <c r="I41" s="35">
        <v>695</v>
      </c>
      <c r="J41" s="35">
        <v>50</v>
      </c>
      <c r="K41" s="36"/>
      <c r="L41" s="45"/>
      <c r="M41" s="36"/>
      <c r="N41" s="36"/>
      <c r="O41" s="36"/>
      <c r="P41" s="36"/>
      <c r="Q41" s="36"/>
      <c r="R41" s="36"/>
      <c r="S41" s="36"/>
      <c r="T41" s="36"/>
    </row>
    <row r="42" spans="1:20" ht="15.75">
      <c r="A42" s="13">
        <v>42767</v>
      </c>
      <c r="B42" s="44">
        <v>28</v>
      </c>
      <c r="C42" s="35">
        <v>122.58</v>
      </c>
      <c r="D42" s="35">
        <v>297.94099999999997</v>
      </c>
      <c r="E42" s="41">
        <v>729.47900000000004</v>
      </c>
      <c r="F42" s="35">
        <v>1150</v>
      </c>
      <c r="G42" s="35">
        <v>100</v>
      </c>
      <c r="H42" s="43"/>
      <c r="I42" s="35">
        <v>695</v>
      </c>
      <c r="J42" s="35">
        <v>50</v>
      </c>
      <c r="K42" s="36"/>
      <c r="L42" s="45"/>
      <c r="M42" s="36"/>
      <c r="N42" s="36"/>
      <c r="O42" s="36"/>
      <c r="P42" s="36"/>
      <c r="Q42" s="36"/>
      <c r="R42" s="36"/>
      <c r="S42" s="36"/>
      <c r="T42" s="36"/>
    </row>
    <row r="43" spans="1:20" ht="15.75">
      <c r="A43" s="13">
        <v>42795</v>
      </c>
      <c r="B43" s="44">
        <v>31</v>
      </c>
      <c r="C43" s="35">
        <v>122.58</v>
      </c>
      <c r="D43" s="35">
        <v>297.94099999999997</v>
      </c>
      <c r="E43" s="41">
        <v>729.47900000000004</v>
      </c>
      <c r="F43" s="35">
        <v>1150</v>
      </c>
      <c r="G43" s="35">
        <v>100</v>
      </c>
      <c r="H43" s="43"/>
      <c r="I43" s="35">
        <v>695</v>
      </c>
      <c r="J43" s="35">
        <v>50</v>
      </c>
      <c r="K43" s="36"/>
      <c r="L43" s="45"/>
      <c r="M43" s="36"/>
      <c r="N43" s="36"/>
      <c r="O43" s="36"/>
      <c r="P43" s="36"/>
      <c r="Q43" s="36"/>
      <c r="R43" s="36"/>
      <c r="S43" s="36"/>
      <c r="T43" s="36"/>
    </row>
    <row r="44" spans="1:20" ht="15.75">
      <c r="A44" s="13">
        <v>42826</v>
      </c>
      <c r="B44" s="44">
        <v>30</v>
      </c>
      <c r="C44" s="35">
        <v>141.29300000000001</v>
      </c>
      <c r="D44" s="35">
        <v>267.99299999999999</v>
      </c>
      <c r="E44" s="41">
        <v>829.71400000000006</v>
      </c>
      <c r="F44" s="35">
        <v>1239</v>
      </c>
      <c r="G44" s="35">
        <v>100</v>
      </c>
      <c r="H44" s="43"/>
      <c r="I44" s="35">
        <v>695</v>
      </c>
      <c r="J44" s="35">
        <v>50</v>
      </c>
      <c r="K44" s="36"/>
      <c r="L44" s="45"/>
      <c r="M44" s="36"/>
      <c r="N44" s="36"/>
      <c r="O44" s="36"/>
      <c r="P44" s="36"/>
      <c r="Q44" s="36"/>
      <c r="R44" s="36"/>
      <c r="S44" s="36"/>
      <c r="T44" s="36"/>
    </row>
    <row r="45" spans="1:20" ht="15.75">
      <c r="A45" s="13">
        <v>42856</v>
      </c>
      <c r="B45" s="44">
        <v>31</v>
      </c>
      <c r="C45" s="35">
        <v>194.20500000000001</v>
      </c>
      <c r="D45" s="35">
        <v>267.46600000000001</v>
      </c>
      <c r="E45" s="41">
        <v>812.32899999999995</v>
      </c>
      <c r="F45" s="35">
        <v>1274</v>
      </c>
      <c r="G45" s="35">
        <v>75</v>
      </c>
      <c r="H45" s="43">
        <v>400</v>
      </c>
      <c r="I45" s="35">
        <v>695</v>
      </c>
      <c r="J45" s="35">
        <v>50</v>
      </c>
      <c r="K45" s="36"/>
      <c r="L45" s="45"/>
      <c r="M45" s="36"/>
      <c r="N45" s="36"/>
      <c r="O45" s="36"/>
      <c r="P45" s="36"/>
      <c r="Q45" s="36"/>
      <c r="R45" s="36"/>
      <c r="S45" s="36"/>
      <c r="T45" s="36"/>
    </row>
    <row r="46" spans="1:20" ht="15.75">
      <c r="A46" s="13">
        <v>42887</v>
      </c>
      <c r="B46" s="44">
        <v>30</v>
      </c>
      <c r="C46" s="35">
        <v>194.20500000000001</v>
      </c>
      <c r="D46" s="35">
        <v>267.46600000000001</v>
      </c>
      <c r="E46" s="41">
        <v>812.32899999999995</v>
      </c>
      <c r="F46" s="35">
        <v>1274</v>
      </c>
      <c r="G46" s="35">
        <v>50</v>
      </c>
      <c r="H46" s="43">
        <v>400</v>
      </c>
      <c r="I46" s="35">
        <v>695</v>
      </c>
      <c r="J46" s="35">
        <v>50</v>
      </c>
      <c r="K46" s="36"/>
      <c r="L46" s="45"/>
      <c r="M46" s="36"/>
      <c r="N46" s="36"/>
      <c r="O46" s="36"/>
      <c r="P46" s="36"/>
      <c r="Q46" s="36"/>
      <c r="R46" s="36"/>
      <c r="S46" s="36"/>
      <c r="T46" s="36"/>
    </row>
    <row r="47" spans="1:20" ht="15.75">
      <c r="A47" s="13">
        <v>42917</v>
      </c>
      <c r="B47" s="44">
        <v>31</v>
      </c>
      <c r="C47" s="35">
        <v>194.20500000000001</v>
      </c>
      <c r="D47" s="35">
        <v>267.46600000000001</v>
      </c>
      <c r="E47" s="41">
        <v>812.32899999999995</v>
      </c>
      <c r="F47" s="35">
        <v>1274</v>
      </c>
      <c r="G47" s="35">
        <v>50</v>
      </c>
      <c r="H47" s="43">
        <v>400</v>
      </c>
      <c r="I47" s="35">
        <v>695</v>
      </c>
      <c r="J47" s="35">
        <v>0</v>
      </c>
      <c r="K47" s="36"/>
      <c r="L47" s="45"/>
      <c r="M47" s="36"/>
      <c r="N47" s="36"/>
      <c r="O47" s="36"/>
      <c r="P47" s="36"/>
      <c r="Q47" s="36"/>
      <c r="R47" s="36"/>
      <c r="S47" s="36"/>
      <c r="T47" s="36"/>
    </row>
    <row r="48" spans="1:20" ht="15.75">
      <c r="A48" s="13">
        <v>42948</v>
      </c>
      <c r="B48" s="44">
        <v>31</v>
      </c>
      <c r="C48" s="35">
        <v>194.20500000000001</v>
      </c>
      <c r="D48" s="35">
        <v>267.46600000000001</v>
      </c>
      <c r="E48" s="41">
        <v>812.32899999999995</v>
      </c>
      <c r="F48" s="35">
        <v>1274</v>
      </c>
      <c r="G48" s="35">
        <v>50</v>
      </c>
      <c r="H48" s="43">
        <v>400</v>
      </c>
      <c r="I48" s="35">
        <v>695</v>
      </c>
      <c r="J48" s="35">
        <v>0</v>
      </c>
      <c r="K48" s="36"/>
      <c r="L48" s="45"/>
      <c r="M48" s="36"/>
      <c r="N48" s="36"/>
      <c r="O48" s="36"/>
      <c r="P48" s="36"/>
      <c r="Q48" s="36"/>
      <c r="R48" s="36"/>
      <c r="S48" s="36"/>
      <c r="T48" s="36"/>
    </row>
    <row r="49" spans="1:20" ht="15.75">
      <c r="A49" s="13">
        <v>42979</v>
      </c>
      <c r="B49" s="44">
        <v>30</v>
      </c>
      <c r="C49" s="35">
        <v>194.20500000000001</v>
      </c>
      <c r="D49" s="35">
        <v>267.46600000000001</v>
      </c>
      <c r="E49" s="41">
        <v>812.32899999999995</v>
      </c>
      <c r="F49" s="35">
        <v>1274</v>
      </c>
      <c r="G49" s="35">
        <v>50</v>
      </c>
      <c r="H49" s="43">
        <v>400</v>
      </c>
      <c r="I49" s="35">
        <v>695</v>
      </c>
      <c r="J49" s="35">
        <v>0</v>
      </c>
      <c r="K49" s="36"/>
      <c r="L49" s="45"/>
      <c r="M49" s="36"/>
      <c r="N49" s="36"/>
      <c r="O49" s="36"/>
      <c r="P49" s="36"/>
      <c r="Q49" s="36"/>
      <c r="R49" s="36"/>
      <c r="S49" s="36"/>
      <c r="T49" s="36"/>
    </row>
    <row r="50" spans="1:20" ht="15.75">
      <c r="A50" s="13">
        <v>43009</v>
      </c>
      <c r="B50" s="44">
        <v>31</v>
      </c>
      <c r="C50" s="35">
        <v>131.881</v>
      </c>
      <c r="D50" s="35">
        <v>277.16699999999997</v>
      </c>
      <c r="E50" s="41">
        <v>829.952</v>
      </c>
      <c r="F50" s="35">
        <v>1239</v>
      </c>
      <c r="G50" s="35">
        <v>75</v>
      </c>
      <c r="H50" s="43">
        <v>400</v>
      </c>
      <c r="I50" s="35">
        <v>695</v>
      </c>
      <c r="J50" s="35">
        <v>0</v>
      </c>
      <c r="K50" s="36"/>
      <c r="L50" s="45"/>
      <c r="M50" s="36"/>
      <c r="N50" s="36"/>
      <c r="O50" s="36"/>
      <c r="P50" s="36"/>
      <c r="Q50" s="36"/>
      <c r="R50" s="36"/>
      <c r="S50" s="36"/>
      <c r="T50" s="36"/>
    </row>
    <row r="51" spans="1:20" ht="15.75">
      <c r="A51" s="13">
        <v>43040</v>
      </c>
      <c r="B51" s="44">
        <v>30</v>
      </c>
      <c r="C51" s="35">
        <v>122.58</v>
      </c>
      <c r="D51" s="35">
        <v>297.94099999999997</v>
      </c>
      <c r="E51" s="41">
        <v>729.47900000000004</v>
      </c>
      <c r="F51" s="35">
        <v>1150</v>
      </c>
      <c r="G51" s="35">
        <v>100</v>
      </c>
      <c r="H51" s="43">
        <v>400</v>
      </c>
      <c r="I51" s="35">
        <v>695</v>
      </c>
      <c r="J51" s="35">
        <v>50</v>
      </c>
      <c r="K51" s="36"/>
      <c r="L51" s="45"/>
      <c r="M51" s="36"/>
      <c r="N51" s="36"/>
      <c r="O51" s="36"/>
      <c r="P51" s="36"/>
      <c r="Q51" s="36"/>
      <c r="R51" s="36"/>
      <c r="S51" s="36"/>
      <c r="T51" s="36"/>
    </row>
    <row r="52" spans="1:20" ht="15.75">
      <c r="A52" s="13">
        <v>43070</v>
      </c>
      <c r="B52" s="44">
        <v>31</v>
      </c>
      <c r="C52" s="35">
        <v>122.58</v>
      </c>
      <c r="D52" s="35">
        <v>297.94099999999997</v>
      </c>
      <c r="E52" s="41">
        <v>729.47900000000004</v>
      </c>
      <c r="F52" s="35">
        <v>1150</v>
      </c>
      <c r="G52" s="35">
        <v>100</v>
      </c>
      <c r="H52" s="43">
        <v>400</v>
      </c>
      <c r="I52" s="35">
        <v>695</v>
      </c>
      <c r="J52" s="35">
        <v>50</v>
      </c>
      <c r="K52" s="36"/>
      <c r="L52" s="45"/>
      <c r="M52" s="36"/>
      <c r="N52" s="36"/>
      <c r="O52" s="36"/>
      <c r="P52" s="36"/>
      <c r="Q52" s="36"/>
      <c r="R52" s="36"/>
      <c r="S52" s="36"/>
      <c r="T52" s="36"/>
    </row>
    <row r="53" spans="1:20" ht="15.75">
      <c r="A53" s="13">
        <v>43101</v>
      </c>
      <c r="B53" s="44">
        <v>31</v>
      </c>
      <c r="C53" s="35">
        <v>122.58</v>
      </c>
      <c r="D53" s="35">
        <v>297.94099999999997</v>
      </c>
      <c r="E53" s="41">
        <v>729.47900000000004</v>
      </c>
      <c r="F53" s="35">
        <v>1150</v>
      </c>
      <c r="G53" s="35">
        <v>100</v>
      </c>
      <c r="H53" s="43">
        <v>400</v>
      </c>
      <c r="I53" s="35">
        <v>695</v>
      </c>
      <c r="J53" s="35">
        <v>50</v>
      </c>
      <c r="K53" s="36"/>
      <c r="L53" s="45"/>
      <c r="M53" s="36"/>
      <c r="N53" s="36"/>
      <c r="O53" s="36"/>
      <c r="P53" s="36"/>
      <c r="Q53" s="36"/>
      <c r="R53" s="36"/>
      <c r="S53" s="36"/>
      <c r="T53" s="36"/>
    </row>
    <row r="54" spans="1:20" ht="15.75">
      <c r="A54" s="13">
        <v>43132</v>
      </c>
      <c r="B54" s="44">
        <v>28</v>
      </c>
      <c r="C54" s="35">
        <v>122.58</v>
      </c>
      <c r="D54" s="35">
        <v>297.94099999999997</v>
      </c>
      <c r="E54" s="41">
        <v>729.47900000000004</v>
      </c>
      <c r="F54" s="35">
        <v>1150</v>
      </c>
      <c r="G54" s="35">
        <v>100</v>
      </c>
      <c r="H54" s="43">
        <v>400</v>
      </c>
      <c r="I54" s="35">
        <v>695</v>
      </c>
      <c r="J54" s="35">
        <v>50</v>
      </c>
      <c r="K54" s="36"/>
      <c r="L54" s="45"/>
      <c r="M54" s="36"/>
      <c r="N54" s="36"/>
      <c r="O54" s="36"/>
      <c r="P54" s="36"/>
      <c r="Q54" s="36"/>
      <c r="R54" s="36"/>
      <c r="S54" s="36"/>
      <c r="T54" s="36"/>
    </row>
    <row r="55" spans="1:20" ht="15.75">
      <c r="A55" s="13">
        <v>43160</v>
      </c>
      <c r="B55" s="44">
        <v>31</v>
      </c>
      <c r="C55" s="35">
        <v>122.58</v>
      </c>
      <c r="D55" s="35">
        <v>297.94099999999997</v>
      </c>
      <c r="E55" s="41">
        <v>729.47900000000004</v>
      </c>
      <c r="F55" s="35">
        <v>1150</v>
      </c>
      <c r="G55" s="35">
        <v>100</v>
      </c>
      <c r="H55" s="43">
        <v>400</v>
      </c>
      <c r="I55" s="35">
        <v>695</v>
      </c>
      <c r="J55" s="35">
        <v>50</v>
      </c>
      <c r="K55" s="36"/>
      <c r="L55" s="45"/>
      <c r="M55" s="36"/>
      <c r="N55" s="36"/>
      <c r="O55" s="36"/>
      <c r="P55" s="36"/>
      <c r="Q55" s="36"/>
      <c r="R55" s="36"/>
      <c r="S55" s="36"/>
      <c r="T55" s="36"/>
    </row>
    <row r="56" spans="1:20" ht="15.75">
      <c r="A56" s="13">
        <v>43191</v>
      </c>
      <c r="B56" s="44">
        <v>30</v>
      </c>
      <c r="C56" s="35">
        <v>141.29300000000001</v>
      </c>
      <c r="D56" s="35">
        <v>267.99299999999999</v>
      </c>
      <c r="E56" s="41">
        <v>829.71400000000006</v>
      </c>
      <c r="F56" s="35">
        <v>1239</v>
      </c>
      <c r="G56" s="35">
        <v>100</v>
      </c>
      <c r="H56" s="43">
        <v>400</v>
      </c>
      <c r="I56" s="35">
        <v>695</v>
      </c>
      <c r="J56" s="35">
        <v>50</v>
      </c>
      <c r="K56" s="36"/>
      <c r="L56" s="45"/>
      <c r="M56" s="36"/>
      <c r="N56" s="36"/>
      <c r="O56" s="36"/>
      <c r="P56" s="36"/>
      <c r="Q56" s="36"/>
      <c r="R56" s="36"/>
      <c r="S56" s="36"/>
      <c r="T56" s="36"/>
    </row>
    <row r="57" spans="1:20" ht="15.75">
      <c r="A57" s="13">
        <v>43221</v>
      </c>
      <c r="B57" s="44">
        <v>31</v>
      </c>
      <c r="C57" s="35">
        <v>194.20500000000001</v>
      </c>
      <c r="D57" s="35">
        <v>267.46600000000001</v>
      </c>
      <c r="E57" s="41">
        <v>812.32899999999995</v>
      </c>
      <c r="F57" s="35">
        <v>1274</v>
      </c>
      <c r="G57" s="35">
        <v>75</v>
      </c>
      <c r="H57" s="43">
        <v>400</v>
      </c>
      <c r="I57" s="35">
        <v>695</v>
      </c>
      <c r="J57" s="35">
        <v>50</v>
      </c>
      <c r="K57" s="36"/>
      <c r="L57" s="45"/>
      <c r="M57" s="36"/>
      <c r="N57" s="36"/>
      <c r="O57" s="36"/>
      <c r="P57" s="36"/>
      <c r="Q57" s="36"/>
      <c r="R57" s="36"/>
      <c r="S57" s="36"/>
      <c r="T57" s="36"/>
    </row>
    <row r="58" spans="1:20" ht="15.75">
      <c r="A58" s="13">
        <v>43252</v>
      </c>
      <c r="B58" s="44">
        <v>30</v>
      </c>
      <c r="C58" s="35">
        <v>194.20500000000001</v>
      </c>
      <c r="D58" s="35">
        <v>267.46600000000001</v>
      </c>
      <c r="E58" s="41">
        <v>812.32899999999995</v>
      </c>
      <c r="F58" s="35">
        <v>1274</v>
      </c>
      <c r="G58" s="35">
        <v>50</v>
      </c>
      <c r="H58" s="43">
        <v>400</v>
      </c>
      <c r="I58" s="35">
        <v>695</v>
      </c>
      <c r="J58" s="35">
        <v>50</v>
      </c>
      <c r="K58" s="36"/>
      <c r="L58" s="45"/>
      <c r="M58" s="36"/>
      <c r="N58" s="36"/>
      <c r="O58" s="36"/>
      <c r="P58" s="36"/>
      <c r="Q58" s="36"/>
      <c r="R58" s="36"/>
      <c r="S58" s="36"/>
      <c r="T58" s="36"/>
    </row>
    <row r="59" spans="1:20" ht="15.75">
      <c r="A59" s="13">
        <v>43282</v>
      </c>
      <c r="B59" s="44">
        <v>31</v>
      </c>
      <c r="C59" s="35">
        <v>194.20500000000001</v>
      </c>
      <c r="D59" s="35">
        <v>267.46600000000001</v>
      </c>
      <c r="E59" s="41">
        <v>812.32899999999995</v>
      </c>
      <c r="F59" s="35">
        <v>1274</v>
      </c>
      <c r="G59" s="35">
        <v>50</v>
      </c>
      <c r="H59" s="43">
        <v>400</v>
      </c>
      <c r="I59" s="35">
        <v>695</v>
      </c>
      <c r="J59" s="35">
        <v>0</v>
      </c>
      <c r="K59" s="36"/>
      <c r="L59" s="45"/>
      <c r="M59" s="36"/>
      <c r="N59" s="36"/>
      <c r="O59" s="36"/>
      <c r="P59" s="36"/>
      <c r="Q59" s="36"/>
      <c r="R59" s="36"/>
      <c r="S59" s="36"/>
      <c r="T59" s="36"/>
    </row>
    <row r="60" spans="1:20" ht="15.75">
      <c r="A60" s="13">
        <v>43313</v>
      </c>
      <c r="B60" s="44">
        <v>31</v>
      </c>
      <c r="C60" s="35">
        <v>194.20500000000001</v>
      </c>
      <c r="D60" s="35">
        <v>267.46600000000001</v>
      </c>
      <c r="E60" s="41">
        <v>812.32899999999995</v>
      </c>
      <c r="F60" s="35">
        <v>1274</v>
      </c>
      <c r="G60" s="35">
        <v>50</v>
      </c>
      <c r="H60" s="43">
        <v>400</v>
      </c>
      <c r="I60" s="35">
        <v>695</v>
      </c>
      <c r="J60" s="35">
        <v>0</v>
      </c>
      <c r="K60" s="36"/>
      <c r="L60" s="45"/>
      <c r="M60" s="36"/>
      <c r="N60" s="36"/>
      <c r="O60" s="36"/>
      <c r="P60" s="36"/>
      <c r="Q60" s="36"/>
      <c r="R60" s="36"/>
      <c r="S60" s="36"/>
      <c r="T60" s="36"/>
    </row>
    <row r="61" spans="1:20" ht="15.75">
      <c r="A61" s="13">
        <v>43344</v>
      </c>
      <c r="B61" s="44">
        <v>30</v>
      </c>
      <c r="C61" s="35">
        <v>194.20500000000001</v>
      </c>
      <c r="D61" s="35">
        <v>267.46600000000001</v>
      </c>
      <c r="E61" s="41">
        <v>812.32899999999995</v>
      </c>
      <c r="F61" s="35">
        <v>1274</v>
      </c>
      <c r="G61" s="35">
        <v>50</v>
      </c>
      <c r="H61" s="43">
        <v>400</v>
      </c>
      <c r="I61" s="35">
        <v>695</v>
      </c>
      <c r="J61" s="35">
        <v>0</v>
      </c>
      <c r="K61" s="36"/>
      <c r="L61" s="45"/>
      <c r="M61" s="36"/>
      <c r="N61" s="36"/>
      <c r="O61" s="36"/>
      <c r="P61" s="36"/>
      <c r="Q61" s="36"/>
      <c r="R61" s="36"/>
      <c r="S61" s="36"/>
      <c r="T61" s="36"/>
    </row>
    <row r="62" spans="1:20" ht="15.75">
      <c r="A62" s="13">
        <v>43374</v>
      </c>
      <c r="B62" s="44">
        <v>31</v>
      </c>
      <c r="C62" s="35">
        <v>131.881</v>
      </c>
      <c r="D62" s="35">
        <v>277.16699999999997</v>
      </c>
      <c r="E62" s="41">
        <v>829.952</v>
      </c>
      <c r="F62" s="35">
        <v>1239</v>
      </c>
      <c r="G62" s="35">
        <v>75</v>
      </c>
      <c r="H62" s="43">
        <v>400</v>
      </c>
      <c r="I62" s="35">
        <v>695</v>
      </c>
      <c r="J62" s="35">
        <v>0</v>
      </c>
      <c r="K62" s="36"/>
      <c r="L62" s="45"/>
      <c r="M62" s="36"/>
      <c r="N62" s="36"/>
      <c r="O62" s="36"/>
      <c r="P62" s="36"/>
      <c r="Q62" s="36"/>
      <c r="R62" s="36"/>
      <c r="S62" s="36"/>
      <c r="T62" s="36"/>
    </row>
    <row r="63" spans="1:20" ht="15.75">
      <c r="A63" s="13">
        <v>43405</v>
      </c>
      <c r="B63" s="44">
        <v>30</v>
      </c>
      <c r="C63" s="35">
        <v>122.58</v>
      </c>
      <c r="D63" s="35">
        <v>297.94099999999997</v>
      </c>
      <c r="E63" s="41">
        <v>729.47900000000004</v>
      </c>
      <c r="F63" s="35">
        <v>1150</v>
      </c>
      <c r="G63" s="35">
        <v>100</v>
      </c>
      <c r="H63" s="43">
        <v>400</v>
      </c>
      <c r="I63" s="35">
        <v>695</v>
      </c>
      <c r="J63" s="35">
        <v>50</v>
      </c>
      <c r="K63" s="36"/>
      <c r="L63" s="45"/>
      <c r="M63" s="36"/>
      <c r="N63" s="36"/>
      <c r="O63" s="36"/>
      <c r="P63" s="36"/>
      <c r="Q63" s="36"/>
      <c r="R63" s="36"/>
      <c r="S63" s="36"/>
      <c r="T63" s="36"/>
    </row>
    <row r="64" spans="1:20" ht="15.75">
      <c r="A64" s="13">
        <v>43435</v>
      </c>
      <c r="B64" s="44">
        <v>31</v>
      </c>
      <c r="C64" s="35">
        <v>122.58</v>
      </c>
      <c r="D64" s="35">
        <v>297.94099999999997</v>
      </c>
      <c r="E64" s="41">
        <v>729.47900000000004</v>
      </c>
      <c r="F64" s="35">
        <v>1150</v>
      </c>
      <c r="G64" s="35">
        <v>100</v>
      </c>
      <c r="H64" s="43">
        <v>400</v>
      </c>
      <c r="I64" s="35">
        <v>695</v>
      </c>
      <c r="J64" s="35">
        <v>50</v>
      </c>
      <c r="K64" s="36"/>
      <c r="L64" s="45"/>
      <c r="M64" s="36"/>
      <c r="N64" s="36"/>
      <c r="O64" s="36"/>
      <c r="P64" s="36"/>
      <c r="Q64" s="36"/>
      <c r="R64" s="36"/>
      <c r="S64" s="36"/>
      <c r="T64" s="36"/>
    </row>
    <row r="65" spans="1:20" ht="15.75">
      <c r="A65" s="13">
        <v>43466</v>
      </c>
      <c r="B65" s="44">
        <v>31</v>
      </c>
      <c r="C65" s="35">
        <v>122.58</v>
      </c>
      <c r="D65" s="35">
        <v>297.94099999999997</v>
      </c>
      <c r="E65" s="41">
        <v>729.47900000000004</v>
      </c>
      <c r="F65" s="35">
        <v>1150</v>
      </c>
      <c r="G65" s="35">
        <v>100</v>
      </c>
      <c r="H65" s="43">
        <v>400</v>
      </c>
      <c r="I65" s="35">
        <v>695</v>
      </c>
      <c r="J65" s="35">
        <v>50</v>
      </c>
      <c r="K65" s="36"/>
      <c r="L65" s="36"/>
      <c r="M65" s="36"/>
      <c r="N65" s="36"/>
      <c r="O65" s="36"/>
      <c r="P65" s="36"/>
      <c r="Q65" s="36"/>
      <c r="R65" s="36"/>
      <c r="S65" s="36"/>
      <c r="T65" s="36"/>
    </row>
    <row r="66" spans="1:20" ht="15.75">
      <c r="A66" s="13">
        <v>43497</v>
      </c>
      <c r="B66" s="44">
        <v>28</v>
      </c>
      <c r="C66" s="35">
        <v>122.58</v>
      </c>
      <c r="D66" s="35">
        <v>297.94099999999997</v>
      </c>
      <c r="E66" s="41">
        <v>729.47900000000004</v>
      </c>
      <c r="F66" s="35">
        <v>1150</v>
      </c>
      <c r="G66" s="35">
        <v>100</v>
      </c>
      <c r="H66" s="43">
        <v>400</v>
      </c>
      <c r="I66" s="35">
        <v>695</v>
      </c>
      <c r="J66" s="35">
        <v>50</v>
      </c>
      <c r="K66" s="36"/>
      <c r="L66" s="36"/>
      <c r="M66" s="36"/>
      <c r="N66" s="36"/>
      <c r="O66" s="36"/>
      <c r="P66" s="36"/>
      <c r="Q66" s="36"/>
      <c r="R66" s="36"/>
      <c r="S66" s="36"/>
      <c r="T66" s="36"/>
    </row>
    <row r="67" spans="1:20" ht="15.75">
      <c r="A67" s="13">
        <v>43525</v>
      </c>
      <c r="B67" s="44">
        <v>31</v>
      </c>
      <c r="C67" s="35">
        <v>122.58</v>
      </c>
      <c r="D67" s="35">
        <v>297.94099999999997</v>
      </c>
      <c r="E67" s="41">
        <v>729.47900000000004</v>
      </c>
      <c r="F67" s="35">
        <v>1150</v>
      </c>
      <c r="G67" s="35">
        <v>100</v>
      </c>
      <c r="H67" s="43">
        <v>400</v>
      </c>
      <c r="I67" s="35">
        <v>695</v>
      </c>
      <c r="J67" s="35">
        <v>50</v>
      </c>
      <c r="K67" s="36"/>
      <c r="L67" s="36"/>
      <c r="M67" s="36"/>
      <c r="N67" s="36"/>
      <c r="O67" s="36"/>
      <c r="P67" s="36"/>
      <c r="Q67" s="36"/>
      <c r="R67" s="36"/>
      <c r="S67" s="36"/>
      <c r="T67" s="36"/>
    </row>
    <row r="68" spans="1:20" ht="15.75">
      <c r="A68" s="13">
        <v>43556</v>
      </c>
      <c r="B68" s="44">
        <v>30</v>
      </c>
      <c r="C68" s="35">
        <v>141.29300000000001</v>
      </c>
      <c r="D68" s="35">
        <v>267.99299999999999</v>
      </c>
      <c r="E68" s="41">
        <v>829.71400000000006</v>
      </c>
      <c r="F68" s="35">
        <v>1239</v>
      </c>
      <c r="G68" s="35">
        <v>100</v>
      </c>
      <c r="H68" s="43">
        <v>400</v>
      </c>
      <c r="I68" s="35">
        <v>695</v>
      </c>
      <c r="J68" s="35">
        <v>50</v>
      </c>
      <c r="K68" s="36"/>
      <c r="L68" s="36"/>
      <c r="M68" s="36"/>
      <c r="N68" s="36"/>
      <c r="O68" s="36"/>
      <c r="P68" s="36"/>
      <c r="Q68" s="36"/>
      <c r="R68" s="36"/>
      <c r="S68" s="36"/>
      <c r="T68" s="36"/>
    </row>
    <row r="69" spans="1:20" ht="15.75">
      <c r="A69" s="13">
        <v>43586</v>
      </c>
      <c r="B69" s="44">
        <v>31</v>
      </c>
      <c r="C69" s="35">
        <v>194.20500000000001</v>
      </c>
      <c r="D69" s="35">
        <v>267.46600000000001</v>
      </c>
      <c r="E69" s="41">
        <v>812.32899999999995</v>
      </c>
      <c r="F69" s="35">
        <v>1274</v>
      </c>
      <c r="G69" s="35">
        <v>75</v>
      </c>
      <c r="H69" s="43">
        <v>400</v>
      </c>
      <c r="I69" s="35">
        <v>695</v>
      </c>
      <c r="J69" s="35">
        <v>50</v>
      </c>
      <c r="K69" s="36"/>
      <c r="L69" s="36"/>
      <c r="M69" s="36"/>
      <c r="N69" s="36"/>
      <c r="O69" s="36"/>
      <c r="P69" s="36"/>
      <c r="Q69" s="36"/>
      <c r="R69" s="36"/>
      <c r="S69" s="36"/>
      <c r="T69" s="36"/>
    </row>
    <row r="70" spans="1:20" ht="15.75">
      <c r="A70" s="13">
        <v>43617</v>
      </c>
      <c r="B70" s="44">
        <v>30</v>
      </c>
      <c r="C70" s="35">
        <v>194.20500000000001</v>
      </c>
      <c r="D70" s="35">
        <v>267.46600000000001</v>
      </c>
      <c r="E70" s="41">
        <v>812.32899999999995</v>
      </c>
      <c r="F70" s="35">
        <v>1274</v>
      </c>
      <c r="G70" s="35">
        <v>50</v>
      </c>
      <c r="H70" s="43">
        <v>400</v>
      </c>
      <c r="I70" s="35">
        <v>695</v>
      </c>
      <c r="J70" s="35">
        <v>50</v>
      </c>
      <c r="K70" s="36"/>
      <c r="L70" s="36"/>
      <c r="M70" s="36"/>
      <c r="N70" s="36"/>
      <c r="O70" s="36"/>
      <c r="P70" s="36"/>
      <c r="Q70" s="36"/>
      <c r="R70" s="36"/>
      <c r="S70" s="36"/>
      <c r="T70" s="36"/>
    </row>
    <row r="71" spans="1:20" ht="15.75">
      <c r="A71" s="13">
        <v>43647</v>
      </c>
      <c r="B71" s="44">
        <v>31</v>
      </c>
      <c r="C71" s="35">
        <v>194.20500000000001</v>
      </c>
      <c r="D71" s="35">
        <v>267.46600000000001</v>
      </c>
      <c r="E71" s="41">
        <v>812.32899999999995</v>
      </c>
      <c r="F71" s="35">
        <v>1274</v>
      </c>
      <c r="G71" s="35">
        <v>50</v>
      </c>
      <c r="H71" s="43">
        <v>400</v>
      </c>
      <c r="I71" s="35">
        <v>695</v>
      </c>
      <c r="J71" s="35">
        <v>0</v>
      </c>
      <c r="K71" s="36"/>
      <c r="L71" s="36"/>
      <c r="M71" s="36"/>
      <c r="N71" s="36"/>
      <c r="O71" s="36"/>
      <c r="P71" s="36"/>
      <c r="Q71" s="36"/>
      <c r="R71" s="36"/>
      <c r="S71" s="36"/>
      <c r="T71" s="36"/>
    </row>
    <row r="72" spans="1:20" ht="15.75">
      <c r="A72" s="13">
        <v>43678</v>
      </c>
      <c r="B72" s="44">
        <v>31</v>
      </c>
      <c r="C72" s="35">
        <v>194.20500000000001</v>
      </c>
      <c r="D72" s="35">
        <v>267.46600000000001</v>
      </c>
      <c r="E72" s="41">
        <v>812.32899999999995</v>
      </c>
      <c r="F72" s="35">
        <v>1274</v>
      </c>
      <c r="G72" s="35">
        <v>50</v>
      </c>
      <c r="H72" s="43">
        <v>400</v>
      </c>
      <c r="I72" s="35">
        <v>695</v>
      </c>
      <c r="J72" s="35">
        <v>0</v>
      </c>
      <c r="K72" s="36"/>
      <c r="L72" s="36"/>
      <c r="M72" s="36"/>
      <c r="N72" s="36"/>
      <c r="O72" s="36"/>
      <c r="P72" s="36"/>
      <c r="Q72" s="36"/>
      <c r="R72" s="36"/>
      <c r="S72" s="36"/>
      <c r="T72" s="36"/>
    </row>
    <row r="73" spans="1:20" ht="15.75">
      <c r="A73" s="13">
        <v>43709</v>
      </c>
      <c r="B73" s="44">
        <v>30</v>
      </c>
      <c r="C73" s="35">
        <v>194.20500000000001</v>
      </c>
      <c r="D73" s="35">
        <v>267.46600000000001</v>
      </c>
      <c r="E73" s="41">
        <v>812.32899999999995</v>
      </c>
      <c r="F73" s="35">
        <v>1274</v>
      </c>
      <c r="G73" s="35">
        <v>50</v>
      </c>
      <c r="H73" s="43">
        <v>400</v>
      </c>
      <c r="I73" s="35">
        <v>695</v>
      </c>
      <c r="J73" s="35">
        <v>0</v>
      </c>
      <c r="K73" s="36"/>
      <c r="L73" s="36"/>
      <c r="M73" s="36"/>
      <c r="N73" s="36"/>
      <c r="O73" s="36"/>
      <c r="P73" s="36"/>
      <c r="Q73" s="36"/>
      <c r="R73" s="36"/>
      <c r="S73" s="36"/>
      <c r="T73" s="36"/>
    </row>
    <row r="74" spans="1:20" ht="15.75">
      <c r="A74" s="13">
        <v>43739</v>
      </c>
      <c r="B74" s="44">
        <v>31</v>
      </c>
      <c r="C74" s="35">
        <v>131.881</v>
      </c>
      <c r="D74" s="35">
        <v>277.16699999999997</v>
      </c>
      <c r="E74" s="41">
        <v>829.952</v>
      </c>
      <c r="F74" s="35">
        <v>1239</v>
      </c>
      <c r="G74" s="35">
        <v>75</v>
      </c>
      <c r="H74" s="43">
        <v>400</v>
      </c>
      <c r="I74" s="35">
        <v>695</v>
      </c>
      <c r="J74" s="35">
        <v>0</v>
      </c>
      <c r="K74" s="36"/>
      <c r="L74" s="36"/>
      <c r="M74" s="36"/>
      <c r="N74" s="36"/>
      <c r="O74" s="36"/>
      <c r="P74" s="36"/>
      <c r="Q74" s="36"/>
      <c r="R74" s="36"/>
      <c r="S74" s="36"/>
      <c r="T74" s="36"/>
    </row>
    <row r="75" spans="1:20" ht="15.75">
      <c r="A75" s="13">
        <v>43770</v>
      </c>
      <c r="B75" s="44">
        <v>30</v>
      </c>
      <c r="C75" s="35">
        <v>122.58</v>
      </c>
      <c r="D75" s="35">
        <v>297.94099999999997</v>
      </c>
      <c r="E75" s="41">
        <v>729.47900000000004</v>
      </c>
      <c r="F75" s="35">
        <v>1150</v>
      </c>
      <c r="G75" s="35">
        <v>100</v>
      </c>
      <c r="H75" s="43">
        <v>400</v>
      </c>
      <c r="I75" s="35">
        <v>695</v>
      </c>
      <c r="J75" s="35">
        <v>50</v>
      </c>
      <c r="K75" s="36"/>
      <c r="L75" s="36"/>
      <c r="M75" s="36"/>
      <c r="N75" s="36"/>
      <c r="O75" s="36"/>
      <c r="P75" s="36"/>
      <c r="Q75" s="36"/>
      <c r="R75" s="36"/>
      <c r="S75" s="36"/>
      <c r="T75" s="36"/>
    </row>
    <row r="76" spans="1:20" ht="15.75">
      <c r="A76" s="13">
        <v>43800</v>
      </c>
      <c r="B76" s="44">
        <v>31</v>
      </c>
      <c r="C76" s="35">
        <v>122.58</v>
      </c>
      <c r="D76" s="35">
        <v>297.94099999999997</v>
      </c>
      <c r="E76" s="41">
        <v>729.47900000000004</v>
      </c>
      <c r="F76" s="35">
        <v>1150</v>
      </c>
      <c r="G76" s="35">
        <v>100</v>
      </c>
      <c r="H76" s="43">
        <v>400</v>
      </c>
      <c r="I76" s="35">
        <v>695</v>
      </c>
      <c r="J76" s="35">
        <v>50</v>
      </c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1:20" ht="15.75">
      <c r="A77" s="13">
        <v>43831</v>
      </c>
      <c r="B77" s="44">
        <v>31</v>
      </c>
      <c r="C77" s="35">
        <v>122.58</v>
      </c>
      <c r="D77" s="35">
        <v>297.94099999999997</v>
      </c>
      <c r="E77" s="41">
        <v>729.47900000000004</v>
      </c>
      <c r="F77" s="35">
        <v>1150</v>
      </c>
      <c r="G77" s="35">
        <v>100</v>
      </c>
      <c r="H77" s="43">
        <v>400</v>
      </c>
      <c r="I77" s="35">
        <v>695</v>
      </c>
      <c r="J77" s="35">
        <v>50</v>
      </c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20" ht="15.75">
      <c r="A78" s="13">
        <v>43862</v>
      </c>
      <c r="B78" s="44">
        <v>29</v>
      </c>
      <c r="C78" s="35">
        <v>122.58</v>
      </c>
      <c r="D78" s="35">
        <v>297.94099999999997</v>
      </c>
      <c r="E78" s="41">
        <v>729.47900000000004</v>
      </c>
      <c r="F78" s="35">
        <v>1150</v>
      </c>
      <c r="G78" s="35">
        <v>100</v>
      </c>
      <c r="H78" s="43">
        <v>400</v>
      </c>
      <c r="I78" s="35">
        <v>695</v>
      </c>
      <c r="J78" s="35">
        <v>50</v>
      </c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ht="15.75">
      <c r="A79" s="13">
        <v>43891</v>
      </c>
      <c r="B79" s="44">
        <v>31</v>
      </c>
      <c r="C79" s="35">
        <v>122.58</v>
      </c>
      <c r="D79" s="35">
        <v>297.94099999999997</v>
      </c>
      <c r="E79" s="41">
        <v>729.47900000000004</v>
      </c>
      <c r="F79" s="35">
        <v>1150</v>
      </c>
      <c r="G79" s="35">
        <v>100</v>
      </c>
      <c r="H79" s="43">
        <v>400</v>
      </c>
      <c r="I79" s="35">
        <v>695</v>
      </c>
      <c r="J79" s="35">
        <v>50</v>
      </c>
      <c r="K79" s="36"/>
      <c r="L79" s="36"/>
      <c r="M79" s="36"/>
      <c r="N79" s="36"/>
      <c r="O79" s="36"/>
      <c r="P79" s="36"/>
      <c r="Q79" s="36"/>
      <c r="R79" s="36"/>
      <c r="S79" s="36"/>
      <c r="T79" s="36"/>
    </row>
    <row r="80" spans="1:20" ht="15.75">
      <c r="A80" s="13">
        <v>43922</v>
      </c>
      <c r="B80" s="44">
        <v>30</v>
      </c>
      <c r="C80" s="35">
        <v>141.29300000000001</v>
      </c>
      <c r="D80" s="35">
        <v>267.99299999999999</v>
      </c>
      <c r="E80" s="41">
        <v>829.71400000000006</v>
      </c>
      <c r="F80" s="35">
        <v>1239</v>
      </c>
      <c r="G80" s="35">
        <v>100</v>
      </c>
      <c r="H80" s="43">
        <v>400</v>
      </c>
      <c r="I80" s="35">
        <v>695</v>
      </c>
      <c r="J80" s="35">
        <v>50</v>
      </c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1:20" ht="15.75">
      <c r="A81" s="13">
        <v>43952</v>
      </c>
      <c r="B81" s="44">
        <v>31</v>
      </c>
      <c r="C81" s="35">
        <v>194.20500000000001</v>
      </c>
      <c r="D81" s="35">
        <v>267.46600000000001</v>
      </c>
      <c r="E81" s="41">
        <v>812.32899999999995</v>
      </c>
      <c r="F81" s="35">
        <v>1274</v>
      </c>
      <c r="G81" s="35">
        <v>75</v>
      </c>
      <c r="H81" s="43">
        <v>600</v>
      </c>
      <c r="I81" s="35">
        <v>695</v>
      </c>
      <c r="J81" s="35">
        <v>50</v>
      </c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ht="15.75">
      <c r="A82" s="13">
        <v>43983</v>
      </c>
      <c r="B82" s="44">
        <v>30</v>
      </c>
      <c r="C82" s="35">
        <v>194.20500000000001</v>
      </c>
      <c r="D82" s="35">
        <v>267.46600000000001</v>
      </c>
      <c r="E82" s="41">
        <v>812.32899999999995</v>
      </c>
      <c r="F82" s="35">
        <v>1274</v>
      </c>
      <c r="G82" s="35">
        <v>50</v>
      </c>
      <c r="H82" s="43">
        <v>600</v>
      </c>
      <c r="I82" s="35">
        <v>695</v>
      </c>
      <c r="J82" s="35">
        <v>50</v>
      </c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ht="15.75">
      <c r="A83" s="13">
        <v>44013</v>
      </c>
      <c r="B83" s="44">
        <v>31</v>
      </c>
      <c r="C83" s="35">
        <v>194.20500000000001</v>
      </c>
      <c r="D83" s="35">
        <v>267.46600000000001</v>
      </c>
      <c r="E83" s="41">
        <v>812.32899999999995</v>
      </c>
      <c r="F83" s="35">
        <v>1274</v>
      </c>
      <c r="G83" s="35">
        <v>50</v>
      </c>
      <c r="H83" s="43">
        <v>600</v>
      </c>
      <c r="I83" s="35">
        <v>695</v>
      </c>
      <c r="J83" s="35">
        <v>0</v>
      </c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:20" ht="15.75">
      <c r="A84" s="13">
        <v>44044</v>
      </c>
      <c r="B84" s="44">
        <v>31</v>
      </c>
      <c r="C84" s="35">
        <v>194.20500000000001</v>
      </c>
      <c r="D84" s="35">
        <v>267.46600000000001</v>
      </c>
      <c r="E84" s="41">
        <v>812.32899999999995</v>
      </c>
      <c r="F84" s="35">
        <v>1274</v>
      </c>
      <c r="G84" s="35">
        <v>50</v>
      </c>
      <c r="H84" s="43">
        <v>600</v>
      </c>
      <c r="I84" s="35">
        <v>695</v>
      </c>
      <c r="J84" s="35">
        <v>0</v>
      </c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ht="15.75">
      <c r="A85" s="13">
        <v>44075</v>
      </c>
      <c r="B85" s="44">
        <v>30</v>
      </c>
      <c r="C85" s="35">
        <v>194.20500000000001</v>
      </c>
      <c r="D85" s="35">
        <v>267.46600000000001</v>
      </c>
      <c r="E85" s="41">
        <v>812.32899999999995</v>
      </c>
      <c r="F85" s="35">
        <v>1274</v>
      </c>
      <c r="G85" s="35">
        <v>50</v>
      </c>
      <c r="H85" s="43">
        <v>600</v>
      </c>
      <c r="I85" s="35">
        <v>695</v>
      </c>
      <c r="J85" s="35">
        <v>0</v>
      </c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0" ht="15.75">
      <c r="A86" s="13">
        <v>44105</v>
      </c>
      <c r="B86" s="44">
        <v>31</v>
      </c>
      <c r="C86" s="35">
        <v>131.881</v>
      </c>
      <c r="D86" s="35">
        <v>277.16699999999997</v>
      </c>
      <c r="E86" s="41">
        <v>829.952</v>
      </c>
      <c r="F86" s="35">
        <v>1239</v>
      </c>
      <c r="G86" s="35">
        <v>75</v>
      </c>
      <c r="H86" s="43">
        <v>600</v>
      </c>
      <c r="I86" s="35">
        <v>695</v>
      </c>
      <c r="J86" s="35">
        <v>0</v>
      </c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:20" ht="15.75">
      <c r="A87" s="13">
        <v>44136</v>
      </c>
      <c r="B87" s="44">
        <v>30</v>
      </c>
      <c r="C87" s="35">
        <v>122.58</v>
      </c>
      <c r="D87" s="35">
        <v>297.94099999999997</v>
      </c>
      <c r="E87" s="41">
        <v>729.47900000000004</v>
      </c>
      <c r="F87" s="35">
        <v>1150</v>
      </c>
      <c r="G87" s="35">
        <v>100</v>
      </c>
      <c r="H87" s="43">
        <v>600</v>
      </c>
      <c r="I87" s="35">
        <v>695</v>
      </c>
      <c r="J87" s="35">
        <v>50</v>
      </c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ht="15.75">
      <c r="A88" s="13">
        <v>44166</v>
      </c>
      <c r="B88" s="44">
        <v>31</v>
      </c>
      <c r="C88" s="35">
        <v>122.58</v>
      </c>
      <c r="D88" s="35">
        <v>297.94099999999997</v>
      </c>
      <c r="E88" s="41">
        <v>729.47900000000004</v>
      </c>
      <c r="F88" s="35">
        <v>1150</v>
      </c>
      <c r="G88" s="35">
        <v>100</v>
      </c>
      <c r="H88" s="43">
        <v>600</v>
      </c>
      <c r="I88" s="35">
        <v>695</v>
      </c>
      <c r="J88" s="35">
        <v>50</v>
      </c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1:20" ht="15.75">
      <c r="A89" s="13">
        <v>44197</v>
      </c>
      <c r="B89" s="44">
        <v>31</v>
      </c>
      <c r="C89" s="35">
        <v>122.58</v>
      </c>
      <c r="D89" s="35">
        <v>297.94099999999997</v>
      </c>
      <c r="E89" s="41">
        <v>729.47900000000004</v>
      </c>
      <c r="F89" s="35">
        <v>1150</v>
      </c>
      <c r="G89" s="35">
        <v>100</v>
      </c>
      <c r="H89" s="43">
        <v>600</v>
      </c>
      <c r="I89" s="35">
        <v>695</v>
      </c>
      <c r="J89" s="35">
        <v>50</v>
      </c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1:20" ht="15.75">
      <c r="A90" s="13">
        <v>44228</v>
      </c>
      <c r="B90" s="44">
        <v>28</v>
      </c>
      <c r="C90" s="35">
        <v>122.58</v>
      </c>
      <c r="D90" s="35">
        <v>297.94099999999997</v>
      </c>
      <c r="E90" s="41">
        <v>729.47900000000004</v>
      </c>
      <c r="F90" s="35">
        <v>1150</v>
      </c>
      <c r="G90" s="35">
        <v>100</v>
      </c>
      <c r="H90" s="43">
        <v>600</v>
      </c>
      <c r="I90" s="35">
        <v>695</v>
      </c>
      <c r="J90" s="35">
        <v>50</v>
      </c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1:20" ht="15.75">
      <c r="A91" s="13">
        <v>44256</v>
      </c>
      <c r="B91" s="44">
        <v>31</v>
      </c>
      <c r="C91" s="35">
        <v>122.58</v>
      </c>
      <c r="D91" s="35">
        <v>297.94099999999997</v>
      </c>
      <c r="E91" s="41">
        <v>729.47900000000004</v>
      </c>
      <c r="F91" s="35">
        <v>1150</v>
      </c>
      <c r="G91" s="35">
        <v>100</v>
      </c>
      <c r="H91" s="43">
        <v>600</v>
      </c>
      <c r="I91" s="35">
        <v>695</v>
      </c>
      <c r="J91" s="35">
        <v>50</v>
      </c>
      <c r="K91" s="36"/>
      <c r="L91" s="36"/>
      <c r="M91" s="36"/>
      <c r="N91" s="36"/>
      <c r="O91" s="36"/>
      <c r="P91" s="36"/>
      <c r="Q91" s="36"/>
      <c r="R91" s="36"/>
      <c r="S91" s="36"/>
      <c r="T91" s="36"/>
    </row>
    <row r="92" spans="1:20" ht="15.75">
      <c r="A92" s="13">
        <v>44287</v>
      </c>
      <c r="B92" s="44">
        <v>30</v>
      </c>
      <c r="C92" s="35">
        <v>141.29300000000001</v>
      </c>
      <c r="D92" s="35">
        <v>267.99299999999999</v>
      </c>
      <c r="E92" s="41">
        <v>829.71400000000006</v>
      </c>
      <c r="F92" s="35">
        <v>1239</v>
      </c>
      <c r="G92" s="35">
        <v>100</v>
      </c>
      <c r="H92" s="43">
        <v>600</v>
      </c>
      <c r="I92" s="35">
        <v>695</v>
      </c>
      <c r="J92" s="35">
        <v>50</v>
      </c>
      <c r="K92" s="36"/>
      <c r="L92" s="36"/>
      <c r="M92" s="36"/>
      <c r="N92" s="36"/>
      <c r="O92" s="36"/>
      <c r="P92" s="36"/>
      <c r="Q92" s="36"/>
      <c r="R92" s="36"/>
      <c r="S92" s="36"/>
      <c r="T92" s="36"/>
    </row>
    <row r="93" spans="1:20" ht="15.75">
      <c r="A93" s="13">
        <v>44317</v>
      </c>
      <c r="B93" s="44">
        <v>31</v>
      </c>
      <c r="C93" s="35">
        <v>194.20500000000001</v>
      </c>
      <c r="D93" s="35">
        <v>267.46600000000001</v>
      </c>
      <c r="E93" s="41">
        <v>812.32899999999995</v>
      </c>
      <c r="F93" s="35">
        <v>1274</v>
      </c>
      <c r="G93" s="35">
        <v>75</v>
      </c>
      <c r="H93" s="43">
        <v>600</v>
      </c>
      <c r="I93" s="35">
        <v>695</v>
      </c>
      <c r="J93" s="35">
        <v>50</v>
      </c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1:20" ht="15.75">
      <c r="A94" s="13">
        <v>44348</v>
      </c>
      <c r="B94" s="44">
        <v>30</v>
      </c>
      <c r="C94" s="35">
        <v>194.20500000000001</v>
      </c>
      <c r="D94" s="35">
        <v>267.46600000000001</v>
      </c>
      <c r="E94" s="41">
        <v>812.32899999999995</v>
      </c>
      <c r="F94" s="35">
        <v>1274</v>
      </c>
      <c r="G94" s="35">
        <v>50</v>
      </c>
      <c r="H94" s="43">
        <v>600</v>
      </c>
      <c r="I94" s="35">
        <v>695</v>
      </c>
      <c r="J94" s="35">
        <v>50</v>
      </c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1:20" ht="15.75">
      <c r="A95" s="13">
        <v>44378</v>
      </c>
      <c r="B95" s="44">
        <v>31</v>
      </c>
      <c r="C95" s="35">
        <v>194.20500000000001</v>
      </c>
      <c r="D95" s="35">
        <v>267.46600000000001</v>
      </c>
      <c r="E95" s="41">
        <v>812.32899999999995</v>
      </c>
      <c r="F95" s="35">
        <v>1274</v>
      </c>
      <c r="G95" s="35">
        <v>50</v>
      </c>
      <c r="H95" s="43">
        <v>600</v>
      </c>
      <c r="I95" s="35">
        <v>695</v>
      </c>
      <c r="J95" s="35">
        <v>0</v>
      </c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6" spans="1:20" ht="15.75">
      <c r="A96" s="13">
        <v>44409</v>
      </c>
      <c r="B96" s="44">
        <v>31</v>
      </c>
      <c r="C96" s="35">
        <v>194.20500000000001</v>
      </c>
      <c r="D96" s="35">
        <v>267.46600000000001</v>
      </c>
      <c r="E96" s="41">
        <v>812.32899999999995</v>
      </c>
      <c r="F96" s="35">
        <v>1274</v>
      </c>
      <c r="G96" s="35">
        <v>50</v>
      </c>
      <c r="H96" s="43">
        <v>600</v>
      </c>
      <c r="I96" s="35">
        <v>695</v>
      </c>
      <c r="J96" s="35">
        <v>0</v>
      </c>
      <c r="K96" s="36"/>
      <c r="L96" s="36"/>
      <c r="M96" s="36"/>
      <c r="N96" s="36"/>
      <c r="O96" s="36"/>
      <c r="P96" s="36"/>
      <c r="Q96" s="36"/>
      <c r="R96" s="36"/>
      <c r="S96" s="36"/>
      <c r="T96" s="36"/>
    </row>
    <row r="97" spans="1:20" ht="15.75">
      <c r="A97" s="13">
        <v>44440</v>
      </c>
      <c r="B97" s="44">
        <v>30</v>
      </c>
      <c r="C97" s="35">
        <v>194.20500000000001</v>
      </c>
      <c r="D97" s="35">
        <v>267.46600000000001</v>
      </c>
      <c r="E97" s="41">
        <v>812.32899999999995</v>
      </c>
      <c r="F97" s="35">
        <v>1274</v>
      </c>
      <c r="G97" s="35">
        <v>50</v>
      </c>
      <c r="H97" s="43">
        <v>600</v>
      </c>
      <c r="I97" s="35">
        <v>695</v>
      </c>
      <c r="J97" s="35">
        <v>0</v>
      </c>
      <c r="K97" s="36"/>
      <c r="L97" s="36"/>
      <c r="M97" s="36"/>
      <c r="N97" s="36"/>
      <c r="O97" s="36"/>
      <c r="P97" s="36"/>
      <c r="Q97" s="36"/>
      <c r="R97" s="36"/>
      <c r="S97" s="36"/>
      <c r="T97" s="36"/>
    </row>
    <row r="98" spans="1:20" ht="15.75">
      <c r="A98" s="13">
        <v>44470</v>
      </c>
      <c r="B98" s="44">
        <v>31</v>
      </c>
      <c r="C98" s="35">
        <v>131.881</v>
      </c>
      <c r="D98" s="35">
        <v>277.16699999999997</v>
      </c>
      <c r="E98" s="41">
        <v>829.952</v>
      </c>
      <c r="F98" s="35">
        <v>1239</v>
      </c>
      <c r="G98" s="35">
        <v>75</v>
      </c>
      <c r="H98" s="43">
        <v>600</v>
      </c>
      <c r="I98" s="35">
        <v>695</v>
      </c>
      <c r="J98" s="35">
        <v>0</v>
      </c>
      <c r="K98" s="36"/>
      <c r="L98" s="36"/>
      <c r="M98" s="36"/>
      <c r="N98" s="36"/>
      <c r="O98" s="36"/>
      <c r="P98" s="36"/>
      <c r="Q98" s="36"/>
      <c r="R98" s="36"/>
      <c r="S98" s="36"/>
      <c r="T98" s="36"/>
    </row>
    <row r="99" spans="1:20" ht="15.75">
      <c r="A99" s="13">
        <v>44501</v>
      </c>
      <c r="B99" s="44">
        <v>30</v>
      </c>
      <c r="C99" s="35">
        <v>122.58</v>
      </c>
      <c r="D99" s="35">
        <v>297.94099999999997</v>
      </c>
      <c r="E99" s="41">
        <v>729.47900000000004</v>
      </c>
      <c r="F99" s="35">
        <v>1150</v>
      </c>
      <c r="G99" s="35">
        <v>100</v>
      </c>
      <c r="H99" s="43">
        <v>600</v>
      </c>
      <c r="I99" s="35">
        <v>695</v>
      </c>
      <c r="J99" s="35">
        <v>50</v>
      </c>
      <c r="K99" s="36"/>
      <c r="L99" s="36"/>
      <c r="M99" s="36"/>
      <c r="N99" s="36"/>
      <c r="O99" s="36"/>
      <c r="P99" s="36"/>
      <c r="Q99" s="36"/>
      <c r="R99" s="36"/>
      <c r="S99" s="36"/>
      <c r="T99" s="36"/>
    </row>
    <row r="100" spans="1:20" ht="15.75">
      <c r="A100" s="13">
        <v>44531</v>
      </c>
      <c r="B100" s="44">
        <v>31</v>
      </c>
      <c r="C100" s="35">
        <v>122.58</v>
      </c>
      <c r="D100" s="35">
        <v>297.94099999999997</v>
      </c>
      <c r="E100" s="41">
        <v>729.47900000000004</v>
      </c>
      <c r="F100" s="35">
        <v>1150</v>
      </c>
      <c r="G100" s="35">
        <v>100</v>
      </c>
      <c r="H100" s="43">
        <v>600</v>
      </c>
      <c r="I100" s="35">
        <v>695</v>
      </c>
      <c r="J100" s="35">
        <v>50</v>
      </c>
      <c r="K100" s="36"/>
      <c r="L100" s="36"/>
      <c r="M100" s="36"/>
      <c r="N100" s="36"/>
      <c r="O100" s="36"/>
      <c r="P100" s="36"/>
      <c r="Q100" s="36"/>
      <c r="R100" s="36"/>
      <c r="S100" s="36"/>
      <c r="T100" s="36"/>
    </row>
    <row r="101" spans="1:20" ht="15.75">
      <c r="A101" s="13">
        <v>44562</v>
      </c>
      <c r="B101" s="44">
        <v>31</v>
      </c>
      <c r="C101" s="35">
        <v>122.58</v>
      </c>
      <c r="D101" s="35">
        <v>297.94099999999997</v>
      </c>
      <c r="E101" s="41">
        <v>729.47900000000004</v>
      </c>
      <c r="F101" s="35">
        <v>1150</v>
      </c>
      <c r="G101" s="35">
        <v>100</v>
      </c>
      <c r="H101" s="43">
        <v>600</v>
      </c>
      <c r="I101" s="35">
        <v>695</v>
      </c>
      <c r="J101" s="35">
        <v>50</v>
      </c>
      <c r="K101" s="36"/>
      <c r="L101" s="36"/>
      <c r="M101" s="36"/>
      <c r="N101" s="36"/>
      <c r="O101" s="36"/>
      <c r="P101" s="36"/>
      <c r="Q101" s="36"/>
      <c r="R101" s="36"/>
      <c r="S101" s="36"/>
      <c r="T101" s="36"/>
    </row>
    <row r="102" spans="1:20" ht="15.75">
      <c r="A102" s="13">
        <v>44593</v>
      </c>
      <c r="B102" s="44">
        <v>28</v>
      </c>
      <c r="C102" s="35">
        <v>122.58</v>
      </c>
      <c r="D102" s="35">
        <v>297.94099999999997</v>
      </c>
      <c r="E102" s="41">
        <v>729.47900000000004</v>
      </c>
      <c r="F102" s="35">
        <v>1150</v>
      </c>
      <c r="G102" s="35">
        <v>100</v>
      </c>
      <c r="H102" s="43">
        <v>600</v>
      </c>
      <c r="I102" s="35">
        <v>695</v>
      </c>
      <c r="J102" s="35">
        <v>50</v>
      </c>
      <c r="K102" s="36"/>
      <c r="L102" s="36"/>
      <c r="M102" s="36"/>
      <c r="N102" s="36"/>
      <c r="O102" s="36"/>
      <c r="P102" s="36"/>
      <c r="Q102" s="36"/>
      <c r="R102" s="36"/>
      <c r="S102" s="36"/>
      <c r="T102" s="36"/>
    </row>
    <row r="103" spans="1:20" ht="15.75">
      <c r="A103" s="13">
        <v>44621</v>
      </c>
      <c r="B103" s="44">
        <v>31</v>
      </c>
      <c r="C103" s="35">
        <v>122.58</v>
      </c>
      <c r="D103" s="35">
        <v>297.94099999999997</v>
      </c>
      <c r="E103" s="41">
        <v>729.47900000000004</v>
      </c>
      <c r="F103" s="35">
        <v>1150</v>
      </c>
      <c r="G103" s="35">
        <v>100</v>
      </c>
      <c r="H103" s="43">
        <v>600</v>
      </c>
      <c r="I103" s="35">
        <v>695</v>
      </c>
      <c r="J103" s="35">
        <v>50</v>
      </c>
      <c r="K103" s="36"/>
      <c r="L103" s="36"/>
      <c r="M103" s="36"/>
      <c r="N103" s="36"/>
      <c r="O103" s="36"/>
      <c r="P103" s="36"/>
      <c r="Q103" s="36"/>
      <c r="R103" s="36"/>
      <c r="S103" s="36"/>
      <c r="T103" s="36"/>
    </row>
    <row r="104" spans="1:20" ht="15.75">
      <c r="A104" s="13">
        <v>44652</v>
      </c>
      <c r="B104" s="44">
        <v>30</v>
      </c>
      <c r="C104" s="35">
        <v>141.29300000000001</v>
      </c>
      <c r="D104" s="35">
        <v>267.99299999999999</v>
      </c>
      <c r="E104" s="41">
        <v>829.71400000000006</v>
      </c>
      <c r="F104" s="35">
        <v>1239</v>
      </c>
      <c r="G104" s="35">
        <v>100</v>
      </c>
      <c r="H104" s="43">
        <v>600</v>
      </c>
      <c r="I104" s="35">
        <v>695</v>
      </c>
      <c r="J104" s="35">
        <v>50</v>
      </c>
      <c r="K104" s="36"/>
      <c r="L104" s="36"/>
      <c r="M104" s="36"/>
      <c r="N104" s="36"/>
      <c r="O104" s="36"/>
      <c r="P104" s="36"/>
      <c r="Q104" s="36"/>
      <c r="R104" s="36"/>
      <c r="S104" s="36"/>
      <c r="T104" s="36"/>
    </row>
    <row r="105" spans="1:20" ht="15.75">
      <c r="A105" s="13">
        <v>44682</v>
      </c>
      <c r="B105" s="44">
        <v>31</v>
      </c>
      <c r="C105" s="35">
        <v>194.20500000000001</v>
      </c>
      <c r="D105" s="35">
        <v>267.46600000000001</v>
      </c>
      <c r="E105" s="41">
        <v>812.32899999999995</v>
      </c>
      <c r="F105" s="35">
        <v>1274</v>
      </c>
      <c r="G105" s="35">
        <v>75</v>
      </c>
      <c r="H105" s="43">
        <v>600</v>
      </c>
      <c r="I105" s="35">
        <v>695</v>
      </c>
      <c r="J105" s="35">
        <v>50</v>
      </c>
      <c r="K105" s="36"/>
      <c r="L105" s="36"/>
      <c r="M105" s="36"/>
      <c r="N105" s="36"/>
      <c r="O105" s="36"/>
      <c r="P105" s="36"/>
      <c r="Q105" s="36"/>
      <c r="R105" s="36"/>
      <c r="S105" s="36"/>
      <c r="T105" s="36"/>
    </row>
    <row r="106" spans="1:20" ht="15.75">
      <c r="A106" s="13">
        <v>44713</v>
      </c>
      <c r="B106" s="44">
        <v>30</v>
      </c>
      <c r="C106" s="35">
        <v>194.20500000000001</v>
      </c>
      <c r="D106" s="35">
        <v>267.46600000000001</v>
      </c>
      <c r="E106" s="41">
        <v>812.32899999999995</v>
      </c>
      <c r="F106" s="35">
        <v>1274</v>
      </c>
      <c r="G106" s="35">
        <v>50</v>
      </c>
      <c r="H106" s="43">
        <v>600</v>
      </c>
      <c r="I106" s="35">
        <v>695</v>
      </c>
      <c r="J106" s="35">
        <v>50</v>
      </c>
      <c r="K106" s="36"/>
      <c r="L106" s="36"/>
      <c r="M106" s="36"/>
      <c r="N106" s="36"/>
      <c r="O106" s="36"/>
      <c r="P106" s="36"/>
      <c r="Q106" s="36"/>
      <c r="R106" s="36"/>
      <c r="S106" s="36"/>
      <c r="T106" s="36"/>
    </row>
    <row r="107" spans="1:20" ht="15.75">
      <c r="A107" s="13">
        <v>44743</v>
      </c>
      <c r="B107" s="44">
        <v>31</v>
      </c>
      <c r="C107" s="35">
        <v>194.20500000000001</v>
      </c>
      <c r="D107" s="35">
        <v>267.46600000000001</v>
      </c>
      <c r="E107" s="41">
        <v>812.32899999999995</v>
      </c>
      <c r="F107" s="35">
        <v>1274</v>
      </c>
      <c r="G107" s="35">
        <v>50</v>
      </c>
      <c r="H107" s="43">
        <v>600</v>
      </c>
      <c r="I107" s="35">
        <v>695</v>
      </c>
      <c r="J107" s="35">
        <v>0</v>
      </c>
      <c r="K107" s="36"/>
      <c r="L107" s="36"/>
      <c r="M107" s="36"/>
      <c r="N107" s="36"/>
      <c r="O107" s="36"/>
      <c r="P107" s="36"/>
      <c r="Q107" s="36"/>
      <c r="R107" s="36"/>
      <c r="S107" s="36"/>
      <c r="T107" s="36"/>
    </row>
    <row r="108" spans="1:20" ht="15.75">
      <c r="A108" s="13">
        <v>44774</v>
      </c>
      <c r="B108" s="44">
        <v>31</v>
      </c>
      <c r="C108" s="35">
        <v>194.20500000000001</v>
      </c>
      <c r="D108" s="35">
        <v>267.46600000000001</v>
      </c>
      <c r="E108" s="41">
        <v>812.32899999999995</v>
      </c>
      <c r="F108" s="35">
        <v>1274</v>
      </c>
      <c r="G108" s="35">
        <v>50</v>
      </c>
      <c r="H108" s="43">
        <v>600</v>
      </c>
      <c r="I108" s="35">
        <v>695</v>
      </c>
      <c r="J108" s="35">
        <v>0</v>
      </c>
      <c r="K108" s="36"/>
      <c r="L108" s="36"/>
      <c r="M108" s="36"/>
      <c r="N108" s="36"/>
      <c r="O108" s="36"/>
      <c r="P108" s="36"/>
      <c r="Q108" s="36"/>
      <c r="R108" s="36"/>
      <c r="S108" s="36"/>
      <c r="T108" s="36"/>
    </row>
    <row r="109" spans="1:20" ht="15.75">
      <c r="A109" s="13">
        <v>44805</v>
      </c>
      <c r="B109" s="44">
        <v>30</v>
      </c>
      <c r="C109" s="35">
        <v>194.20500000000001</v>
      </c>
      <c r="D109" s="35">
        <v>267.46600000000001</v>
      </c>
      <c r="E109" s="41">
        <v>812.32899999999995</v>
      </c>
      <c r="F109" s="35">
        <v>1274</v>
      </c>
      <c r="G109" s="35">
        <v>50</v>
      </c>
      <c r="H109" s="43">
        <v>600</v>
      </c>
      <c r="I109" s="35">
        <v>695</v>
      </c>
      <c r="J109" s="35">
        <v>0</v>
      </c>
      <c r="K109" s="36"/>
      <c r="L109" s="36"/>
      <c r="M109" s="36"/>
      <c r="N109" s="36"/>
      <c r="O109" s="36"/>
      <c r="P109" s="36"/>
      <c r="Q109" s="36"/>
      <c r="R109" s="36"/>
      <c r="S109" s="36"/>
      <c r="T109" s="36"/>
    </row>
    <row r="110" spans="1:20" ht="15.75">
      <c r="A110" s="13">
        <v>44835</v>
      </c>
      <c r="B110" s="44">
        <v>31</v>
      </c>
      <c r="C110" s="35">
        <v>131.881</v>
      </c>
      <c r="D110" s="35">
        <v>277.16699999999997</v>
      </c>
      <c r="E110" s="41">
        <v>829.952</v>
      </c>
      <c r="F110" s="35">
        <v>1239</v>
      </c>
      <c r="G110" s="35">
        <v>75</v>
      </c>
      <c r="H110" s="43">
        <v>600</v>
      </c>
      <c r="I110" s="35">
        <v>695</v>
      </c>
      <c r="J110" s="35">
        <v>0</v>
      </c>
      <c r="K110" s="36"/>
      <c r="L110" s="36"/>
      <c r="M110" s="36"/>
      <c r="N110" s="36"/>
      <c r="O110" s="36"/>
      <c r="P110" s="36"/>
      <c r="Q110" s="36"/>
      <c r="R110" s="36"/>
      <c r="S110" s="36"/>
      <c r="T110" s="36"/>
    </row>
    <row r="111" spans="1:20" ht="15.75">
      <c r="A111" s="13">
        <v>44866</v>
      </c>
      <c r="B111" s="44">
        <v>30</v>
      </c>
      <c r="C111" s="35">
        <v>122.58</v>
      </c>
      <c r="D111" s="35">
        <v>297.94099999999997</v>
      </c>
      <c r="E111" s="41">
        <v>729.47900000000004</v>
      </c>
      <c r="F111" s="35">
        <v>1150</v>
      </c>
      <c r="G111" s="35">
        <v>100</v>
      </c>
      <c r="H111" s="43">
        <v>600</v>
      </c>
      <c r="I111" s="35">
        <v>695</v>
      </c>
      <c r="J111" s="35">
        <v>50</v>
      </c>
      <c r="K111" s="36"/>
      <c r="L111" s="36"/>
      <c r="M111" s="36"/>
      <c r="N111" s="36"/>
      <c r="O111" s="36"/>
      <c r="P111" s="36"/>
      <c r="Q111" s="36"/>
      <c r="R111" s="36"/>
      <c r="S111" s="36"/>
      <c r="T111" s="36"/>
    </row>
    <row r="112" spans="1:20" ht="15.75">
      <c r="A112" s="13">
        <v>44896</v>
      </c>
      <c r="B112" s="44">
        <v>31</v>
      </c>
      <c r="C112" s="35">
        <v>122.58</v>
      </c>
      <c r="D112" s="35">
        <v>297.94099999999997</v>
      </c>
      <c r="E112" s="41">
        <v>729.47900000000004</v>
      </c>
      <c r="F112" s="35">
        <v>1150</v>
      </c>
      <c r="G112" s="35">
        <v>100</v>
      </c>
      <c r="H112" s="43">
        <v>600</v>
      </c>
      <c r="I112" s="35">
        <v>695</v>
      </c>
      <c r="J112" s="35">
        <v>50</v>
      </c>
      <c r="K112" s="36"/>
      <c r="L112" s="36"/>
      <c r="M112" s="36"/>
      <c r="N112" s="36"/>
      <c r="O112" s="36"/>
      <c r="P112" s="36"/>
      <c r="Q112" s="36"/>
      <c r="R112" s="36"/>
      <c r="S112" s="36"/>
      <c r="T112" s="36"/>
    </row>
    <row r="113" spans="1:20" ht="15.75">
      <c r="A113" s="13">
        <v>44927</v>
      </c>
      <c r="B113" s="44">
        <v>31</v>
      </c>
      <c r="C113" s="35">
        <v>122.58</v>
      </c>
      <c r="D113" s="35">
        <v>297.94099999999997</v>
      </c>
      <c r="E113" s="41">
        <v>729.47900000000004</v>
      </c>
      <c r="F113" s="35">
        <v>1150</v>
      </c>
      <c r="G113" s="35">
        <v>100</v>
      </c>
      <c r="H113" s="43">
        <v>600</v>
      </c>
      <c r="I113" s="35">
        <v>695</v>
      </c>
      <c r="J113" s="35">
        <v>50</v>
      </c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ht="15.75">
      <c r="A114" s="13">
        <v>44958</v>
      </c>
      <c r="B114" s="44">
        <v>28</v>
      </c>
      <c r="C114" s="35">
        <v>122.58</v>
      </c>
      <c r="D114" s="35">
        <v>297.94099999999997</v>
      </c>
      <c r="E114" s="41">
        <v>729.47900000000004</v>
      </c>
      <c r="F114" s="35">
        <v>1150</v>
      </c>
      <c r="G114" s="35">
        <v>100</v>
      </c>
      <c r="H114" s="43">
        <v>600</v>
      </c>
      <c r="I114" s="35">
        <v>695</v>
      </c>
      <c r="J114" s="35">
        <v>50</v>
      </c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ht="15.75">
      <c r="A115" s="13">
        <v>44986</v>
      </c>
      <c r="B115" s="44">
        <v>31</v>
      </c>
      <c r="C115" s="35">
        <v>122.58</v>
      </c>
      <c r="D115" s="35">
        <v>297.94099999999997</v>
      </c>
      <c r="E115" s="41">
        <v>729.47900000000004</v>
      </c>
      <c r="F115" s="35">
        <v>1150</v>
      </c>
      <c r="G115" s="35">
        <v>100</v>
      </c>
      <c r="H115" s="43">
        <v>600</v>
      </c>
      <c r="I115" s="35">
        <v>695</v>
      </c>
      <c r="J115" s="35">
        <v>50</v>
      </c>
      <c r="K115" s="36"/>
      <c r="L115" s="36"/>
      <c r="M115" s="36"/>
      <c r="N115" s="36"/>
      <c r="O115" s="36"/>
      <c r="P115" s="36"/>
      <c r="Q115" s="36"/>
      <c r="R115" s="36"/>
      <c r="S115" s="36"/>
      <c r="T115" s="36"/>
    </row>
    <row r="116" spans="1:20" ht="15.75">
      <c r="A116" s="13">
        <v>45017</v>
      </c>
      <c r="B116" s="44">
        <v>30</v>
      </c>
      <c r="C116" s="35">
        <v>141.29300000000001</v>
      </c>
      <c r="D116" s="35">
        <v>267.99299999999999</v>
      </c>
      <c r="E116" s="41">
        <v>829.71400000000006</v>
      </c>
      <c r="F116" s="35">
        <v>1239</v>
      </c>
      <c r="G116" s="35">
        <v>100</v>
      </c>
      <c r="H116" s="43">
        <v>600</v>
      </c>
      <c r="I116" s="35">
        <v>695</v>
      </c>
      <c r="J116" s="35">
        <v>50</v>
      </c>
      <c r="K116" s="36"/>
      <c r="L116" s="36"/>
      <c r="M116" s="36"/>
      <c r="N116" s="36"/>
      <c r="O116" s="36"/>
      <c r="P116" s="36"/>
      <c r="Q116" s="36"/>
      <c r="R116" s="36"/>
      <c r="S116" s="36"/>
      <c r="T116" s="36"/>
    </row>
    <row r="117" spans="1:20" ht="15.75">
      <c r="A117" s="13">
        <v>45047</v>
      </c>
      <c r="B117" s="44">
        <v>31</v>
      </c>
      <c r="C117" s="35">
        <v>194.20500000000001</v>
      </c>
      <c r="D117" s="35">
        <v>267.46600000000001</v>
      </c>
      <c r="E117" s="41">
        <v>812.32899999999995</v>
      </c>
      <c r="F117" s="35">
        <v>1274</v>
      </c>
      <c r="G117" s="35">
        <v>75</v>
      </c>
      <c r="H117" s="43">
        <v>600</v>
      </c>
      <c r="I117" s="35">
        <v>695</v>
      </c>
      <c r="J117" s="35">
        <v>50</v>
      </c>
      <c r="K117" s="36"/>
      <c r="L117" s="36"/>
      <c r="M117" s="36"/>
      <c r="N117" s="36"/>
      <c r="O117" s="36"/>
      <c r="P117" s="36"/>
      <c r="Q117" s="36"/>
      <c r="R117" s="36"/>
      <c r="S117" s="36"/>
      <c r="T117" s="36"/>
    </row>
    <row r="118" spans="1:20" ht="15.75">
      <c r="A118" s="13">
        <v>45078</v>
      </c>
      <c r="B118" s="44">
        <v>30</v>
      </c>
      <c r="C118" s="35">
        <v>194.20500000000001</v>
      </c>
      <c r="D118" s="35">
        <v>267.46600000000001</v>
      </c>
      <c r="E118" s="41">
        <v>812.32899999999995</v>
      </c>
      <c r="F118" s="35">
        <v>1274</v>
      </c>
      <c r="G118" s="35">
        <v>50</v>
      </c>
      <c r="H118" s="43">
        <v>600</v>
      </c>
      <c r="I118" s="35">
        <v>695</v>
      </c>
      <c r="J118" s="35">
        <v>50</v>
      </c>
      <c r="K118" s="36"/>
      <c r="L118" s="36"/>
      <c r="M118" s="36"/>
      <c r="N118" s="36"/>
      <c r="O118" s="36"/>
      <c r="P118" s="36"/>
      <c r="Q118" s="36"/>
      <c r="R118" s="36"/>
      <c r="S118" s="36"/>
      <c r="T118" s="36"/>
    </row>
    <row r="119" spans="1:20" ht="15.75">
      <c r="A119" s="13">
        <v>45108</v>
      </c>
      <c r="B119" s="44">
        <v>31</v>
      </c>
      <c r="C119" s="35">
        <v>194.20500000000001</v>
      </c>
      <c r="D119" s="35">
        <v>267.46600000000001</v>
      </c>
      <c r="E119" s="41">
        <v>812.32899999999995</v>
      </c>
      <c r="F119" s="35">
        <v>1274</v>
      </c>
      <c r="G119" s="35">
        <v>50</v>
      </c>
      <c r="H119" s="43">
        <v>600</v>
      </c>
      <c r="I119" s="35">
        <v>695</v>
      </c>
      <c r="J119" s="35">
        <v>0</v>
      </c>
      <c r="K119" s="36"/>
      <c r="L119" s="36"/>
      <c r="M119" s="36"/>
      <c r="N119" s="36"/>
      <c r="O119" s="36"/>
      <c r="P119" s="36"/>
      <c r="Q119" s="36"/>
      <c r="R119" s="36"/>
      <c r="S119" s="36"/>
      <c r="T119" s="36"/>
    </row>
    <row r="120" spans="1:20" ht="15.75">
      <c r="A120" s="13">
        <v>45139</v>
      </c>
      <c r="B120" s="44">
        <v>31</v>
      </c>
      <c r="C120" s="35">
        <v>194.20500000000001</v>
      </c>
      <c r="D120" s="35">
        <v>267.46600000000001</v>
      </c>
      <c r="E120" s="41">
        <v>812.32899999999995</v>
      </c>
      <c r="F120" s="35">
        <v>1274</v>
      </c>
      <c r="G120" s="35">
        <v>50</v>
      </c>
      <c r="H120" s="43">
        <v>600</v>
      </c>
      <c r="I120" s="35">
        <v>695</v>
      </c>
      <c r="J120" s="35">
        <v>0</v>
      </c>
      <c r="K120" s="36"/>
      <c r="L120" s="36"/>
      <c r="M120" s="36"/>
      <c r="N120" s="36"/>
      <c r="O120" s="36"/>
      <c r="P120" s="36"/>
      <c r="Q120" s="36"/>
      <c r="R120" s="36"/>
      <c r="S120" s="36"/>
      <c r="T120" s="36"/>
    </row>
    <row r="121" spans="1:20" ht="15.75">
      <c r="A121" s="13">
        <v>45170</v>
      </c>
      <c r="B121" s="44">
        <v>30</v>
      </c>
      <c r="C121" s="35">
        <v>194.20500000000001</v>
      </c>
      <c r="D121" s="35">
        <v>267.46600000000001</v>
      </c>
      <c r="E121" s="41">
        <v>812.32899999999995</v>
      </c>
      <c r="F121" s="35">
        <v>1274</v>
      </c>
      <c r="G121" s="35">
        <v>50</v>
      </c>
      <c r="H121" s="43">
        <v>600</v>
      </c>
      <c r="I121" s="35">
        <v>695</v>
      </c>
      <c r="J121" s="35">
        <v>0</v>
      </c>
      <c r="K121" s="36"/>
      <c r="L121" s="36"/>
      <c r="M121" s="36"/>
      <c r="N121" s="36"/>
      <c r="O121" s="36"/>
      <c r="P121" s="36"/>
      <c r="Q121" s="36"/>
      <c r="R121" s="36"/>
      <c r="S121" s="36"/>
      <c r="T121" s="36"/>
    </row>
    <row r="122" spans="1:20" ht="15.75">
      <c r="A122" s="13">
        <v>45200</v>
      </c>
      <c r="B122" s="44">
        <v>31</v>
      </c>
      <c r="C122" s="35">
        <v>131.881</v>
      </c>
      <c r="D122" s="35">
        <v>277.16699999999997</v>
      </c>
      <c r="E122" s="41">
        <v>829.952</v>
      </c>
      <c r="F122" s="35">
        <v>1239</v>
      </c>
      <c r="G122" s="35">
        <v>75</v>
      </c>
      <c r="H122" s="43">
        <v>600</v>
      </c>
      <c r="I122" s="35">
        <v>695</v>
      </c>
      <c r="J122" s="35">
        <v>0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</row>
    <row r="123" spans="1:20" ht="15.75">
      <c r="A123" s="13">
        <v>45231</v>
      </c>
      <c r="B123" s="44">
        <v>30</v>
      </c>
      <c r="C123" s="35">
        <v>122.58</v>
      </c>
      <c r="D123" s="35">
        <v>297.94099999999997</v>
      </c>
      <c r="E123" s="41">
        <v>729.47900000000004</v>
      </c>
      <c r="F123" s="35">
        <v>1150</v>
      </c>
      <c r="G123" s="35">
        <v>100</v>
      </c>
      <c r="H123" s="43">
        <v>600</v>
      </c>
      <c r="I123" s="35">
        <v>695</v>
      </c>
      <c r="J123" s="35">
        <v>50</v>
      </c>
      <c r="K123" s="36"/>
      <c r="L123" s="36"/>
      <c r="M123" s="36"/>
      <c r="N123" s="36"/>
      <c r="O123" s="36"/>
      <c r="P123" s="36"/>
      <c r="Q123" s="36"/>
      <c r="R123" s="36"/>
      <c r="S123" s="36"/>
      <c r="T123" s="36"/>
    </row>
    <row r="124" spans="1:20" ht="15.75">
      <c r="A124" s="13">
        <v>45261</v>
      </c>
      <c r="B124" s="44">
        <v>31</v>
      </c>
      <c r="C124" s="35">
        <v>122.58</v>
      </c>
      <c r="D124" s="35">
        <v>297.94099999999997</v>
      </c>
      <c r="E124" s="41">
        <v>729.47900000000004</v>
      </c>
      <c r="F124" s="35">
        <v>1150</v>
      </c>
      <c r="G124" s="35">
        <v>100</v>
      </c>
      <c r="H124" s="43">
        <v>600</v>
      </c>
      <c r="I124" s="35">
        <v>695</v>
      </c>
      <c r="J124" s="35">
        <v>50</v>
      </c>
      <c r="K124" s="36"/>
      <c r="L124" s="36"/>
      <c r="M124" s="36"/>
      <c r="N124" s="36"/>
      <c r="O124" s="36"/>
      <c r="P124" s="36"/>
      <c r="Q124" s="36"/>
      <c r="R124" s="36"/>
      <c r="S124" s="36"/>
      <c r="T124" s="36"/>
    </row>
    <row r="125" spans="1:20" ht="15.75">
      <c r="A125" s="13">
        <v>45292</v>
      </c>
      <c r="B125" s="44">
        <v>31</v>
      </c>
      <c r="C125" s="35">
        <v>122.58</v>
      </c>
      <c r="D125" s="35">
        <v>297.94099999999997</v>
      </c>
      <c r="E125" s="41">
        <v>729.47900000000004</v>
      </c>
      <c r="F125" s="35">
        <v>1150</v>
      </c>
      <c r="G125" s="35">
        <v>100</v>
      </c>
      <c r="H125" s="43">
        <v>600</v>
      </c>
      <c r="I125" s="35">
        <v>695</v>
      </c>
      <c r="J125" s="35">
        <v>50</v>
      </c>
      <c r="K125" s="36"/>
      <c r="L125" s="36"/>
      <c r="M125" s="36"/>
      <c r="N125" s="36"/>
      <c r="O125" s="36"/>
      <c r="P125" s="36"/>
      <c r="Q125" s="36"/>
      <c r="R125" s="36"/>
      <c r="S125" s="36"/>
      <c r="T125" s="36"/>
    </row>
    <row r="126" spans="1:20" ht="15.75">
      <c r="A126" s="13">
        <v>45323</v>
      </c>
      <c r="B126" s="44">
        <v>29</v>
      </c>
      <c r="C126" s="35">
        <v>122.58</v>
      </c>
      <c r="D126" s="35">
        <v>297.94099999999997</v>
      </c>
      <c r="E126" s="41">
        <v>729.47900000000004</v>
      </c>
      <c r="F126" s="35">
        <v>1150</v>
      </c>
      <c r="G126" s="35">
        <v>100</v>
      </c>
      <c r="H126" s="43">
        <v>600</v>
      </c>
      <c r="I126" s="35">
        <v>695</v>
      </c>
      <c r="J126" s="35">
        <v>50</v>
      </c>
      <c r="K126" s="36"/>
      <c r="L126" s="36"/>
      <c r="M126" s="36"/>
      <c r="N126" s="36"/>
      <c r="O126" s="36"/>
      <c r="P126" s="36"/>
      <c r="Q126" s="36"/>
      <c r="R126" s="36"/>
      <c r="S126" s="36"/>
      <c r="T126" s="36"/>
    </row>
    <row r="127" spans="1:20" ht="15.75">
      <c r="A127" s="13">
        <v>45352</v>
      </c>
      <c r="B127" s="44">
        <v>31</v>
      </c>
      <c r="C127" s="35">
        <v>122.58</v>
      </c>
      <c r="D127" s="35">
        <v>297.94099999999997</v>
      </c>
      <c r="E127" s="41">
        <v>729.47900000000004</v>
      </c>
      <c r="F127" s="35">
        <v>1150</v>
      </c>
      <c r="G127" s="35">
        <v>100</v>
      </c>
      <c r="H127" s="43">
        <v>600</v>
      </c>
      <c r="I127" s="35">
        <v>695</v>
      </c>
      <c r="J127" s="35">
        <v>50</v>
      </c>
      <c r="K127" s="36"/>
      <c r="L127" s="36"/>
      <c r="M127" s="36"/>
      <c r="N127" s="36"/>
      <c r="O127" s="36"/>
      <c r="P127" s="36"/>
      <c r="Q127" s="36"/>
      <c r="R127" s="36"/>
      <c r="S127" s="36"/>
      <c r="T127" s="36"/>
    </row>
    <row r="128" spans="1:20" ht="15.75">
      <c r="A128" s="13">
        <v>45383</v>
      </c>
      <c r="B128" s="44">
        <v>30</v>
      </c>
      <c r="C128" s="35">
        <v>141.29300000000001</v>
      </c>
      <c r="D128" s="35">
        <v>267.99299999999999</v>
      </c>
      <c r="E128" s="41">
        <v>829.71400000000006</v>
      </c>
      <c r="F128" s="35">
        <v>1239</v>
      </c>
      <c r="G128" s="35">
        <v>100</v>
      </c>
      <c r="H128" s="43">
        <v>600</v>
      </c>
      <c r="I128" s="35">
        <v>695</v>
      </c>
      <c r="J128" s="35">
        <v>50</v>
      </c>
      <c r="K128" s="36"/>
      <c r="L128" s="36"/>
      <c r="M128" s="36"/>
      <c r="N128" s="36"/>
      <c r="O128" s="36"/>
      <c r="P128" s="36"/>
      <c r="Q128" s="36"/>
      <c r="R128" s="36"/>
      <c r="S128" s="36"/>
      <c r="T128" s="36"/>
    </row>
    <row r="129" spans="1:20" ht="15.75">
      <c r="A129" s="13">
        <v>45413</v>
      </c>
      <c r="B129" s="44">
        <v>31</v>
      </c>
      <c r="C129" s="35">
        <v>194.20500000000001</v>
      </c>
      <c r="D129" s="35">
        <v>267.46600000000001</v>
      </c>
      <c r="E129" s="41">
        <v>812.32899999999995</v>
      </c>
      <c r="F129" s="35">
        <v>1274</v>
      </c>
      <c r="G129" s="35">
        <v>75</v>
      </c>
      <c r="H129" s="43">
        <v>600</v>
      </c>
      <c r="I129" s="35">
        <v>695</v>
      </c>
      <c r="J129" s="35">
        <v>50</v>
      </c>
      <c r="K129" s="36"/>
      <c r="L129" s="36"/>
      <c r="M129" s="36"/>
      <c r="N129" s="36"/>
      <c r="O129" s="36"/>
      <c r="P129" s="36"/>
      <c r="Q129" s="36"/>
      <c r="R129" s="36"/>
      <c r="S129" s="36"/>
      <c r="T129" s="36"/>
    </row>
    <row r="130" spans="1:20" ht="15.75">
      <c r="A130" s="13">
        <v>45444</v>
      </c>
      <c r="B130" s="44">
        <v>30</v>
      </c>
      <c r="C130" s="35">
        <v>194.20500000000001</v>
      </c>
      <c r="D130" s="35">
        <v>267.46600000000001</v>
      </c>
      <c r="E130" s="41">
        <v>812.32899999999995</v>
      </c>
      <c r="F130" s="35">
        <v>1274</v>
      </c>
      <c r="G130" s="35">
        <v>50</v>
      </c>
      <c r="H130" s="43">
        <v>600</v>
      </c>
      <c r="I130" s="35">
        <v>695</v>
      </c>
      <c r="J130" s="35">
        <v>50</v>
      </c>
      <c r="K130" s="36"/>
      <c r="L130" s="36"/>
      <c r="M130" s="36"/>
      <c r="N130" s="36"/>
      <c r="O130" s="36"/>
      <c r="P130" s="36"/>
      <c r="Q130" s="36"/>
      <c r="R130" s="36"/>
      <c r="S130" s="36"/>
      <c r="T130" s="36"/>
    </row>
    <row r="131" spans="1:20" ht="15.75">
      <c r="A131" s="13">
        <v>45474</v>
      </c>
      <c r="B131" s="44">
        <v>31</v>
      </c>
      <c r="C131" s="35">
        <v>194.20500000000001</v>
      </c>
      <c r="D131" s="35">
        <v>267.46600000000001</v>
      </c>
      <c r="E131" s="41">
        <v>812.32899999999995</v>
      </c>
      <c r="F131" s="35">
        <v>1274</v>
      </c>
      <c r="G131" s="35">
        <v>50</v>
      </c>
      <c r="H131" s="43">
        <v>600</v>
      </c>
      <c r="I131" s="35">
        <v>695</v>
      </c>
      <c r="J131" s="35">
        <v>0</v>
      </c>
      <c r="K131" s="36"/>
      <c r="L131" s="36"/>
      <c r="M131" s="36"/>
      <c r="N131" s="36"/>
      <c r="O131" s="36"/>
      <c r="P131" s="36"/>
      <c r="Q131" s="36"/>
      <c r="R131" s="36"/>
      <c r="S131" s="36"/>
      <c r="T131" s="36"/>
    </row>
    <row r="132" spans="1:20" ht="15.75">
      <c r="A132" s="13">
        <v>45505</v>
      </c>
      <c r="B132" s="44">
        <v>31</v>
      </c>
      <c r="C132" s="35">
        <v>194.20500000000001</v>
      </c>
      <c r="D132" s="35">
        <v>267.46600000000001</v>
      </c>
      <c r="E132" s="41">
        <v>812.32899999999995</v>
      </c>
      <c r="F132" s="35">
        <v>1274</v>
      </c>
      <c r="G132" s="35">
        <v>50</v>
      </c>
      <c r="H132" s="43">
        <v>600</v>
      </c>
      <c r="I132" s="35">
        <v>695</v>
      </c>
      <c r="J132" s="35">
        <v>0</v>
      </c>
      <c r="K132" s="36"/>
      <c r="L132" s="36"/>
      <c r="M132" s="36"/>
      <c r="N132" s="36"/>
      <c r="O132" s="36"/>
      <c r="P132" s="36"/>
      <c r="Q132" s="36"/>
      <c r="R132" s="36"/>
      <c r="S132" s="36"/>
      <c r="T132" s="36"/>
    </row>
    <row r="133" spans="1:20" ht="15.75">
      <c r="A133" s="13">
        <v>45536</v>
      </c>
      <c r="B133" s="44">
        <v>30</v>
      </c>
      <c r="C133" s="35">
        <v>194.20500000000001</v>
      </c>
      <c r="D133" s="35">
        <v>267.46600000000001</v>
      </c>
      <c r="E133" s="41">
        <v>812.32899999999995</v>
      </c>
      <c r="F133" s="35">
        <v>1274</v>
      </c>
      <c r="G133" s="35">
        <v>50</v>
      </c>
      <c r="H133" s="43">
        <v>600</v>
      </c>
      <c r="I133" s="35">
        <v>695</v>
      </c>
      <c r="J133" s="35">
        <v>0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</row>
    <row r="134" spans="1:20" ht="15.75">
      <c r="A134" s="13">
        <v>45566</v>
      </c>
      <c r="B134" s="44">
        <v>31</v>
      </c>
      <c r="C134" s="35">
        <v>131.881</v>
      </c>
      <c r="D134" s="35">
        <v>277.16699999999997</v>
      </c>
      <c r="E134" s="41">
        <v>829.952</v>
      </c>
      <c r="F134" s="35">
        <v>1239</v>
      </c>
      <c r="G134" s="35">
        <v>75</v>
      </c>
      <c r="H134" s="43">
        <v>600</v>
      </c>
      <c r="I134" s="35">
        <v>695</v>
      </c>
      <c r="J134" s="35">
        <v>0</v>
      </c>
      <c r="K134" s="36"/>
      <c r="L134" s="36"/>
      <c r="M134" s="36"/>
      <c r="N134" s="36"/>
      <c r="O134" s="36"/>
      <c r="P134" s="36"/>
      <c r="Q134" s="36"/>
      <c r="R134" s="36"/>
      <c r="S134" s="36"/>
      <c r="T134" s="36"/>
    </row>
    <row r="135" spans="1:20" ht="15.75">
      <c r="A135" s="13">
        <v>45597</v>
      </c>
      <c r="B135" s="44">
        <v>30</v>
      </c>
      <c r="C135" s="35">
        <v>122.58</v>
      </c>
      <c r="D135" s="35">
        <v>297.94099999999997</v>
      </c>
      <c r="E135" s="41">
        <v>729.47900000000004</v>
      </c>
      <c r="F135" s="35">
        <v>1150</v>
      </c>
      <c r="G135" s="35">
        <v>100</v>
      </c>
      <c r="H135" s="43">
        <v>600</v>
      </c>
      <c r="I135" s="35">
        <v>695</v>
      </c>
      <c r="J135" s="35">
        <v>50</v>
      </c>
      <c r="K135" s="36"/>
      <c r="L135" s="36"/>
      <c r="M135" s="36"/>
      <c r="N135" s="36"/>
      <c r="O135" s="36"/>
      <c r="P135" s="36"/>
      <c r="Q135" s="36"/>
      <c r="R135" s="36"/>
      <c r="S135" s="36"/>
      <c r="T135" s="36"/>
    </row>
    <row r="136" spans="1:20" ht="15.75">
      <c r="A136" s="13">
        <v>45627</v>
      </c>
      <c r="B136" s="44">
        <v>31</v>
      </c>
      <c r="C136" s="35">
        <v>122.58</v>
      </c>
      <c r="D136" s="35">
        <v>297.94099999999997</v>
      </c>
      <c r="E136" s="41">
        <v>729.47900000000004</v>
      </c>
      <c r="F136" s="35">
        <v>1150</v>
      </c>
      <c r="G136" s="35">
        <v>100</v>
      </c>
      <c r="H136" s="43">
        <v>600</v>
      </c>
      <c r="I136" s="35">
        <v>695</v>
      </c>
      <c r="J136" s="35">
        <v>50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</row>
    <row r="137" spans="1:20" ht="15.75">
      <c r="A137" s="13">
        <v>45658</v>
      </c>
      <c r="B137" s="44">
        <v>31</v>
      </c>
      <c r="C137" s="35">
        <v>122.58</v>
      </c>
      <c r="D137" s="35">
        <v>297.94099999999997</v>
      </c>
      <c r="E137" s="41">
        <v>729.47900000000004</v>
      </c>
      <c r="F137" s="35">
        <v>1150</v>
      </c>
      <c r="G137" s="35">
        <v>100</v>
      </c>
      <c r="H137" s="43">
        <v>600</v>
      </c>
      <c r="I137" s="35">
        <v>695</v>
      </c>
      <c r="J137" s="35">
        <v>50</v>
      </c>
      <c r="K137" s="36"/>
      <c r="L137" s="36"/>
      <c r="M137" s="36"/>
      <c r="N137" s="36"/>
      <c r="O137" s="36"/>
      <c r="P137" s="36"/>
      <c r="Q137" s="36"/>
      <c r="R137" s="36"/>
      <c r="S137" s="36"/>
      <c r="T137" s="36"/>
    </row>
    <row r="138" spans="1:20" ht="15.75">
      <c r="A138" s="13">
        <v>45689</v>
      </c>
      <c r="B138" s="44">
        <v>28</v>
      </c>
      <c r="C138" s="35">
        <v>122.58</v>
      </c>
      <c r="D138" s="35">
        <v>297.94099999999997</v>
      </c>
      <c r="E138" s="41">
        <v>729.47900000000004</v>
      </c>
      <c r="F138" s="35">
        <v>1150</v>
      </c>
      <c r="G138" s="35">
        <v>100</v>
      </c>
      <c r="H138" s="43">
        <v>600</v>
      </c>
      <c r="I138" s="35">
        <v>695</v>
      </c>
      <c r="J138" s="35">
        <v>50</v>
      </c>
      <c r="K138" s="36"/>
      <c r="L138" s="36"/>
      <c r="M138" s="36"/>
      <c r="N138" s="36"/>
      <c r="O138" s="36"/>
      <c r="P138" s="36"/>
      <c r="Q138" s="36"/>
      <c r="R138" s="36"/>
      <c r="S138" s="36"/>
      <c r="T138" s="36"/>
    </row>
    <row r="139" spans="1:20" ht="15.75">
      <c r="A139" s="13">
        <v>45717</v>
      </c>
      <c r="B139" s="44">
        <v>31</v>
      </c>
      <c r="C139" s="35">
        <v>122.58</v>
      </c>
      <c r="D139" s="35">
        <v>297.94099999999997</v>
      </c>
      <c r="E139" s="41">
        <v>729.47900000000004</v>
      </c>
      <c r="F139" s="35">
        <v>1150</v>
      </c>
      <c r="G139" s="35">
        <v>100</v>
      </c>
      <c r="H139" s="43">
        <v>600</v>
      </c>
      <c r="I139" s="35">
        <v>695</v>
      </c>
      <c r="J139" s="35">
        <v>50</v>
      </c>
      <c r="K139" s="36"/>
      <c r="L139" s="36"/>
      <c r="M139" s="36"/>
      <c r="N139" s="36"/>
      <c r="O139" s="36"/>
      <c r="P139" s="36"/>
      <c r="Q139" s="36"/>
      <c r="R139" s="36"/>
      <c r="S139" s="36"/>
      <c r="T139" s="36"/>
    </row>
    <row r="140" spans="1:20" ht="15.75">
      <c r="A140" s="13">
        <v>45748</v>
      </c>
      <c r="B140" s="44">
        <v>30</v>
      </c>
      <c r="C140" s="35">
        <v>141.29300000000001</v>
      </c>
      <c r="D140" s="35">
        <v>267.99299999999999</v>
      </c>
      <c r="E140" s="41">
        <v>829.71400000000006</v>
      </c>
      <c r="F140" s="35">
        <v>1239</v>
      </c>
      <c r="G140" s="35">
        <v>100</v>
      </c>
      <c r="H140" s="43">
        <v>600</v>
      </c>
      <c r="I140" s="35">
        <v>695</v>
      </c>
      <c r="J140" s="35">
        <v>50</v>
      </c>
      <c r="K140" s="36"/>
      <c r="L140" s="36"/>
      <c r="M140" s="36"/>
      <c r="N140" s="36"/>
      <c r="O140" s="36"/>
      <c r="P140" s="36"/>
      <c r="Q140" s="36"/>
      <c r="R140" s="36"/>
      <c r="S140" s="36"/>
      <c r="T140" s="36"/>
    </row>
    <row r="141" spans="1:20" ht="15.75">
      <c r="A141" s="13">
        <v>45778</v>
      </c>
      <c r="B141" s="44">
        <v>31</v>
      </c>
      <c r="C141" s="35">
        <v>194.20500000000001</v>
      </c>
      <c r="D141" s="35">
        <v>267.46600000000001</v>
      </c>
      <c r="E141" s="41">
        <v>812.32899999999995</v>
      </c>
      <c r="F141" s="35">
        <v>1274</v>
      </c>
      <c r="G141" s="35">
        <v>75</v>
      </c>
      <c r="H141" s="43">
        <v>600</v>
      </c>
      <c r="I141" s="35">
        <v>695</v>
      </c>
      <c r="J141" s="35">
        <v>50</v>
      </c>
      <c r="K141" s="36"/>
      <c r="L141" s="36"/>
      <c r="M141" s="36"/>
      <c r="N141" s="36"/>
      <c r="O141" s="36"/>
      <c r="P141" s="36"/>
      <c r="Q141" s="36"/>
      <c r="R141" s="36"/>
      <c r="S141" s="36"/>
      <c r="T141" s="36"/>
    </row>
    <row r="142" spans="1:20" ht="15.75">
      <c r="A142" s="13">
        <v>45809</v>
      </c>
      <c r="B142" s="44">
        <v>30</v>
      </c>
      <c r="C142" s="35">
        <v>194.20500000000001</v>
      </c>
      <c r="D142" s="35">
        <v>267.46600000000001</v>
      </c>
      <c r="E142" s="41">
        <v>812.32899999999995</v>
      </c>
      <c r="F142" s="35">
        <v>1274</v>
      </c>
      <c r="G142" s="35">
        <v>50</v>
      </c>
      <c r="H142" s="43">
        <v>600</v>
      </c>
      <c r="I142" s="35">
        <v>695</v>
      </c>
      <c r="J142" s="35">
        <v>50</v>
      </c>
      <c r="K142" s="36"/>
      <c r="L142" s="36"/>
      <c r="M142" s="36"/>
      <c r="N142" s="36"/>
      <c r="O142" s="36"/>
      <c r="P142" s="36"/>
      <c r="Q142" s="36"/>
      <c r="R142" s="36"/>
      <c r="S142" s="36"/>
      <c r="T142" s="36"/>
    </row>
    <row r="143" spans="1:20" ht="15.75">
      <c r="A143" s="13">
        <v>45839</v>
      </c>
      <c r="B143" s="44">
        <v>31</v>
      </c>
      <c r="C143" s="35">
        <v>194.20500000000001</v>
      </c>
      <c r="D143" s="35">
        <v>267.46600000000001</v>
      </c>
      <c r="E143" s="41">
        <v>812.32899999999995</v>
      </c>
      <c r="F143" s="35">
        <v>1274</v>
      </c>
      <c r="G143" s="35">
        <v>50</v>
      </c>
      <c r="H143" s="43">
        <v>600</v>
      </c>
      <c r="I143" s="35">
        <v>695</v>
      </c>
      <c r="J143" s="35">
        <v>0</v>
      </c>
      <c r="K143" s="36"/>
      <c r="L143" s="36"/>
      <c r="M143" s="36"/>
      <c r="N143" s="36"/>
      <c r="O143" s="36"/>
      <c r="P143" s="36"/>
      <c r="Q143" s="36"/>
      <c r="R143" s="36"/>
      <c r="S143" s="36"/>
      <c r="T143" s="36"/>
    </row>
    <row r="144" spans="1:20" ht="15.75">
      <c r="A144" s="13">
        <v>45870</v>
      </c>
      <c r="B144" s="44">
        <v>31</v>
      </c>
      <c r="C144" s="35">
        <v>194.20500000000001</v>
      </c>
      <c r="D144" s="35">
        <v>267.46600000000001</v>
      </c>
      <c r="E144" s="41">
        <v>812.32899999999995</v>
      </c>
      <c r="F144" s="35">
        <v>1274</v>
      </c>
      <c r="G144" s="35">
        <v>50</v>
      </c>
      <c r="H144" s="43">
        <v>600</v>
      </c>
      <c r="I144" s="35">
        <v>695</v>
      </c>
      <c r="J144" s="35">
        <v>0</v>
      </c>
      <c r="K144" s="36"/>
      <c r="L144" s="36"/>
      <c r="M144" s="36"/>
      <c r="N144" s="36"/>
      <c r="O144" s="36"/>
      <c r="P144" s="36"/>
      <c r="Q144" s="36"/>
      <c r="R144" s="36"/>
      <c r="S144" s="36"/>
      <c r="T144" s="36"/>
    </row>
    <row r="145" spans="1:20" ht="15.75">
      <c r="A145" s="13">
        <v>45901</v>
      </c>
      <c r="B145" s="44">
        <v>30</v>
      </c>
      <c r="C145" s="35">
        <v>194.20500000000001</v>
      </c>
      <c r="D145" s="35">
        <v>267.46600000000001</v>
      </c>
      <c r="E145" s="41">
        <v>812.32899999999995</v>
      </c>
      <c r="F145" s="35">
        <v>1274</v>
      </c>
      <c r="G145" s="35">
        <v>50</v>
      </c>
      <c r="H145" s="43">
        <v>600</v>
      </c>
      <c r="I145" s="35">
        <v>695</v>
      </c>
      <c r="J145" s="35">
        <v>0</v>
      </c>
      <c r="K145" s="36"/>
      <c r="L145" s="36"/>
      <c r="M145" s="36"/>
      <c r="N145" s="36"/>
      <c r="O145" s="36"/>
      <c r="P145" s="36"/>
      <c r="Q145" s="36"/>
      <c r="R145" s="36"/>
      <c r="S145" s="36"/>
      <c r="T145" s="36"/>
    </row>
    <row r="146" spans="1:20" ht="15.75">
      <c r="A146" s="13">
        <v>45931</v>
      </c>
      <c r="B146" s="44">
        <v>31</v>
      </c>
      <c r="C146" s="35">
        <v>131.881</v>
      </c>
      <c r="D146" s="35">
        <v>277.16699999999997</v>
      </c>
      <c r="E146" s="41">
        <v>829.952</v>
      </c>
      <c r="F146" s="35">
        <v>1239</v>
      </c>
      <c r="G146" s="35">
        <v>75</v>
      </c>
      <c r="H146" s="43">
        <v>600</v>
      </c>
      <c r="I146" s="35">
        <v>695</v>
      </c>
      <c r="J146" s="35">
        <v>0</v>
      </c>
      <c r="K146" s="36"/>
      <c r="L146" s="36"/>
      <c r="M146" s="36"/>
      <c r="N146" s="36"/>
      <c r="O146" s="36"/>
      <c r="P146" s="36"/>
      <c r="Q146" s="36"/>
      <c r="R146" s="36"/>
      <c r="S146" s="36"/>
      <c r="T146" s="36"/>
    </row>
    <row r="147" spans="1:20" ht="15.75">
      <c r="A147" s="13">
        <v>45962</v>
      </c>
      <c r="B147" s="44">
        <v>30</v>
      </c>
      <c r="C147" s="35">
        <v>122.58</v>
      </c>
      <c r="D147" s="35">
        <v>297.94099999999997</v>
      </c>
      <c r="E147" s="41">
        <v>729.47900000000004</v>
      </c>
      <c r="F147" s="35">
        <v>1150</v>
      </c>
      <c r="G147" s="35">
        <v>100</v>
      </c>
      <c r="H147" s="43">
        <v>600</v>
      </c>
      <c r="I147" s="35">
        <v>695</v>
      </c>
      <c r="J147" s="35">
        <v>50</v>
      </c>
      <c r="K147" s="36"/>
      <c r="L147" s="36"/>
      <c r="M147" s="36"/>
      <c r="N147" s="36"/>
      <c r="O147" s="36"/>
      <c r="P147" s="36"/>
      <c r="Q147" s="36"/>
      <c r="R147" s="36"/>
      <c r="S147" s="36"/>
      <c r="T147" s="36"/>
    </row>
    <row r="148" spans="1:20" ht="15.75">
      <c r="A148" s="13">
        <v>45992</v>
      </c>
      <c r="B148" s="44">
        <v>31</v>
      </c>
      <c r="C148" s="35">
        <v>122.58</v>
      </c>
      <c r="D148" s="35">
        <v>297.94099999999997</v>
      </c>
      <c r="E148" s="41">
        <v>729.47900000000004</v>
      </c>
      <c r="F148" s="35">
        <v>1150</v>
      </c>
      <c r="G148" s="35">
        <v>100</v>
      </c>
      <c r="H148" s="43">
        <v>600</v>
      </c>
      <c r="I148" s="35">
        <v>695</v>
      </c>
      <c r="J148" s="35">
        <v>50</v>
      </c>
      <c r="K148" s="36"/>
      <c r="L148" s="36"/>
      <c r="M148" s="36"/>
      <c r="N148" s="36"/>
      <c r="O148" s="36"/>
      <c r="P148" s="36"/>
      <c r="Q148" s="36"/>
      <c r="R148" s="36"/>
      <c r="S148" s="36"/>
      <c r="T148" s="36"/>
    </row>
    <row r="149" spans="1:20" ht="15.75">
      <c r="A149" s="13">
        <v>46023</v>
      </c>
      <c r="B149" s="44">
        <v>31</v>
      </c>
      <c r="C149" s="35">
        <v>122.58</v>
      </c>
      <c r="D149" s="35">
        <v>297.94099999999997</v>
      </c>
      <c r="E149" s="41">
        <v>729.47900000000004</v>
      </c>
      <c r="F149" s="35">
        <v>1150</v>
      </c>
      <c r="G149" s="35">
        <v>100</v>
      </c>
      <c r="H149" s="43">
        <v>600</v>
      </c>
      <c r="I149" s="35">
        <v>695</v>
      </c>
      <c r="J149" s="35">
        <v>50</v>
      </c>
      <c r="K149" s="36"/>
      <c r="L149" s="36"/>
      <c r="M149" s="36"/>
      <c r="N149" s="36"/>
      <c r="O149" s="36"/>
      <c r="P149" s="36"/>
      <c r="Q149" s="36"/>
      <c r="R149" s="36"/>
      <c r="S149" s="36"/>
      <c r="T149" s="36"/>
    </row>
    <row r="150" spans="1:20" ht="15.75">
      <c r="A150" s="13">
        <v>46054</v>
      </c>
      <c r="B150" s="44">
        <v>28</v>
      </c>
      <c r="C150" s="35">
        <v>122.58</v>
      </c>
      <c r="D150" s="35">
        <v>297.94099999999997</v>
      </c>
      <c r="E150" s="41">
        <v>729.47900000000004</v>
      </c>
      <c r="F150" s="35">
        <v>1150</v>
      </c>
      <c r="G150" s="35">
        <v>100</v>
      </c>
      <c r="H150" s="43">
        <v>600</v>
      </c>
      <c r="I150" s="35">
        <v>695</v>
      </c>
      <c r="J150" s="35">
        <v>50</v>
      </c>
      <c r="K150" s="36"/>
      <c r="L150" s="36"/>
      <c r="M150" s="36"/>
      <c r="N150" s="36"/>
      <c r="O150" s="36"/>
      <c r="P150" s="36"/>
      <c r="Q150" s="36"/>
      <c r="R150" s="36"/>
      <c r="S150" s="36"/>
      <c r="T150" s="36"/>
    </row>
    <row r="151" spans="1:20" ht="15.75">
      <c r="A151" s="13">
        <v>46082</v>
      </c>
      <c r="B151" s="44">
        <v>31</v>
      </c>
      <c r="C151" s="35">
        <v>122.58</v>
      </c>
      <c r="D151" s="35">
        <v>297.94099999999997</v>
      </c>
      <c r="E151" s="41">
        <v>729.47900000000004</v>
      </c>
      <c r="F151" s="35">
        <v>1150</v>
      </c>
      <c r="G151" s="35">
        <v>100</v>
      </c>
      <c r="H151" s="43">
        <v>600</v>
      </c>
      <c r="I151" s="35">
        <v>695</v>
      </c>
      <c r="J151" s="35">
        <v>50</v>
      </c>
      <c r="K151" s="36"/>
      <c r="L151" s="36"/>
      <c r="M151" s="36"/>
      <c r="N151" s="36"/>
      <c r="O151" s="36"/>
      <c r="P151" s="36"/>
      <c r="Q151" s="36"/>
      <c r="R151" s="36"/>
      <c r="S151" s="36"/>
      <c r="T151" s="36"/>
    </row>
    <row r="152" spans="1:20" ht="15.75">
      <c r="A152" s="13">
        <v>46113</v>
      </c>
      <c r="B152" s="44">
        <v>30</v>
      </c>
      <c r="C152" s="35">
        <v>141.29300000000001</v>
      </c>
      <c r="D152" s="35">
        <v>267.99299999999999</v>
      </c>
      <c r="E152" s="41">
        <v>829.71400000000006</v>
      </c>
      <c r="F152" s="35">
        <v>1239</v>
      </c>
      <c r="G152" s="35">
        <v>100</v>
      </c>
      <c r="H152" s="43">
        <v>600</v>
      </c>
      <c r="I152" s="35">
        <v>695</v>
      </c>
      <c r="J152" s="35">
        <v>50</v>
      </c>
      <c r="K152" s="36"/>
      <c r="L152" s="36"/>
      <c r="M152" s="36"/>
      <c r="N152" s="36"/>
      <c r="O152" s="36"/>
      <c r="P152" s="36"/>
      <c r="Q152" s="36"/>
      <c r="R152" s="36"/>
      <c r="S152" s="36"/>
      <c r="T152" s="36"/>
    </row>
    <row r="153" spans="1:20" ht="15.75">
      <c r="A153" s="13">
        <v>46143</v>
      </c>
      <c r="B153" s="44">
        <v>31</v>
      </c>
      <c r="C153" s="35">
        <v>194.20500000000001</v>
      </c>
      <c r="D153" s="35">
        <v>267.46600000000001</v>
      </c>
      <c r="E153" s="41">
        <v>812.32899999999995</v>
      </c>
      <c r="F153" s="35">
        <v>1274</v>
      </c>
      <c r="G153" s="35">
        <v>75</v>
      </c>
      <c r="H153" s="43">
        <v>600</v>
      </c>
      <c r="I153" s="35">
        <v>695</v>
      </c>
      <c r="J153" s="35">
        <v>50</v>
      </c>
      <c r="K153" s="36"/>
      <c r="L153" s="36"/>
      <c r="M153" s="36"/>
      <c r="N153" s="36"/>
      <c r="O153" s="36"/>
      <c r="P153" s="36"/>
      <c r="Q153" s="36"/>
      <c r="R153" s="36"/>
      <c r="S153" s="36"/>
      <c r="T153" s="36"/>
    </row>
    <row r="154" spans="1:20" ht="15.75">
      <c r="A154" s="13">
        <v>46174</v>
      </c>
      <c r="B154" s="44">
        <v>30</v>
      </c>
      <c r="C154" s="35">
        <v>194.20500000000001</v>
      </c>
      <c r="D154" s="35">
        <v>267.46600000000001</v>
      </c>
      <c r="E154" s="41">
        <v>812.32899999999995</v>
      </c>
      <c r="F154" s="35">
        <v>1274</v>
      </c>
      <c r="G154" s="35">
        <v>50</v>
      </c>
      <c r="H154" s="43">
        <v>600</v>
      </c>
      <c r="I154" s="35">
        <v>695</v>
      </c>
      <c r="J154" s="35">
        <v>50</v>
      </c>
      <c r="K154" s="36"/>
      <c r="L154" s="36"/>
      <c r="M154" s="36"/>
      <c r="N154" s="36"/>
      <c r="O154" s="36"/>
      <c r="P154" s="36"/>
      <c r="Q154" s="36"/>
      <c r="R154" s="36"/>
      <c r="S154" s="36"/>
      <c r="T154" s="36"/>
    </row>
    <row r="155" spans="1:20" ht="15.75">
      <c r="A155" s="13">
        <v>46204</v>
      </c>
      <c r="B155" s="44">
        <v>31</v>
      </c>
      <c r="C155" s="35">
        <v>194.20500000000001</v>
      </c>
      <c r="D155" s="35">
        <v>267.46600000000001</v>
      </c>
      <c r="E155" s="41">
        <v>812.32899999999995</v>
      </c>
      <c r="F155" s="35">
        <v>1274</v>
      </c>
      <c r="G155" s="35">
        <v>50</v>
      </c>
      <c r="H155" s="43">
        <v>600</v>
      </c>
      <c r="I155" s="35">
        <v>695</v>
      </c>
      <c r="J155" s="35">
        <v>0</v>
      </c>
      <c r="K155" s="36"/>
      <c r="L155" s="36"/>
      <c r="M155" s="36"/>
      <c r="N155" s="36"/>
      <c r="O155" s="36"/>
      <c r="P155" s="36"/>
      <c r="Q155" s="36"/>
      <c r="R155" s="36"/>
      <c r="S155" s="36"/>
      <c r="T155" s="36"/>
    </row>
    <row r="156" spans="1:20" ht="15.75">
      <c r="A156" s="13">
        <v>46235</v>
      </c>
      <c r="B156" s="44">
        <v>31</v>
      </c>
      <c r="C156" s="35">
        <v>194.20500000000001</v>
      </c>
      <c r="D156" s="35">
        <v>267.46600000000001</v>
      </c>
      <c r="E156" s="41">
        <v>812.32899999999995</v>
      </c>
      <c r="F156" s="35">
        <v>1274</v>
      </c>
      <c r="G156" s="35">
        <v>50</v>
      </c>
      <c r="H156" s="43">
        <v>600</v>
      </c>
      <c r="I156" s="35">
        <v>695</v>
      </c>
      <c r="J156" s="35">
        <v>0</v>
      </c>
      <c r="K156" s="36"/>
      <c r="L156" s="36"/>
      <c r="M156" s="36"/>
      <c r="N156" s="36"/>
      <c r="O156" s="36"/>
      <c r="P156" s="36"/>
      <c r="Q156" s="36"/>
      <c r="R156" s="36"/>
      <c r="S156" s="36"/>
      <c r="T156" s="36"/>
    </row>
    <row r="157" spans="1:20" ht="15.75">
      <c r="A157" s="13">
        <v>46266</v>
      </c>
      <c r="B157" s="44">
        <v>30</v>
      </c>
      <c r="C157" s="35">
        <v>194.20500000000001</v>
      </c>
      <c r="D157" s="35">
        <v>267.46600000000001</v>
      </c>
      <c r="E157" s="41">
        <v>812.32899999999995</v>
      </c>
      <c r="F157" s="35">
        <v>1274</v>
      </c>
      <c r="G157" s="35">
        <v>50</v>
      </c>
      <c r="H157" s="43">
        <v>600</v>
      </c>
      <c r="I157" s="35">
        <v>695</v>
      </c>
      <c r="J157" s="35">
        <v>0</v>
      </c>
      <c r="K157" s="36"/>
      <c r="L157" s="36"/>
      <c r="M157" s="36"/>
      <c r="N157" s="36"/>
      <c r="O157" s="36"/>
      <c r="P157" s="36"/>
      <c r="Q157" s="36"/>
      <c r="R157" s="36"/>
      <c r="S157" s="36"/>
      <c r="T157" s="36"/>
    </row>
    <row r="158" spans="1:20" ht="15.75">
      <c r="A158" s="13">
        <v>46296</v>
      </c>
      <c r="B158" s="44">
        <v>31</v>
      </c>
      <c r="C158" s="35">
        <v>131.881</v>
      </c>
      <c r="D158" s="35">
        <v>277.16699999999997</v>
      </c>
      <c r="E158" s="41">
        <v>829.952</v>
      </c>
      <c r="F158" s="35">
        <v>1239</v>
      </c>
      <c r="G158" s="35">
        <v>75</v>
      </c>
      <c r="H158" s="43">
        <v>600</v>
      </c>
      <c r="I158" s="35">
        <v>695</v>
      </c>
      <c r="J158" s="35">
        <v>0</v>
      </c>
      <c r="K158" s="36"/>
      <c r="L158" s="36"/>
      <c r="M158" s="36"/>
      <c r="N158" s="36"/>
      <c r="O158" s="36"/>
      <c r="P158" s="36"/>
      <c r="Q158" s="36"/>
      <c r="R158" s="36"/>
      <c r="S158" s="36"/>
      <c r="T158" s="36"/>
    </row>
    <row r="159" spans="1:20" ht="15.75">
      <c r="A159" s="13">
        <v>46327</v>
      </c>
      <c r="B159" s="44">
        <v>30</v>
      </c>
      <c r="C159" s="35">
        <v>122.58</v>
      </c>
      <c r="D159" s="35">
        <v>297.94099999999997</v>
      </c>
      <c r="E159" s="41">
        <v>729.47900000000004</v>
      </c>
      <c r="F159" s="35">
        <v>1150</v>
      </c>
      <c r="G159" s="35">
        <v>100</v>
      </c>
      <c r="H159" s="43">
        <v>600</v>
      </c>
      <c r="I159" s="35">
        <v>695</v>
      </c>
      <c r="J159" s="35">
        <v>50</v>
      </c>
      <c r="K159" s="36"/>
      <c r="L159" s="36"/>
      <c r="M159" s="36"/>
      <c r="N159" s="36"/>
      <c r="O159" s="36"/>
      <c r="P159" s="36"/>
      <c r="Q159" s="36"/>
      <c r="R159" s="36"/>
      <c r="S159" s="36"/>
      <c r="T159" s="36"/>
    </row>
    <row r="160" spans="1:20" ht="15.75">
      <c r="A160" s="13">
        <v>46357</v>
      </c>
      <c r="B160" s="44">
        <v>31</v>
      </c>
      <c r="C160" s="35">
        <v>122.58</v>
      </c>
      <c r="D160" s="35">
        <v>297.94099999999997</v>
      </c>
      <c r="E160" s="41">
        <v>729.47900000000004</v>
      </c>
      <c r="F160" s="35">
        <v>1150</v>
      </c>
      <c r="G160" s="35">
        <v>100</v>
      </c>
      <c r="H160" s="43">
        <v>600</v>
      </c>
      <c r="I160" s="35">
        <v>695</v>
      </c>
      <c r="J160" s="35">
        <v>50</v>
      </c>
      <c r="K160" s="36"/>
      <c r="L160" s="36"/>
      <c r="M160" s="36"/>
      <c r="N160" s="36"/>
      <c r="O160" s="36"/>
      <c r="P160" s="36"/>
      <c r="Q160" s="36"/>
      <c r="R160" s="36"/>
      <c r="S160" s="36"/>
      <c r="T160" s="36"/>
    </row>
    <row r="161" spans="1:20" ht="15.75">
      <c r="A161" s="13">
        <v>46388</v>
      </c>
      <c r="B161" s="44">
        <v>31</v>
      </c>
      <c r="C161" s="35">
        <v>122.58</v>
      </c>
      <c r="D161" s="35">
        <v>297.94099999999997</v>
      </c>
      <c r="E161" s="41">
        <v>729.47900000000004</v>
      </c>
      <c r="F161" s="35">
        <v>1150</v>
      </c>
      <c r="G161" s="35">
        <v>100</v>
      </c>
      <c r="H161" s="43">
        <v>600</v>
      </c>
      <c r="I161" s="35">
        <v>695</v>
      </c>
      <c r="J161" s="35">
        <v>50</v>
      </c>
      <c r="K161" s="36"/>
      <c r="L161" s="36"/>
      <c r="M161" s="36"/>
      <c r="N161" s="36"/>
      <c r="O161" s="36"/>
      <c r="P161" s="36"/>
      <c r="Q161" s="36"/>
      <c r="R161" s="36"/>
      <c r="S161" s="36"/>
      <c r="T161" s="36"/>
    </row>
    <row r="162" spans="1:20" ht="15.75">
      <c r="A162" s="13">
        <v>46419</v>
      </c>
      <c r="B162" s="44">
        <v>28</v>
      </c>
      <c r="C162" s="35">
        <v>122.58</v>
      </c>
      <c r="D162" s="35">
        <v>297.94099999999997</v>
      </c>
      <c r="E162" s="41">
        <v>729.47900000000004</v>
      </c>
      <c r="F162" s="35">
        <v>1150</v>
      </c>
      <c r="G162" s="35">
        <v>100</v>
      </c>
      <c r="H162" s="43">
        <v>600</v>
      </c>
      <c r="I162" s="35">
        <v>695</v>
      </c>
      <c r="J162" s="35">
        <v>50</v>
      </c>
      <c r="K162" s="36"/>
      <c r="L162" s="36"/>
      <c r="M162" s="36"/>
      <c r="N162" s="36"/>
      <c r="O162" s="36"/>
      <c r="P162" s="36"/>
      <c r="Q162" s="36"/>
      <c r="R162" s="36"/>
      <c r="S162" s="36"/>
      <c r="T162" s="36"/>
    </row>
    <row r="163" spans="1:20" ht="15.75">
      <c r="A163" s="13">
        <v>46447</v>
      </c>
      <c r="B163" s="44">
        <v>31</v>
      </c>
      <c r="C163" s="35">
        <v>122.58</v>
      </c>
      <c r="D163" s="35">
        <v>297.94099999999997</v>
      </c>
      <c r="E163" s="41">
        <v>729.47900000000004</v>
      </c>
      <c r="F163" s="35">
        <v>1150</v>
      </c>
      <c r="G163" s="35">
        <v>100</v>
      </c>
      <c r="H163" s="43">
        <v>600</v>
      </c>
      <c r="I163" s="35">
        <v>695</v>
      </c>
      <c r="J163" s="35">
        <v>50</v>
      </c>
      <c r="K163" s="36"/>
      <c r="L163" s="36"/>
      <c r="M163" s="36"/>
      <c r="N163" s="36"/>
      <c r="O163" s="36"/>
      <c r="P163" s="36"/>
      <c r="Q163" s="36"/>
      <c r="R163" s="36"/>
      <c r="S163" s="36"/>
      <c r="T163" s="36"/>
    </row>
    <row r="164" spans="1:20" ht="15.75">
      <c r="A164" s="13">
        <v>46478</v>
      </c>
      <c r="B164" s="44">
        <v>30</v>
      </c>
      <c r="C164" s="35">
        <v>141.29300000000001</v>
      </c>
      <c r="D164" s="35">
        <v>267.99299999999999</v>
      </c>
      <c r="E164" s="41">
        <v>829.71400000000006</v>
      </c>
      <c r="F164" s="35">
        <v>1239</v>
      </c>
      <c r="G164" s="35">
        <v>100</v>
      </c>
      <c r="H164" s="43">
        <v>600</v>
      </c>
      <c r="I164" s="35">
        <v>695</v>
      </c>
      <c r="J164" s="35">
        <v>50</v>
      </c>
      <c r="K164" s="36"/>
      <c r="L164" s="36"/>
      <c r="M164" s="36"/>
      <c r="N164" s="36"/>
      <c r="O164" s="36"/>
      <c r="P164" s="36"/>
      <c r="Q164" s="36"/>
      <c r="R164" s="36"/>
      <c r="S164" s="36"/>
      <c r="T164" s="36"/>
    </row>
    <row r="165" spans="1:20" ht="15.75">
      <c r="A165" s="13">
        <v>46508</v>
      </c>
      <c r="B165" s="44">
        <v>31</v>
      </c>
      <c r="C165" s="35">
        <v>194.20500000000001</v>
      </c>
      <c r="D165" s="35">
        <v>267.46600000000001</v>
      </c>
      <c r="E165" s="41">
        <v>812.32899999999995</v>
      </c>
      <c r="F165" s="35">
        <v>1274</v>
      </c>
      <c r="G165" s="35">
        <v>75</v>
      </c>
      <c r="H165" s="43">
        <v>600</v>
      </c>
      <c r="I165" s="35">
        <v>695</v>
      </c>
      <c r="J165" s="35">
        <v>50</v>
      </c>
      <c r="K165" s="36"/>
      <c r="L165" s="36"/>
      <c r="M165" s="36"/>
      <c r="N165" s="36"/>
      <c r="O165" s="36"/>
      <c r="P165" s="36"/>
      <c r="Q165" s="36"/>
      <c r="R165" s="36"/>
      <c r="S165" s="36"/>
      <c r="T165" s="36"/>
    </row>
    <row r="166" spans="1:20" ht="15.75">
      <c r="A166" s="13">
        <v>46539</v>
      </c>
      <c r="B166" s="44">
        <v>30</v>
      </c>
      <c r="C166" s="35">
        <v>194.20500000000001</v>
      </c>
      <c r="D166" s="35">
        <v>267.46600000000001</v>
      </c>
      <c r="E166" s="41">
        <v>812.32899999999995</v>
      </c>
      <c r="F166" s="35">
        <v>1274</v>
      </c>
      <c r="G166" s="35">
        <v>50</v>
      </c>
      <c r="H166" s="43">
        <v>600</v>
      </c>
      <c r="I166" s="35">
        <v>695</v>
      </c>
      <c r="J166" s="35">
        <v>50</v>
      </c>
      <c r="K166" s="36"/>
      <c r="L166" s="36"/>
      <c r="M166" s="36"/>
      <c r="N166" s="36"/>
      <c r="O166" s="36"/>
      <c r="P166" s="36"/>
      <c r="Q166" s="36"/>
      <c r="R166" s="36"/>
      <c r="S166" s="36"/>
      <c r="T166" s="36"/>
    </row>
    <row r="167" spans="1:20" ht="15.75">
      <c r="A167" s="13">
        <v>46569</v>
      </c>
      <c r="B167" s="44">
        <v>31</v>
      </c>
      <c r="C167" s="35">
        <v>194.20500000000001</v>
      </c>
      <c r="D167" s="35">
        <v>267.46600000000001</v>
      </c>
      <c r="E167" s="41">
        <v>812.32899999999995</v>
      </c>
      <c r="F167" s="35">
        <v>1274</v>
      </c>
      <c r="G167" s="35">
        <v>50</v>
      </c>
      <c r="H167" s="43">
        <v>600</v>
      </c>
      <c r="I167" s="35">
        <v>695</v>
      </c>
      <c r="J167" s="35">
        <v>0</v>
      </c>
      <c r="K167" s="36"/>
      <c r="L167" s="36"/>
      <c r="M167" s="36"/>
      <c r="N167" s="36"/>
      <c r="O167" s="36"/>
      <c r="P167" s="36"/>
      <c r="Q167" s="36"/>
      <c r="R167" s="36"/>
      <c r="S167" s="36"/>
      <c r="T167" s="36"/>
    </row>
    <row r="168" spans="1:20" ht="15.75">
      <c r="A168" s="13">
        <v>46600</v>
      </c>
      <c r="B168" s="44">
        <v>31</v>
      </c>
      <c r="C168" s="35">
        <v>194.20500000000001</v>
      </c>
      <c r="D168" s="35">
        <v>267.46600000000001</v>
      </c>
      <c r="E168" s="41">
        <v>812.32899999999995</v>
      </c>
      <c r="F168" s="35">
        <v>1274</v>
      </c>
      <c r="G168" s="35">
        <v>50</v>
      </c>
      <c r="H168" s="43">
        <v>600</v>
      </c>
      <c r="I168" s="35">
        <v>695</v>
      </c>
      <c r="J168" s="35">
        <v>0</v>
      </c>
      <c r="K168" s="36"/>
      <c r="L168" s="36"/>
      <c r="M168" s="36"/>
      <c r="N168" s="36"/>
      <c r="O168" s="36"/>
      <c r="P168" s="36"/>
      <c r="Q168" s="36"/>
      <c r="R168" s="36"/>
      <c r="S168" s="36"/>
      <c r="T168" s="36"/>
    </row>
    <row r="169" spans="1:20" ht="15.75">
      <c r="A169" s="13">
        <v>46631</v>
      </c>
      <c r="B169" s="44">
        <v>30</v>
      </c>
      <c r="C169" s="35">
        <v>194.20500000000001</v>
      </c>
      <c r="D169" s="35">
        <v>267.46600000000001</v>
      </c>
      <c r="E169" s="41">
        <v>812.32899999999995</v>
      </c>
      <c r="F169" s="35">
        <v>1274</v>
      </c>
      <c r="G169" s="35">
        <v>50</v>
      </c>
      <c r="H169" s="43">
        <v>600</v>
      </c>
      <c r="I169" s="35">
        <v>695</v>
      </c>
      <c r="J169" s="35">
        <v>0</v>
      </c>
      <c r="K169" s="36"/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1:20" ht="15.75">
      <c r="A170" s="13">
        <v>46661</v>
      </c>
      <c r="B170" s="44">
        <v>31</v>
      </c>
      <c r="C170" s="35">
        <v>131.881</v>
      </c>
      <c r="D170" s="35">
        <v>277.16699999999997</v>
      </c>
      <c r="E170" s="41">
        <v>829.952</v>
      </c>
      <c r="F170" s="35">
        <v>1239</v>
      </c>
      <c r="G170" s="35">
        <v>75</v>
      </c>
      <c r="H170" s="43">
        <v>600</v>
      </c>
      <c r="I170" s="35">
        <v>695</v>
      </c>
      <c r="J170" s="35">
        <v>0</v>
      </c>
      <c r="K170" s="36"/>
      <c r="L170" s="36"/>
      <c r="M170" s="36"/>
      <c r="N170" s="36"/>
      <c r="O170" s="36"/>
      <c r="P170" s="36"/>
      <c r="Q170" s="36"/>
      <c r="R170" s="36"/>
      <c r="S170" s="36"/>
      <c r="T170" s="36"/>
    </row>
    <row r="171" spans="1:20" ht="15.75">
      <c r="A171" s="13">
        <v>46692</v>
      </c>
      <c r="B171" s="44">
        <v>30</v>
      </c>
      <c r="C171" s="35">
        <v>122.58</v>
      </c>
      <c r="D171" s="35">
        <v>297.94099999999997</v>
      </c>
      <c r="E171" s="41">
        <v>729.47900000000004</v>
      </c>
      <c r="F171" s="35">
        <v>1150</v>
      </c>
      <c r="G171" s="35">
        <v>100</v>
      </c>
      <c r="H171" s="43">
        <v>600</v>
      </c>
      <c r="I171" s="35">
        <v>695</v>
      </c>
      <c r="J171" s="35">
        <v>50</v>
      </c>
      <c r="K171" s="36"/>
      <c r="L171" s="36"/>
      <c r="M171" s="36"/>
      <c r="N171" s="36"/>
      <c r="O171" s="36"/>
      <c r="P171" s="36"/>
      <c r="Q171" s="36"/>
      <c r="R171" s="36"/>
      <c r="S171" s="36"/>
      <c r="T171" s="36"/>
    </row>
    <row r="172" spans="1:20" ht="15.75">
      <c r="A172" s="13">
        <v>46722</v>
      </c>
      <c r="B172" s="44">
        <v>31</v>
      </c>
      <c r="C172" s="35">
        <v>122.58</v>
      </c>
      <c r="D172" s="35">
        <v>297.94099999999997</v>
      </c>
      <c r="E172" s="41">
        <v>729.47900000000004</v>
      </c>
      <c r="F172" s="35">
        <v>1150</v>
      </c>
      <c r="G172" s="35">
        <v>100</v>
      </c>
      <c r="H172" s="43">
        <v>600</v>
      </c>
      <c r="I172" s="35">
        <v>695</v>
      </c>
      <c r="J172" s="35">
        <v>50</v>
      </c>
      <c r="K172" s="36"/>
      <c r="L172" s="36"/>
      <c r="M172" s="36"/>
      <c r="N172" s="36"/>
      <c r="O172" s="36"/>
      <c r="P172" s="36"/>
      <c r="Q172" s="36"/>
      <c r="R172" s="36"/>
      <c r="S172" s="36"/>
      <c r="T172" s="36"/>
    </row>
    <row r="173" spans="1:20" ht="15.75">
      <c r="A173" s="13">
        <v>46753</v>
      </c>
      <c r="B173" s="44">
        <v>31</v>
      </c>
      <c r="C173" s="35">
        <v>122.58</v>
      </c>
      <c r="D173" s="35">
        <v>297.94099999999997</v>
      </c>
      <c r="E173" s="41">
        <v>729.47900000000004</v>
      </c>
      <c r="F173" s="35">
        <v>1150</v>
      </c>
      <c r="G173" s="35">
        <v>100</v>
      </c>
      <c r="H173" s="43">
        <v>600</v>
      </c>
      <c r="I173" s="35">
        <v>695</v>
      </c>
      <c r="J173" s="35">
        <v>50</v>
      </c>
      <c r="K173" s="36"/>
      <c r="L173" s="36"/>
      <c r="M173" s="36"/>
      <c r="N173" s="36"/>
      <c r="O173" s="36"/>
      <c r="P173" s="36"/>
      <c r="Q173" s="36"/>
      <c r="R173" s="36"/>
      <c r="S173" s="36"/>
      <c r="T173" s="36"/>
    </row>
    <row r="174" spans="1:20" ht="15.75">
      <c r="A174" s="13">
        <v>46784</v>
      </c>
      <c r="B174" s="44">
        <v>29</v>
      </c>
      <c r="C174" s="35">
        <v>122.58</v>
      </c>
      <c r="D174" s="35">
        <v>297.94099999999997</v>
      </c>
      <c r="E174" s="41">
        <v>729.47900000000004</v>
      </c>
      <c r="F174" s="35">
        <v>1150</v>
      </c>
      <c r="G174" s="35">
        <v>100</v>
      </c>
      <c r="H174" s="43">
        <v>600</v>
      </c>
      <c r="I174" s="35">
        <v>695</v>
      </c>
      <c r="J174" s="35">
        <v>50</v>
      </c>
      <c r="K174" s="36"/>
      <c r="L174" s="36"/>
      <c r="M174" s="36"/>
      <c r="N174" s="36"/>
      <c r="O174" s="36"/>
      <c r="P174" s="36"/>
      <c r="Q174" s="36"/>
      <c r="R174" s="36"/>
      <c r="S174" s="36"/>
      <c r="T174" s="36"/>
    </row>
    <row r="175" spans="1:20" ht="15.75">
      <c r="A175" s="13">
        <v>46813</v>
      </c>
      <c r="B175" s="44">
        <v>31</v>
      </c>
      <c r="C175" s="35">
        <v>122.58</v>
      </c>
      <c r="D175" s="35">
        <v>297.94099999999997</v>
      </c>
      <c r="E175" s="41">
        <v>729.47900000000004</v>
      </c>
      <c r="F175" s="35">
        <v>1150</v>
      </c>
      <c r="G175" s="35">
        <v>100</v>
      </c>
      <c r="H175" s="43">
        <v>600</v>
      </c>
      <c r="I175" s="35">
        <v>695</v>
      </c>
      <c r="J175" s="35">
        <v>50</v>
      </c>
      <c r="K175" s="36"/>
      <c r="L175" s="36"/>
      <c r="M175" s="36"/>
      <c r="N175" s="36"/>
      <c r="O175" s="36"/>
      <c r="P175" s="36"/>
      <c r="Q175" s="36"/>
      <c r="R175" s="36"/>
      <c r="S175" s="36"/>
      <c r="T175" s="36"/>
    </row>
    <row r="176" spans="1:20" ht="15.75">
      <c r="A176" s="13">
        <v>46844</v>
      </c>
      <c r="B176" s="44">
        <v>30</v>
      </c>
      <c r="C176" s="35">
        <v>141.29300000000001</v>
      </c>
      <c r="D176" s="35">
        <v>267.99299999999999</v>
      </c>
      <c r="E176" s="41">
        <v>829.71400000000006</v>
      </c>
      <c r="F176" s="35">
        <v>1239</v>
      </c>
      <c r="G176" s="35">
        <v>100</v>
      </c>
      <c r="H176" s="43">
        <v>600</v>
      </c>
      <c r="I176" s="35">
        <v>695</v>
      </c>
      <c r="J176" s="35">
        <v>50</v>
      </c>
      <c r="K176" s="36"/>
      <c r="L176" s="36"/>
      <c r="M176" s="36"/>
      <c r="N176" s="36"/>
      <c r="O176" s="36"/>
      <c r="P176" s="36"/>
      <c r="Q176" s="36"/>
      <c r="R176" s="36"/>
      <c r="S176" s="36"/>
      <c r="T176" s="36"/>
    </row>
    <row r="177" spans="1:20" ht="15.75">
      <c r="A177" s="13">
        <v>46874</v>
      </c>
      <c r="B177" s="44">
        <v>31</v>
      </c>
      <c r="C177" s="35">
        <v>194.20500000000001</v>
      </c>
      <c r="D177" s="35">
        <v>267.46600000000001</v>
      </c>
      <c r="E177" s="41">
        <v>812.32899999999995</v>
      </c>
      <c r="F177" s="35">
        <v>1274</v>
      </c>
      <c r="G177" s="35">
        <v>75</v>
      </c>
      <c r="H177" s="43">
        <v>600</v>
      </c>
      <c r="I177" s="35">
        <v>695</v>
      </c>
      <c r="J177" s="35">
        <v>50</v>
      </c>
      <c r="K177" s="36"/>
      <c r="L177" s="36"/>
      <c r="M177" s="36"/>
      <c r="N177" s="36"/>
      <c r="O177" s="36"/>
      <c r="P177" s="36"/>
      <c r="Q177" s="36"/>
      <c r="R177" s="36"/>
      <c r="S177" s="36"/>
      <c r="T177" s="36"/>
    </row>
    <row r="178" spans="1:20" ht="15.75">
      <c r="A178" s="13">
        <v>46905</v>
      </c>
      <c r="B178" s="44">
        <v>30</v>
      </c>
      <c r="C178" s="35">
        <v>194.20500000000001</v>
      </c>
      <c r="D178" s="35">
        <v>267.46600000000001</v>
      </c>
      <c r="E178" s="41">
        <v>812.32899999999995</v>
      </c>
      <c r="F178" s="35">
        <v>1274</v>
      </c>
      <c r="G178" s="35">
        <v>50</v>
      </c>
      <c r="H178" s="43">
        <v>600</v>
      </c>
      <c r="I178" s="35">
        <v>695</v>
      </c>
      <c r="J178" s="35">
        <v>50</v>
      </c>
      <c r="K178" s="36"/>
      <c r="L178" s="36"/>
      <c r="M178" s="36"/>
      <c r="N178" s="36"/>
      <c r="O178" s="36"/>
      <c r="P178" s="36"/>
      <c r="Q178" s="36"/>
      <c r="R178" s="36"/>
      <c r="S178" s="36"/>
      <c r="T178" s="36"/>
    </row>
    <row r="179" spans="1:20" ht="15.75">
      <c r="A179" s="13">
        <v>46935</v>
      </c>
      <c r="B179" s="44">
        <v>31</v>
      </c>
      <c r="C179" s="35">
        <v>194.20500000000001</v>
      </c>
      <c r="D179" s="35">
        <v>267.46600000000001</v>
      </c>
      <c r="E179" s="41">
        <v>812.32899999999995</v>
      </c>
      <c r="F179" s="35">
        <v>1274</v>
      </c>
      <c r="G179" s="35">
        <v>50</v>
      </c>
      <c r="H179" s="43">
        <v>600</v>
      </c>
      <c r="I179" s="35">
        <v>695</v>
      </c>
      <c r="J179" s="35">
        <v>0</v>
      </c>
      <c r="K179" s="36"/>
      <c r="L179" s="36"/>
      <c r="M179" s="36"/>
      <c r="N179" s="36"/>
      <c r="O179" s="36"/>
      <c r="P179" s="36"/>
      <c r="Q179" s="36"/>
      <c r="R179" s="36"/>
      <c r="S179" s="36"/>
      <c r="T179" s="36"/>
    </row>
    <row r="180" spans="1:20" ht="15.75">
      <c r="A180" s="13">
        <v>46966</v>
      </c>
      <c r="B180" s="44">
        <v>31</v>
      </c>
      <c r="C180" s="35">
        <v>194.20500000000001</v>
      </c>
      <c r="D180" s="35">
        <v>267.46600000000001</v>
      </c>
      <c r="E180" s="41">
        <v>812.32899999999995</v>
      </c>
      <c r="F180" s="35">
        <v>1274</v>
      </c>
      <c r="G180" s="35">
        <v>50</v>
      </c>
      <c r="H180" s="43">
        <v>600</v>
      </c>
      <c r="I180" s="35">
        <v>695</v>
      </c>
      <c r="J180" s="35">
        <v>0</v>
      </c>
      <c r="K180" s="36"/>
      <c r="L180" s="36"/>
      <c r="M180" s="36"/>
      <c r="N180" s="36"/>
      <c r="O180" s="36"/>
      <c r="P180" s="36"/>
      <c r="Q180" s="36"/>
      <c r="R180" s="36"/>
      <c r="S180" s="36"/>
      <c r="T180" s="36"/>
    </row>
    <row r="181" spans="1:20" ht="15.75">
      <c r="A181" s="13">
        <v>46997</v>
      </c>
      <c r="B181" s="44">
        <v>30</v>
      </c>
      <c r="C181" s="35">
        <v>194.20500000000001</v>
      </c>
      <c r="D181" s="35">
        <v>267.46600000000001</v>
      </c>
      <c r="E181" s="41">
        <v>812.32899999999995</v>
      </c>
      <c r="F181" s="35">
        <v>1274</v>
      </c>
      <c r="G181" s="35">
        <v>50</v>
      </c>
      <c r="H181" s="43">
        <v>600</v>
      </c>
      <c r="I181" s="35">
        <v>695</v>
      </c>
      <c r="J181" s="35">
        <v>0</v>
      </c>
      <c r="K181" s="36"/>
      <c r="L181" s="36"/>
      <c r="M181" s="36"/>
      <c r="N181" s="36"/>
      <c r="O181" s="36"/>
      <c r="P181" s="36"/>
      <c r="Q181" s="36"/>
      <c r="R181" s="36"/>
      <c r="S181" s="36"/>
      <c r="T181" s="36"/>
    </row>
    <row r="182" spans="1:20" ht="15.75">
      <c r="A182" s="13">
        <v>47027</v>
      </c>
      <c r="B182" s="44">
        <v>31</v>
      </c>
      <c r="C182" s="35">
        <v>131.881</v>
      </c>
      <c r="D182" s="35">
        <v>277.16699999999997</v>
      </c>
      <c r="E182" s="41">
        <v>829.952</v>
      </c>
      <c r="F182" s="35">
        <v>1239</v>
      </c>
      <c r="G182" s="35">
        <v>75</v>
      </c>
      <c r="H182" s="43">
        <v>600</v>
      </c>
      <c r="I182" s="35">
        <v>695</v>
      </c>
      <c r="J182" s="35">
        <v>0</v>
      </c>
      <c r="K182" s="36"/>
      <c r="L182" s="36"/>
      <c r="M182" s="36"/>
      <c r="N182" s="36"/>
      <c r="O182" s="36"/>
      <c r="P182" s="36"/>
      <c r="Q182" s="36"/>
      <c r="R182" s="36"/>
      <c r="S182" s="36"/>
      <c r="T182" s="36"/>
    </row>
    <row r="183" spans="1:20" ht="15.75">
      <c r="A183" s="13">
        <v>47058</v>
      </c>
      <c r="B183" s="44">
        <v>30</v>
      </c>
      <c r="C183" s="35">
        <v>122.58</v>
      </c>
      <c r="D183" s="35">
        <v>297.94099999999997</v>
      </c>
      <c r="E183" s="41">
        <v>729.47900000000004</v>
      </c>
      <c r="F183" s="35">
        <v>1150</v>
      </c>
      <c r="G183" s="35">
        <v>100</v>
      </c>
      <c r="H183" s="43">
        <v>600</v>
      </c>
      <c r="I183" s="35">
        <v>695</v>
      </c>
      <c r="J183" s="35">
        <v>50</v>
      </c>
      <c r="K183" s="36"/>
      <c r="L183" s="36"/>
      <c r="M183" s="36"/>
      <c r="N183" s="36"/>
      <c r="O183" s="36"/>
      <c r="P183" s="36"/>
      <c r="Q183" s="36"/>
      <c r="R183" s="36"/>
      <c r="S183" s="36"/>
      <c r="T183" s="36"/>
    </row>
    <row r="184" spans="1:20" ht="15.75">
      <c r="A184" s="13">
        <v>47088</v>
      </c>
      <c r="B184" s="44">
        <v>31</v>
      </c>
      <c r="C184" s="35">
        <v>122.58</v>
      </c>
      <c r="D184" s="35">
        <v>297.94099999999997</v>
      </c>
      <c r="E184" s="41">
        <v>729.47900000000004</v>
      </c>
      <c r="F184" s="35">
        <v>1150</v>
      </c>
      <c r="G184" s="35">
        <v>100</v>
      </c>
      <c r="H184" s="43">
        <v>600</v>
      </c>
      <c r="I184" s="35">
        <v>695</v>
      </c>
      <c r="J184" s="35">
        <v>50</v>
      </c>
      <c r="K184" s="36"/>
      <c r="L184" s="36"/>
      <c r="M184" s="36"/>
      <c r="N184" s="36"/>
      <c r="O184" s="36"/>
      <c r="P184" s="36"/>
      <c r="Q184" s="36"/>
      <c r="R184" s="36"/>
      <c r="S184" s="36"/>
      <c r="T184" s="36"/>
    </row>
    <row r="185" spans="1:20" ht="15.75">
      <c r="A185" s="13">
        <v>47119</v>
      </c>
      <c r="B185" s="44">
        <v>31</v>
      </c>
      <c r="C185" s="35">
        <v>122.58</v>
      </c>
      <c r="D185" s="35">
        <v>297.94099999999997</v>
      </c>
      <c r="E185" s="41">
        <v>729.47900000000004</v>
      </c>
      <c r="F185" s="35">
        <v>1150</v>
      </c>
      <c r="G185" s="35">
        <v>100</v>
      </c>
      <c r="H185" s="43">
        <v>600</v>
      </c>
      <c r="I185" s="35">
        <v>695</v>
      </c>
      <c r="J185" s="35">
        <v>50</v>
      </c>
      <c r="K185" s="36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ht="15.75">
      <c r="A186" s="13">
        <v>47150</v>
      </c>
      <c r="B186" s="44">
        <v>28</v>
      </c>
      <c r="C186" s="35">
        <v>122.58</v>
      </c>
      <c r="D186" s="35">
        <v>297.94099999999997</v>
      </c>
      <c r="E186" s="41">
        <v>729.47900000000004</v>
      </c>
      <c r="F186" s="35">
        <v>1150</v>
      </c>
      <c r="G186" s="35">
        <v>100</v>
      </c>
      <c r="H186" s="43">
        <v>600</v>
      </c>
      <c r="I186" s="35">
        <v>695</v>
      </c>
      <c r="J186" s="35">
        <v>50</v>
      </c>
      <c r="K186" s="36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ht="15.75">
      <c r="A187" s="13">
        <v>47178</v>
      </c>
      <c r="B187" s="44">
        <v>31</v>
      </c>
      <c r="C187" s="35">
        <v>122.58</v>
      </c>
      <c r="D187" s="35">
        <v>297.94099999999997</v>
      </c>
      <c r="E187" s="41">
        <v>729.47900000000004</v>
      </c>
      <c r="F187" s="35">
        <v>1150</v>
      </c>
      <c r="G187" s="35">
        <v>100</v>
      </c>
      <c r="H187" s="43">
        <v>600</v>
      </c>
      <c r="I187" s="35">
        <v>695</v>
      </c>
      <c r="J187" s="35">
        <v>50</v>
      </c>
      <c r="K187" s="36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ht="15.75">
      <c r="A188" s="13">
        <v>47209</v>
      </c>
      <c r="B188" s="44">
        <v>30</v>
      </c>
      <c r="C188" s="35">
        <v>141.29300000000001</v>
      </c>
      <c r="D188" s="35">
        <v>267.99299999999999</v>
      </c>
      <c r="E188" s="41">
        <v>829.71400000000006</v>
      </c>
      <c r="F188" s="35">
        <v>1239</v>
      </c>
      <c r="G188" s="35">
        <v>100</v>
      </c>
      <c r="H188" s="43">
        <v>600</v>
      </c>
      <c r="I188" s="35">
        <v>695</v>
      </c>
      <c r="J188" s="35">
        <v>50</v>
      </c>
      <c r="K188" s="36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ht="15.75">
      <c r="A189" s="13">
        <v>47239</v>
      </c>
      <c r="B189" s="44">
        <v>31</v>
      </c>
      <c r="C189" s="35">
        <v>194.20500000000001</v>
      </c>
      <c r="D189" s="35">
        <v>267.46600000000001</v>
      </c>
      <c r="E189" s="41">
        <v>812.32899999999995</v>
      </c>
      <c r="F189" s="35">
        <v>1274</v>
      </c>
      <c r="G189" s="35">
        <v>75</v>
      </c>
      <c r="H189" s="43">
        <v>600</v>
      </c>
      <c r="I189" s="35">
        <v>695</v>
      </c>
      <c r="J189" s="35">
        <v>50</v>
      </c>
      <c r="K189" s="36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ht="15.75">
      <c r="A190" s="13">
        <v>47270</v>
      </c>
      <c r="B190" s="44">
        <v>30</v>
      </c>
      <c r="C190" s="35">
        <v>194.20500000000001</v>
      </c>
      <c r="D190" s="35">
        <v>267.46600000000001</v>
      </c>
      <c r="E190" s="41">
        <v>812.32899999999995</v>
      </c>
      <c r="F190" s="35">
        <v>1274</v>
      </c>
      <c r="G190" s="35">
        <v>50</v>
      </c>
      <c r="H190" s="43">
        <v>600</v>
      </c>
      <c r="I190" s="35">
        <v>695</v>
      </c>
      <c r="J190" s="35">
        <v>50</v>
      </c>
      <c r="K190" s="36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ht="15.75">
      <c r="A191" s="13">
        <v>47300</v>
      </c>
      <c r="B191" s="44">
        <v>31</v>
      </c>
      <c r="C191" s="35">
        <v>194.20500000000001</v>
      </c>
      <c r="D191" s="35">
        <v>267.46600000000001</v>
      </c>
      <c r="E191" s="41">
        <v>812.32899999999995</v>
      </c>
      <c r="F191" s="35">
        <v>1274</v>
      </c>
      <c r="G191" s="35">
        <v>50</v>
      </c>
      <c r="H191" s="43">
        <v>600</v>
      </c>
      <c r="I191" s="35">
        <v>695</v>
      </c>
      <c r="J191" s="35">
        <v>0</v>
      </c>
      <c r="K191" s="36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ht="15.75">
      <c r="A192" s="13">
        <v>47331</v>
      </c>
      <c r="B192" s="44">
        <v>31</v>
      </c>
      <c r="C192" s="35">
        <v>194.20500000000001</v>
      </c>
      <c r="D192" s="35">
        <v>267.46600000000001</v>
      </c>
      <c r="E192" s="41">
        <v>812.32899999999995</v>
      </c>
      <c r="F192" s="35">
        <v>1274</v>
      </c>
      <c r="G192" s="35">
        <v>50</v>
      </c>
      <c r="H192" s="43">
        <v>600</v>
      </c>
      <c r="I192" s="35">
        <v>695</v>
      </c>
      <c r="J192" s="35">
        <v>0</v>
      </c>
      <c r="K192" s="36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ht="15.75">
      <c r="A193" s="13">
        <v>47362</v>
      </c>
      <c r="B193" s="44">
        <v>30</v>
      </c>
      <c r="C193" s="35">
        <v>194.20500000000001</v>
      </c>
      <c r="D193" s="35">
        <v>267.46600000000001</v>
      </c>
      <c r="E193" s="41">
        <v>812.32899999999995</v>
      </c>
      <c r="F193" s="35">
        <v>1274</v>
      </c>
      <c r="G193" s="35">
        <v>50</v>
      </c>
      <c r="H193" s="43">
        <v>600</v>
      </c>
      <c r="I193" s="35">
        <v>695</v>
      </c>
      <c r="J193" s="35">
        <v>0</v>
      </c>
      <c r="K193" s="36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ht="15.75">
      <c r="A194" s="13">
        <v>47392</v>
      </c>
      <c r="B194" s="44">
        <v>31</v>
      </c>
      <c r="C194" s="35">
        <v>131.881</v>
      </c>
      <c r="D194" s="35">
        <v>277.16699999999997</v>
      </c>
      <c r="E194" s="41">
        <v>829.952</v>
      </c>
      <c r="F194" s="35">
        <v>1239</v>
      </c>
      <c r="G194" s="35">
        <v>75</v>
      </c>
      <c r="H194" s="43">
        <v>600</v>
      </c>
      <c r="I194" s="35">
        <v>695</v>
      </c>
      <c r="J194" s="35">
        <v>0</v>
      </c>
      <c r="K194" s="36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ht="15.75">
      <c r="A195" s="13">
        <v>47423</v>
      </c>
      <c r="B195" s="44">
        <v>30</v>
      </c>
      <c r="C195" s="35">
        <v>122.58</v>
      </c>
      <c r="D195" s="35">
        <v>297.94099999999997</v>
      </c>
      <c r="E195" s="41">
        <v>729.47900000000004</v>
      </c>
      <c r="F195" s="35">
        <v>1150</v>
      </c>
      <c r="G195" s="35">
        <v>100</v>
      </c>
      <c r="H195" s="43">
        <v>600</v>
      </c>
      <c r="I195" s="35">
        <v>695</v>
      </c>
      <c r="J195" s="35">
        <v>50</v>
      </c>
      <c r="K195" s="36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ht="15.75">
      <c r="A196" s="13">
        <v>47453</v>
      </c>
      <c r="B196" s="44">
        <v>31</v>
      </c>
      <c r="C196" s="35">
        <v>122.58</v>
      </c>
      <c r="D196" s="35">
        <v>297.94099999999997</v>
      </c>
      <c r="E196" s="41">
        <v>729.47900000000004</v>
      </c>
      <c r="F196" s="35">
        <v>1150</v>
      </c>
      <c r="G196" s="35">
        <v>100</v>
      </c>
      <c r="H196" s="43">
        <v>600</v>
      </c>
      <c r="I196" s="35">
        <v>695</v>
      </c>
      <c r="J196" s="35">
        <v>50</v>
      </c>
      <c r="K196" s="36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ht="15.75">
      <c r="A197" s="13">
        <v>47484</v>
      </c>
      <c r="B197" s="44">
        <v>31</v>
      </c>
      <c r="C197" s="35">
        <v>122.58</v>
      </c>
      <c r="D197" s="35">
        <v>297.94099999999997</v>
      </c>
      <c r="E197" s="41">
        <v>729.47900000000004</v>
      </c>
      <c r="F197" s="35">
        <v>1150</v>
      </c>
      <c r="G197" s="35">
        <v>100</v>
      </c>
      <c r="H197" s="43">
        <v>600</v>
      </c>
      <c r="I197" s="35">
        <v>695</v>
      </c>
      <c r="J197" s="35">
        <v>50</v>
      </c>
      <c r="K197" s="36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ht="15.75">
      <c r="A198" s="13">
        <v>47515</v>
      </c>
      <c r="B198" s="44">
        <v>28</v>
      </c>
      <c r="C198" s="35">
        <v>122.58</v>
      </c>
      <c r="D198" s="35">
        <v>297.94099999999997</v>
      </c>
      <c r="E198" s="41">
        <v>729.47900000000004</v>
      </c>
      <c r="F198" s="35">
        <v>1150</v>
      </c>
      <c r="G198" s="35">
        <v>100</v>
      </c>
      <c r="H198" s="43">
        <v>600</v>
      </c>
      <c r="I198" s="35">
        <v>695</v>
      </c>
      <c r="J198" s="35">
        <v>50</v>
      </c>
      <c r="K198" s="36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ht="15.75">
      <c r="A199" s="13">
        <v>47543</v>
      </c>
      <c r="B199" s="44">
        <v>31</v>
      </c>
      <c r="C199" s="35">
        <v>122.58</v>
      </c>
      <c r="D199" s="35">
        <v>297.94099999999997</v>
      </c>
      <c r="E199" s="41">
        <v>729.47900000000004</v>
      </c>
      <c r="F199" s="35">
        <v>1150</v>
      </c>
      <c r="G199" s="35">
        <v>100</v>
      </c>
      <c r="H199" s="43">
        <v>600</v>
      </c>
      <c r="I199" s="35">
        <v>695</v>
      </c>
      <c r="J199" s="35">
        <v>50</v>
      </c>
      <c r="K199" s="36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ht="15.75">
      <c r="A200" s="13">
        <v>47574</v>
      </c>
      <c r="B200" s="44">
        <v>30</v>
      </c>
      <c r="C200" s="35">
        <v>141.29300000000001</v>
      </c>
      <c r="D200" s="35">
        <v>267.99299999999999</v>
      </c>
      <c r="E200" s="41">
        <v>829.71400000000006</v>
      </c>
      <c r="F200" s="35">
        <v>1239</v>
      </c>
      <c r="G200" s="35">
        <v>100</v>
      </c>
      <c r="H200" s="43">
        <v>600</v>
      </c>
      <c r="I200" s="35">
        <v>695</v>
      </c>
      <c r="J200" s="35">
        <v>50</v>
      </c>
      <c r="K200" s="36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ht="15.75">
      <c r="A201" s="13">
        <v>47604</v>
      </c>
      <c r="B201" s="44">
        <v>31</v>
      </c>
      <c r="C201" s="35">
        <v>194.20500000000001</v>
      </c>
      <c r="D201" s="35">
        <v>267.46600000000001</v>
      </c>
      <c r="E201" s="41">
        <v>812.32899999999995</v>
      </c>
      <c r="F201" s="35">
        <v>1274</v>
      </c>
      <c r="G201" s="35">
        <v>75</v>
      </c>
      <c r="H201" s="43">
        <v>600</v>
      </c>
      <c r="I201" s="35">
        <v>695</v>
      </c>
      <c r="J201" s="35">
        <v>50</v>
      </c>
      <c r="K201" s="36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ht="15.75">
      <c r="A202" s="13">
        <v>47635</v>
      </c>
      <c r="B202" s="44">
        <v>30</v>
      </c>
      <c r="C202" s="35">
        <v>194.20500000000001</v>
      </c>
      <c r="D202" s="35">
        <v>267.46600000000001</v>
      </c>
      <c r="E202" s="41">
        <v>812.32899999999995</v>
      </c>
      <c r="F202" s="35">
        <v>1274</v>
      </c>
      <c r="G202" s="35">
        <v>50</v>
      </c>
      <c r="H202" s="43">
        <v>600</v>
      </c>
      <c r="I202" s="35">
        <v>695</v>
      </c>
      <c r="J202" s="35">
        <v>50</v>
      </c>
      <c r="K202" s="36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ht="15.75">
      <c r="A203" s="13">
        <v>47665</v>
      </c>
      <c r="B203" s="44">
        <v>31</v>
      </c>
      <c r="C203" s="35">
        <v>194.20500000000001</v>
      </c>
      <c r="D203" s="35">
        <v>267.46600000000001</v>
      </c>
      <c r="E203" s="41">
        <v>812.32899999999995</v>
      </c>
      <c r="F203" s="35">
        <v>1274</v>
      </c>
      <c r="G203" s="35">
        <v>50</v>
      </c>
      <c r="H203" s="43">
        <v>600</v>
      </c>
      <c r="I203" s="35">
        <v>695</v>
      </c>
      <c r="J203" s="35">
        <v>0</v>
      </c>
      <c r="K203" s="36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ht="15.75">
      <c r="A204" s="13">
        <v>47696</v>
      </c>
      <c r="B204" s="44">
        <v>31</v>
      </c>
      <c r="C204" s="35">
        <v>194.20500000000001</v>
      </c>
      <c r="D204" s="35">
        <v>267.46600000000001</v>
      </c>
      <c r="E204" s="41">
        <v>812.32899999999995</v>
      </c>
      <c r="F204" s="35">
        <v>1274</v>
      </c>
      <c r="G204" s="35">
        <v>50</v>
      </c>
      <c r="H204" s="43">
        <v>600</v>
      </c>
      <c r="I204" s="35">
        <v>695</v>
      </c>
      <c r="J204" s="35">
        <v>0</v>
      </c>
      <c r="K204" s="36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ht="15.75">
      <c r="A205" s="13">
        <v>47727</v>
      </c>
      <c r="B205" s="44">
        <v>30</v>
      </c>
      <c r="C205" s="35">
        <v>194.20500000000001</v>
      </c>
      <c r="D205" s="35">
        <v>267.46600000000001</v>
      </c>
      <c r="E205" s="41">
        <v>812.32899999999995</v>
      </c>
      <c r="F205" s="35">
        <v>1274</v>
      </c>
      <c r="G205" s="35">
        <v>50</v>
      </c>
      <c r="H205" s="43">
        <v>600</v>
      </c>
      <c r="I205" s="35">
        <v>695</v>
      </c>
      <c r="J205" s="35">
        <v>0</v>
      </c>
      <c r="K205" s="36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ht="15.75">
      <c r="A206" s="13">
        <v>47757</v>
      </c>
      <c r="B206" s="44">
        <v>31</v>
      </c>
      <c r="C206" s="35">
        <v>131.881</v>
      </c>
      <c r="D206" s="35">
        <v>277.16699999999997</v>
      </c>
      <c r="E206" s="41">
        <v>829.952</v>
      </c>
      <c r="F206" s="35">
        <v>1239</v>
      </c>
      <c r="G206" s="35">
        <v>75</v>
      </c>
      <c r="H206" s="43">
        <v>600</v>
      </c>
      <c r="I206" s="35">
        <v>695</v>
      </c>
      <c r="J206" s="35">
        <v>0</v>
      </c>
      <c r="K206" s="36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ht="15.75">
      <c r="A207" s="13">
        <v>47788</v>
      </c>
      <c r="B207" s="44">
        <v>30</v>
      </c>
      <c r="C207" s="35">
        <v>122.58</v>
      </c>
      <c r="D207" s="35">
        <v>297.94099999999997</v>
      </c>
      <c r="E207" s="41">
        <v>729.47900000000004</v>
      </c>
      <c r="F207" s="35">
        <v>1150</v>
      </c>
      <c r="G207" s="35">
        <v>100</v>
      </c>
      <c r="H207" s="43">
        <v>600</v>
      </c>
      <c r="I207" s="35">
        <v>695</v>
      </c>
      <c r="J207" s="35">
        <v>50</v>
      </c>
      <c r="K207" s="36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ht="15.75">
      <c r="A208" s="13">
        <v>47818</v>
      </c>
      <c r="B208" s="44">
        <v>31</v>
      </c>
      <c r="C208" s="35">
        <v>122.58</v>
      </c>
      <c r="D208" s="35">
        <v>297.94099999999997</v>
      </c>
      <c r="E208" s="41">
        <v>729.47900000000004</v>
      </c>
      <c r="F208" s="35">
        <v>1150</v>
      </c>
      <c r="G208" s="35">
        <v>100</v>
      </c>
      <c r="H208" s="43">
        <v>600</v>
      </c>
      <c r="I208" s="35">
        <v>695</v>
      </c>
      <c r="J208" s="35">
        <v>50</v>
      </c>
      <c r="K208" s="36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ht="15.75">
      <c r="A209" s="13">
        <v>47849</v>
      </c>
      <c r="B209" s="44">
        <v>31</v>
      </c>
      <c r="C209" s="35">
        <v>122.58</v>
      </c>
      <c r="D209" s="35">
        <v>297.94099999999997</v>
      </c>
      <c r="E209" s="41">
        <v>729.47900000000004</v>
      </c>
      <c r="F209" s="35">
        <v>1150</v>
      </c>
      <c r="G209" s="35">
        <v>100</v>
      </c>
      <c r="H209" s="43">
        <v>600</v>
      </c>
      <c r="I209" s="35">
        <v>695</v>
      </c>
      <c r="J209" s="35">
        <v>50</v>
      </c>
      <c r="K209" s="36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ht="15.75">
      <c r="A210" s="13">
        <v>47880</v>
      </c>
      <c r="B210" s="44">
        <v>28</v>
      </c>
      <c r="C210" s="35">
        <v>122.58</v>
      </c>
      <c r="D210" s="35">
        <v>297.94099999999997</v>
      </c>
      <c r="E210" s="41">
        <v>729.47900000000004</v>
      </c>
      <c r="F210" s="35">
        <v>1150</v>
      </c>
      <c r="G210" s="35">
        <v>100</v>
      </c>
      <c r="H210" s="43">
        <v>600</v>
      </c>
      <c r="I210" s="35">
        <v>695</v>
      </c>
      <c r="J210" s="35">
        <v>50</v>
      </c>
      <c r="K210" s="36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ht="15.75">
      <c r="A211" s="13">
        <v>47908</v>
      </c>
      <c r="B211" s="44">
        <v>31</v>
      </c>
      <c r="C211" s="35">
        <v>122.58</v>
      </c>
      <c r="D211" s="35">
        <v>297.94099999999997</v>
      </c>
      <c r="E211" s="41">
        <v>729.47900000000004</v>
      </c>
      <c r="F211" s="35">
        <v>1150</v>
      </c>
      <c r="G211" s="35">
        <v>100</v>
      </c>
      <c r="H211" s="43">
        <v>600</v>
      </c>
      <c r="I211" s="35">
        <v>695</v>
      </c>
      <c r="J211" s="35">
        <v>50</v>
      </c>
      <c r="K211" s="36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ht="15.75">
      <c r="A212" s="13">
        <v>47939</v>
      </c>
      <c r="B212" s="44">
        <v>30</v>
      </c>
      <c r="C212" s="35">
        <v>141.29300000000001</v>
      </c>
      <c r="D212" s="35">
        <v>267.99299999999999</v>
      </c>
      <c r="E212" s="41">
        <v>829.71400000000006</v>
      </c>
      <c r="F212" s="35">
        <v>1239</v>
      </c>
      <c r="G212" s="35">
        <v>100</v>
      </c>
      <c r="H212" s="43">
        <v>600</v>
      </c>
      <c r="I212" s="35">
        <v>695</v>
      </c>
      <c r="J212" s="35">
        <v>50</v>
      </c>
      <c r="K212" s="36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ht="15.75">
      <c r="A213" s="13">
        <v>47969</v>
      </c>
      <c r="B213" s="44">
        <v>31</v>
      </c>
      <c r="C213" s="35">
        <v>194.20500000000001</v>
      </c>
      <c r="D213" s="35">
        <v>267.46600000000001</v>
      </c>
      <c r="E213" s="41">
        <v>812.32899999999995</v>
      </c>
      <c r="F213" s="35">
        <v>1274</v>
      </c>
      <c r="G213" s="35">
        <v>75</v>
      </c>
      <c r="H213" s="43">
        <v>600</v>
      </c>
      <c r="I213" s="35">
        <v>695</v>
      </c>
      <c r="J213" s="35">
        <v>50</v>
      </c>
      <c r="K213" s="36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ht="15.75">
      <c r="A214" s="13">
        <v>48000</v>
      </c>
      <c r="B214" s="44">
        <v>30</v>
      </c>
      <c r="C214" s="35">
        <v>194.20500000000001</v>
      </c>
      <c r="D214" s="35">
        <v>267.46600000000001</v>
      </c>
      <c r="E214" s="41">
        <v>812.32899999999995</v>
      </c>
      <c r="F214" s="35">
        <v>1274</v>
      </c>
      <c r="G214" s="35">
        <v>50</v>
      </c>
      <c r="H214" s="43">
        <v>600</v>
      </c>
      <c r="I214" s="35">
        <v>695</v>
      </c>
      <c r="J214" s="35">
        <v>50</v>
      </c>
      <c r="K214" s="36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ht="15.75">
      <c r="A215" s="13">
        <v>48030</v>
      </c>
      <c r="B215" s="44">
        <v>31</v>
      </c>
      <c r="C215" s="35">
        <v>194.20500000000001</v>
      </c>
      <c r="D215" s="35">
        <v>267.46600000000001</v>
      </c>
      <c r="E215" s="41">
        <v>812.32899999999995</v>
      </c>
      <c r="F215" s="35">
        <v>1274</v>
      </c>
      <c r="G215" s="35">
        <v>50</v>
      </c>
      <c r="H215" s="43">
        <v>600</v>
      </c>
      <c r="I215" s="35">
        <v>695</v>
      </c>
      <c r="J215" s="35">
        <v>0</v>
      </c>
      <c r="K215" s="36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ht="15.75">
      <c r="A216" s="13">
        <v>48061</v>
      </c>
      <c r="B216" s="44">
        <v>31</v>
      </c>
      <c r="C216" s="35">
        <v>194.20500000000001</v>
      </c>
      <c r="D216" s="35">
        <v>267.46600000000001</v>
      </c>
      <c r="E216" s="41">
        <v>812.32899999999995</v>
      </c>
      <c r="F216" s="35">
        <v>1274</v>
      </c>
      <c r="G216" s="35">
        <v>50</v>
      </c>
      <c r="H216" s="43">
        <v>600</v>
      </c>
      <c r="I216" s="35">
        <v>695</v>
      </c>
      <c r="J216" s="35">
        <v>0</v>
      </c>
      <c r="K216" s="36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ht="15.75">
      <c r="A217" s="13">
        <v>48092</v>
      </c>
      <c r="B217" s="44">
        <v>30</v>
      </c>
      <c r="C217" s="35">
        <v>194.20500000000001</v>
      </c>
      <c r="D217" s="35">
        <v>267.46600000000001</v>
      </c>
      <c r="E217" s="41">
        <v>812.32899999999995</v>
      </c>
      <c r="F217" s="35">
        <v>1274</v>
      </c>
      <c r="G217" s="35">
        <v>50</v>
      </c>
      <c r="H217" s="43">
        <v>600</v>
      </c>
      <c r="I217" s="35">
        <v>695</v>
      </c>
      <c r="J217" s="35">
        <v>0</v>
      </c>
      <c r="K217" s="36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ht="15.75">
      <c r="A218" s="13">
        <v>48122</v>
      </c>
      <c r="B218" s="44">
        <v>31</v>
      </c>
      <c r="C218" s="35">
        <v>131.881</v>
      </c>
      <c r="D218" s="35">
        <v>277.16699999999997</v>
      </c>
      <c r="E218" s="41">
        <v>829.952</v>
      </c>
      <c r="F218" s="35">
        <v>1239</v>
      </c>
      <c r="G218" s="35">
        <v>75</v>
      </c>
      <c r="H218" s="43">
        <v>600</v>
      </c>
      <c r="I218" s="35">
        <v>695</v>
      </c>
      <c r="J218" s="35">
        <v>0</v>
      </c>
      <c r="K218" s="36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ht="15.75">
      <c r="A219" s="13">
        <v>48153</v>
      </c>
      <c r="B219" s="44">
        <v>30</v>
      </c>
      <c r="C219" s="35">
        <v>122.58</v>
      </c>
      <c r="D219" s="35">
        <v>297.94099999999997</v>
      </c>
      <c r="E219" s="41">
        <v>729.47900000000004</v>
      </c>
      <c r="F219" s="35">
        <v>1150</v>
      </c>
      <c r="G219" s="35">
        <v>100</v>
      </c>
      <c r="H219" s="43">
        <v>600</v>
      </c>
      <c r="I219" s="35">
        <v>695</v>
      </c>
      <c r="J219" s="35">
        <v>50</v>
      </c>
      <c r="K219" s="36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ht="15.75">
      <c r="A220" s="13">
        <v>48183</v>
      </c>
      <c r="B220" s="44">
        <v>31</v>
      </c>
      <c r="C220" s="35">
        <v>122.58</v>
      </c>
      <c r="D220" s="35">
        <v>297.94099999999997</v>
      </c>
      <c r="E220" s="41">
        <v>729.47900000000004</v>
      </c>
      <c r="F220" s="35">
        <v>1150</v>
      </c>
      <c r="G220" s="35">
        <v>100</v>
      </c>
      <c r="H220" s="43">
        <v>600</v>
      </c>
      <c r="I220" s="35">
        <v>695</v>
      </c>
      <c r="J220" s="35">
        <v>50</v>
      </c>
      <c r="K220" s="36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ht="15.75">
      <c r="A221" s="13">
        <v>48214</v>
      </c>
      <c r="B221" s="44">
        <v>31</v>
      </c>
      <c r="C221" s="35">
        <v>122.58</v>
      </c>
      <c r="D221" s="35">
        <v>297.94099999999997</v>
      </c>
      <c r="E221" s="41">
        <v>729.47900000000004</v>
      </c>
      <c r="F221" s="35">
        <v>1150</v>
      </c>
      <c r="G221" s="35">
        <v>100</v>
      </c>
      <c r="H221" s="43">
        <v>600</v>
      </c>
      <c r="I221" s="35">
        <v>695</v>
      </c>
      <c r="J221" s="35">
        <v>50</v>
      </c>
      <c r="K221" s="36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:20" ht="15.75">
      <c r="A222" s="13">
        <v>48245</v>
      </c>
      <c r="B222" s="44">
        <v>29</v>
      </c>
      <c r="C222" s="35">
        <v>122.58</v>
      </c>
      <c r="D222" s="35">
        <v>297.94099999999997</v>
      </c>
      <c r="E222" s="41">
        <v>729.47900000000004</v>
      </c>
      <c r="F222" s="35">
        <v>1150</v>
      </c>
      <c r="G222" s="35">
        <v>100</v>
      </c>
      <c r="H222" s="43">
        <v>600</v>
      </c>
      <c r="I222" s="35">
        <v>695</v>
      </c>
      <c r="J222" s="35">
        <v>50</v>
      </c>
      <c r="K222" s="36"/>
      <c r="L222" s="36"/>
      <c r="M222" s="36"/>
      <c r="N222" s="36"/>
      <c r="O222" s="36"/>
      <c r="P222" s="36"/>
      <c r="Q222" s="36"/>
      <c r="R222" s="36"/>
      <c r="S222" s="36"/>
      <c r="T222" s="36"/>
    </row>
    <row r="223" spans="1:20" ht="15.75">
      <c r="A223" s="13">
        <v>48274</v>
      </c>
      <c r="B223" s="44">
        <v>31</v>
      </c>
      <c r="C223" s="35">
        <v>122.58</v>
      </c>
      <c r="D223" s="35">
        <v>297.94099999999997</v>
      </c>
      <c r="E223" s="41">
        <v>729.47900000000004</v>
      </c>
      <c r="F223" s="35">
        <v>1150</v>
      </c>
      <c r="G223" s="35">
        <v>100</v>
      </c>
      <c r="H223" s="43">
        <v>600</v>
      </c>
      <c r="I223" s="35">
        <v>695</v>
      </c>
      <c r="J223" s="35">
        <v>50</v>
      </c>
      <c r="K223" s="36"/>
      <c r="L223" s="36"/>
      <c r="M223" s="36"/>
      <c r="N223" s="36"/>
      <c r="O223" s="36"/>
      <c r="P223" s="36"/>
      <c r="Q223" s="36"/>
      <c r="R223" s="36"/>
      <c r="S223" s="36"/>
      <c r="T223" s="36"/>
    </row>
    <row r="224" spans="1:20" ht="15.75">
      <c r="A224" s="13">
        <v>48305</v>
      </c>
      <c r="B224" s="44">
        <v>30</v>
      </c>
      <c r="C224" s="35">
        <v>141.29300000000001</v>
      </c>
      <c r="D224" s="35">
        <v>267.99299999999999</v>
      </c>
      <c r="E224" s="41">
        <v>829.71400000000006</v>
      </c>
      <c r="F224" s="35">
        <v>1239</v>
      </c>
      <c r="G224" s="35">
        <v>100</v>
      </c>
      <c r="H224" s="43">
        <v>600</v>
      </c>
      <c r="I224" s="35">
        <v>695</v>
      </c>
      <c r="J224" s="35">
        <v>50</v>
      </c>
      <c r="K224" s="36"/>
      <c r="L224" s="36"/>
      <c r="M224" s="36"/>
      <c r="N224" s="36"/>
      <c r="O224" s="36"/>
      <c r="P224" s="36"/>
      <c r="Q224" s="36"/>
      <c r="R224" s="36"/>
      <c r="S224" s="36"/>
      <c r="T224" s="36"/>
    </row>
    <row r="225" spans="1:20" ht="15.75">
      <c r="A225" s="13">
        <v>48335</v>
      </c>
      <c r="B225" s="44">
        <v>31</v>
      </c>
      <c r="C225" s="35">
        <v>194.20500000000001</v>
      </c>
      <c r="D225" s="35">
        <v>267.46600000000001</v>
      </c>
      <c r="E225" s="41">
        <v>812.32899999999995</v>
      </c>
      <c r="F225" s="35">
        <v>1274</v>
      </c>
      <c r="G225" s="35">
        <v>75</v>
      </c>
      <c r="H225" s="43">
        <v>600</v>
      </c>
      <c r="I225" s="35">
        <v>695</v>
      </c>
      <c r="J225" s="35">
        <v>50</v>
      </c>
      <c r="K225" s="36"/>
      <c r="L225" s="36"/>
      <c r="M225" s="36"/>
      <c r="N225" s="36"/>
      <c r="O225" s="36"/>
      <c r="P225" s="36"/>
      <c r="Q225" s="36"/>
      <c r="R225" s="36"/>
      <c r="S225" s="36"/>
      <c r="T225" s="36"/>
    </row>
    <row r="226" spans="1:20" ht="15.75">
      <c r="A226" s="13">
        <v>48366</v>
      </c>
      <c r="B226" s="44">
        <v>30</v>
      </c>
      <c r="C226" s="35">
        <v>194.20500000000001</v>
      </c>
      <c r="D226" s="35">
        <v>267.46600000000001</v>
      </c>
      <c r="E226" s="41">
        <v>812.32899999999995</v>
      </c>
      <c r="F226" s="35">
        <v>1274</v>
      </c>
      <c r="G226" s="35">
        <v>50</v>
      </c>
      <c r="H226" s="43">
        <v>600</v>
      </c>
      <c r="I226" s="35">
        <v>695</v>
      </c>
      <c r="J226" s="35">
        <v>50</v>
      </c>
      <c r="K226" s="36"/>
      <c r="L226" s="36"/>
      <c r="M226" s="36"/>
      <c r="N226" s="36"/>
      <c r="O226" s="36"/>
      <c r="P226" s="36"/>
      <c r="Q226" s="36"/>
      <c r="R226" s="36"/>
      <c r="S226" s="36"/>
      <c r="T226" s="36"/>
    </row>
    <row r="227" spans="1:20" ht="15.75">
      <c r="A227" s="13">
        <v>48396</v>
      </c>
      <c r="B227" s="44">
        <v>31</v>
      </c>
      <c r="C227" s="35">
        <v>194.20500000000001</v>
      </c>
      <c r="D227" s="35">
        <v>267.46600000000001</v>
      </c>
      <c r="E227" s="41">
        <v>812.32899999999995</v>
      </c>
      <c r="F227" s="35">
        <v>1274</v>
      </c>
      <c r="G227" s="35">
        <v>50</v>
      </c>
      <c r="H227" s="43">
        <v>600</v>
      </c>
      <c r="I227" s="35">
        <v>695</v>
      </c>
      <c r="J227" s="35">
        <v>0</v>
      </c>
      <c r="K227" s="36"/>
      <c r="L227" s="36"/>
      <c r="M227" s="36"/>
      <c r="N227" s="36"/>
      <c r="O227" s="36"/>
      <c r="P227" s="36"/>
      <c r="Q227" s="36"/>
      <c r="R227" s="36"/>
      <c r="S227" s="36"/>
      <c r="T227" s="36"/>
    </row>
    <row r="228" spans="1:20" ht="15.75">
      <c r="A228" s="13">
        <v>48427</v>
      </c>
      <c r="B228" s="44">
        <v>31</v>
      </c>
      <c r="C228" s="35">
        <v>194.20500000000001</v>
      </c>
      <c r="D228" s="35">
        <v>267.46600000000001</v>
      </c>
      <c r="E228" s="41">
        <v>812.32899999999995</v>
      </c>
      <c r="F228" s="35">
        <v>1274</v>
      </c>
      <c r="G228" s="35">
        <v>50</v>
      </c>
      <c r="H228" s="43">
        <v>600</v>
      </c>
      <c r="I228" s="35">
        <v>695</v>
      </c>
      <c r="J228" s="35">
        <v>0</v>
      </c>
      <c r="K228" s="36"/>
      <c r="L228" s="36"/>
      <c r="M228" s="36"/>
      <c r="N228" s="36"/>
      <c r="O228" s="36"/>
      <c r="P228" s="36"/>
      <c r="Q228" s="36"/>
      <c r="R228" s="36"/>
      <c r="S228" s="36"/>
      <c r="T228" s="36"/>
    </row>
    <row r="229" spans="1:20" ht="15.75">
      <c r="A229" s="13">
        <v>48458</v>
      </c>
      <c r="B229" s="44">
        <v>30</v>
      </c>
      <c r="C229" s="35">
        <v>194.20500000000001</v>
      </c>
      <c r="D229" s="35">
        <v>267.46600000000001</v>
      </c>
      <c r="E229" s="41">
        <v>812.32899999999995</v>
      </c>
      <c r="F229" s="35">
        <v>1274</v>
      </c>
      <c r="G229" s="35">
        <v>50</v>
      </c>
      <c r="H229" s="43">
        <v>600</v>
      </c>
      <c r="I229" s="35">
        <v>695</v>
      </c>
      <c r="J229" s="35">
        <v>0</v>
      </c>
      <c r="K229" s="36"/>
      <c r="L229" s="36"/>
      <c r="M229" s="36"/>
      <c r="N229" s="36"/>
      <c r="O229" s="36"/>
      <c r="P229" s="36"/>
      <c r="Q229" s="36"/>
      <c r="R229" s="36"/>
      <c r="S229" s="36"/>
      <c r="T229" s="36"/>
    </row>
    <row r="230" spans="1:20" ht="15.75">
      <c r="A230" s="13">
        <v>48488</v>
      </c>
      <c r="B230" s="44">
        <v>31</v>
      </c>
      <c r="C230" s="35">
        <v>131.881</v>
      </c>
      <c r="D230" s="35">
        <v>277.16699999999997</v>
      </c>
      <c r="E230" s="41">
        <v>829.952</v>
      </c>
      <c r="F230" s="35">
        <v>1239</v>
      </c>
      <c r="G230" s="35">
        <v>75</v>
      </c>
      <c r="H230" s="43">
        <v>600</v>
      </c>
      <c r="I230" s="35">
        <v>695</v>
      </c>
      <c r="J230" s="35">
        <v>0</v>
      </c>
      <c r="K230" s="36"/>
      <c r="L230" s="36"/>
      <c r="M230" s="36"/>
      <c r="N230" s="36"/>
      <c r="O230" s="36"/>
      <c r="P230" s="36"/>
      <c r="Q230" s="36"/>
      <c r="R230" s="36"/>
      <c r="S230" s="36"/>
      <c r="T230" s="36"/>
    </row>
    <row r="231" spans="1:20" ht="15.75">
      <c r="A231" s="13">
        <v>48519</v>
      </c>
      <c r="B231" s="44">
        <v>30</v>
      </c>
      <c r="C231" s="35">
        <v>122.58</v>
      </c>
      <c r="D231" s="35">
        <v>297.94099999999997</v>
      </c>
      <c r="E231" s="41">
        <v>729.47900000000004</v>
      </c>
      <c r="F231" s="35">
        <v>1150</v>
      </c>
      <c r="G231" s="35">
        <v>100</v>
      </c>
      <c r="H231" s="43">
        <v>600</v>
      </c>
      <c r="I231" s="35">
        <v>695</v>
      </c>
      <c r="J231" s="35">
        <v>50</v>
      </c>
      <c r="K231" s="36"/>
      <c r="L231" s="36"/>
      <c r="M231" s="36"/>
      <c r="N231" s="36"/>
      <c r="O231" s="36"/>
      <c r="P231" s="36"/>
      <c r="Q231" s="36"/>
      <c r="R231" s="36"/>
      <c r="S231" s="36"/>
      <c r="T231" s="36"/>
    </row>
    <row r="232" spans="1:20" ht="15.75">
      <c r="A232" s="13">
        <v>48549</v>
      </c>
      <c r="B232" s="44">
        <v>31</v>
      </c>
      <c r="C232" s="35">
        <v>122.58</v>
      </c>
      <c r="D232" s="35">
        <v>297.94099999999997</v>
      </c>
      <c r="E232" s="41">
        <v>729.47900000000004</v>
      </c>
      <c r="F232" s="35">
        <v>1150</v>
      </c>
      <c r="G232" s="35">
        <v>100</v>
      </c>
      <c r="H232" s="43">
        <v>600</v>
      </c>
      <c r="I232" s="35">
        <v>695</v>
      </c>
      <c r="J232" s="35">
        <v>50</v>
      </c>
      <c r="K232" s="36"/>
      <c r="L232" s="36"/>
      <c r="M232" s="36"/>
      <c r="N232" s="36"/>
      <c r="O232" s="36"/>
      <c r="P232" s="36"/>
      <c r="Q232" s="36"/>
      <c r="R232" s="36"/>
      <c r="S232" s="36"/>
      <c r="T232" s="36"/>
    </row>
    <row r="233" spans="1:20" ht="15.75">
      <c r="A233" s="13">
        <v>48580</v>
      </c>
      <c r="B233" s="44">
        <v>31</v>
      </c>
      <c r="C233" s="35">
        <v>122.58</v>
      </c>
      <c r="D233" s="35">
        <v>297.94099999999997</v>
      </c>
      <c r="E233" s="41">
        <v>729.47900000000004</v>
      </c>
      <c r="F233" s="35">
        <v>1150</v>
      </c>
      <c r="G233" s="35">
        <v>100</v>
      </c>
      <c r="H233" s="43">
        <v>600</v>
      </c>
      <c r="I233" s="35">
        <v>695</v>
      </c>
      <c r="J233" s="35">
        <v>50</v>
      </c>
      <c r="K233" s="36"/>
      <c r="L233" s="36"/>
      <c r="M233" s="36"/>
      <c r="N233" s="36"/>
      <c r="O233" s="36"/>
      <c r="P233" s="36"/>
      <c r="Q233" s="36"/>
      <c r="R233" s="36"/>
      <c r="S233" s="36"/>
      <c r="T233" s="36"/>
    </row>
    <row r="234" spans="1:20" ht="15.75">
      <c r="A234" s="13">
        <v>48611</v>
      </c>
      <c r="B234" s="44">
        <v>28</v>
      </c>
      <c r="C234" s="35">
        <v>122.58</v>
      </c>
      <c r="D234" s="35">
        <v>297.94099999999997</v>
      </c>
      <c r="E234" s="41">
        <v>729.47900000000004</v>
      </c>
      <c r="F234" s="35">
        <v>1150</v>
      </c>
      <c r="G234" s="35">
        <v>100</v>
      </c>
      <c r="H234" s="43">
        <v>600</v>
      </c>
      <c r="I234" s="35">
        <v>695</v>
      </c>
      <c r="J234" s="35">
        <v>50</v>
      </c>
      <c r="K234" s="36"/>
      <c r="L234" s="36"/>
      <c r="M234" s="36"/>
      <c r="N234" s="36"/>
      <c r="O234" s="36"/>
      <c r="P234" s="36"/>
      <c r="Q234" s="36"/>
      <c r="R234" s="36"/>
      <c r="S234" s="36"/>
      <c r="T234" s="36"/>
    </row>
    <row r="235" spans="1:20" ht="15.75">
      <c r="A235" s="13">
        <v>48639</v>
      </c>
      <c r="B235" s="44">
        <v>31</v>
      </c>
      <c r="C235" s="35">
        <v>122.58</v>
      </c>
      <c r="D235" s="35">
        <v>297.94099999999997</v>
      </c>
      <c r="E235" s="41">
        <v>729.47900000000004</v>
      </c>
      <c r="F235" s="35">
        <v>1150</v>
      </c>
      <c r="G235" s="35">
        <v>100</v>
      </c>
      <c r="H235" s="43">
        <v>600</v>
      </c>
      <c r="I235" s="35">
        <v>695</v>
      </c>
      <c r="J235" s="35">
        <v>50</v>
      </c>
      <c r="K235" s="36"/>
      <c r="L235" s="36"/>
      <c r="M235" s="36"/>
      <c r="N235" s="36"/>
      <c r="O235" s="36"/>
      <c r="P235" s="36"/>
      <c r="Q235" s="36"/>
      <c r="R235" s="36"/>
      <c r="S235" s="36"/>
      <c r="T235" s="36"/>
    </row>
    <row r="236" spans="1:20" ht="15.75">
      <c r="A236" s="13">
        <v>48670</v>
      </c>
      <c r="B236" s="44">
        <v>30</v>
      </c>
      <c r="C236" s="35">
        <v>141.29300000000001</v>
      </c>
      <c r="D236" s="35">
        <v>267.99299999999999</v>
      </c>
      <c r="E236" s="41">
        <v>829.71400000000006</v>
      </c>
      <c r="F236" s="35">
        <v>1239</v>
      </c>
      <c r="G236" s="35">
        <v>100</v>
      </c>
      <c r="H236" s="43">
        <v>600</v>
      </c>
      <c r="I236" s="35">
        <v>695</v>
      </c>
      <c r="J236" s="35">
        <v>50</v>
      </c>
      <c r="K236" s="36"/>
      <c r="L236" s="36"/>
      <c r="M236" s="36"/>
      <c r="N236" s="36"/>
      <c r="O236" s="36"/>
      <c r="P236" s="36"/>
      <c r="Q236" s="36"/>
      <c r="R236" s="36"/>
      <c r="S236" s="36"/>
      <c r="T236" s="36"/>
    </row>
    <row r="237" spans="1:20" ht="15.75">
      <c r="A237" s="13">
        <v>48700</v>
      </c>
      <c r="B237" s="44">
        <v>31</v>
      </c>
      <c r="C237" s="35">
        <v>194.20500000000001</v>
      </c>
      <c r="D237" s="35">
        <v>267.46600000000001</v>
      </c>
      <c r="E237" s="41">
        <v>812.32899999999995</v>
      </c>
      <c r="F237" s="35">
        <v>1274</v>
      </c>
      <c r="G237" s="35">
        <v>75</v>
      </c>
      <c r="H237" s="43">
        <v>600</v>
      </c>
      <c r="I237" s="35">
        <v>695</v>
      </c>
      <c r="J237" s="35">
        <v>50</v>
      </c>
      <c r="K237" s="36"/>
      <c r="L237" s="36"/>
      <c r="M237" s="36"/>
      <c r="N237" s="36"/>
      <c r="O237" s="36"/>
      <c r="P237" s="36"/>
      <c r="Q237" s="36"/>
      <c r="R237" s="36"/>
      <c r="S237" s="36"/>
      <c r="T237" s="36"/>
    </row>
    <row r="238" spans="1:20" ht="15.75">
      <c r="A238" s="13">
        <v>48731</v>
      </c>
      <c r="B238" s="44">
        <v>30</v>
      </c>
      <c r="C238" s="35">
        <v>194.20500000000001</v>
      </c>
      <c r="D238" s="35">
        <v>267.46600000000001</v>
      </c>
      <c r="E238" s="41">
        <v>812.32899999999995</v>
      </c>
      <c r="F238" s="35">
        <v>1274</v>
      </c>
      <c r="G238" s="35">
        <v>50</v>
      </c>
      <c r="H238" s="43">
        <v>600</v>
      </c>
      <c r="I238" s="35">
        <v>695</v>
      </c>
      <c r="J238" s="35">
        <v>50</v>
      </c>
      <c r="K238" s="36"/>
      <c r="L238" s="36"/>
      <c r="M238" s="36"/>
      <c r="N238" s="36"/>
      <c r="O238" s="36"/>
      <c r="P238" s="36"/>
      <c r="Q238" s="36"/>
      <c r="R238" s="36"/>
      <c r="S238" s="36"/>
      <c r="T238" s="36"/>
    </row>
    <row r="239" spans="1:20" ht="15.75">
      <c r="A239" s="13">
        <v>48761</v>
      </c>
      <c r="B239" s="44">
        <v>31</v>
      </c>
      <c r="C239" s="35">
        <v>194.20500000000001</v>
      </c>
      <c r="D239" s="35">
        <v>267.46600000000001</v>
      </c>
      <c r="E239" s="41">
        <v>812.32899999999995</v>
      </c>
      <c r="F239" s="35">
        <v>1274</v>
      </c>
      <c r="G239" s="35">
        <v>50</v>
      </c>
      <c r="H239" s="43">
        <v>600</v>
      </c>
      <c r="I239" s="35">
        <v>695</v>
      </c>
      <c r="J239" s="35">
        <v>0</v>
      </c>
      <c r="K239" s="36"/>
      <c r="L239" s="36"/>
      <c r="M239" s="36"/>
      <c r="N239" s="36"/>
      <c r="O239" s="36"/>
      <c r="P239" s="36"/>
      <c r="Q239" s="36"/>
      <c r="R239" s="36"/>
      <c r="S239" s="36"/>
      <c r="T239" s="36"/>
    </row>
    <row r="240" spans="1:20" ht="15.75">
      <c r="A240" s="13">
        <v>48792</v>
      </c>
      <c r="B240" s="44">
        <v>31</v>
      </c>
      <c r="C240" s="35">
        <v>194.20500000000001</v>
      </c>
      <c r="D240" s="35">
        <v>267.46600000000001</v>
      </c>
      <c r="E240" s="41">
        <v>812.32899999999995</v>
      </c>
      <c r="F240" s="35">
        <v>1274</v>
      </c>
      <c r="G240" s="35">
        <v>50</v>
      </c>
      <c r="H240" s="43">
        <v>600</v>
      </c>
      <c r="I240" s="35">
        <v>695</v>
      </c>
      <c r="J240" s="35">
        <v>0</v>
      </c>
      <c r="K240" s="36"/>
      <c r="L240" s="36"/>
      <c r="M240" s="36"/>
      <c r="N240" s="36"/>
      <c r="O240" s="36"/>
      <c r="P240" s="36"/>
      <c r="Q240" s="36"/>
      <c r="R240" s="36"/>
      <c r="S240" s="36"/>
      <c r="T240" s="36"/>
    </row>
    <row r="241" spans="1:20" ht="15.75">
      <c r="A241" s="13">
        <v>48823</v>
      </c>
      <c r="B241" s="44">
        <v>30</v>
      </c>
      <c r="C241" s="35">
        <v>194.20500000000001</v>
      </c>
      <c r="D241" s="35">
        <v>267.46600000000001</v>
      </c>
      <c r="E241" s="41">
        <v>812.32899999999995</v>
      </c>
      <c r="F241" s="35">
        <v>1274</v>
      </c>
      <c r="G241" s="35">
        <v>50</v>
      </c>
      <c r="H241" s="43">
        <v>600</v>
      </c>
      <c r="I241" s="35">
        <v>695</v>
      </c>
      <c r="J241" s="35">
        <v>0</v>
      </c>
      <c r="K241" s="36"/>
      <c r="L241" s="36"/>
      <c r="M241" s="36"/>
      <c r="N241" s="36"/>
      <c r="O241" s="36"/>
      <c r="P241" s="36"/>
      <c r="Q241" s="36"/>
      <c r="R241" s="36"/>
      <c r="S241" s="36"/>
      <c r="T241" s="36"/>
    </row>
    <row r="242" spans="1:20" ht="15.75">
      <c r="A242" s="13">
        <v>48853</v>
      </c>
      <c r="B242" s="44">
        <v>31</v>
      </c>
      <c r="C242" s="35">
        <v>131.881</v>
      </c>
      <c r="D242" s="35">
        <v>277.16699999999997</v>
      </c>
      <c r="E242" s="41">
        <v>829.952</v>
      </c>
      <c r="F242" s="35">
        <v>1239</v>
      </c>
      <c r="G242" s="35">
        <v>75</v>
      </c>
      <c r="H242" s="43">
        <v>600</v>
      </c>
      <c r="I242" s="35">
        <v>695</v>
      </c>
      <c r="J242" s="35">
        <v>0</v>
      </c>
      <c r="K242" s="36"/>
      <c r="L242" s="36"/>
      <c r="M242" s="36"/>
      <c r="N242" s="36"/>
      <c r="O242" s="36"/>
      <c r="P242" s="36"/>
      <c r="Q242" s="36"/>
      <c r="R242" s="36"/>
      <c r="S242" s="36"/>
      <c r="T242" s="36"/>
    </row>
    <row r="243" spans="1:20" ht="15.75">
      <c r="A243" s="13">
        <v>48884</v>
      </c>
      <c r="B243" s="44">
        <v>30</v>
      </c>
      <c r="C243" s="35">
        <v>122.58</v>
      </c>
      <c r="D243" s="35">
        <v>297.94099999999997</v>
      </c>
      <c r="E243" s="41">
        <v>729.47900000000004</v>
      </c>
      <c r="F243" s="35">
        <v>1150</v>
      </c>
      <c r="G243" s="35">
        <v>100</v>
      </c>
      <c r="H243" s="43">
        <v>600</v>
      </c>
      <c r="I243" s="35">
        <v>695</v>
      </c>
      <c r="J243" s="35">
        <v>50</v>
      </c>
      <c r="K243" s="36"/>
      <c r="L243" s="36"/>
      <c r="M243" s="36"/>
      <c r="N243" s="36"/>
      <c r="O243" s="36"/>
      <c r="P243" s="36"/>
      <c r="Q243" s="36"/>
      <c r="R243" s="36"/>
      <c r="S243" s="36"/>
      <c r="T243" s="36"/>
    </row>
    <row r="244" spans="1:20" ht="15.75">
      <c r="A244" s="13">
        <v>48914</v>
      </c>
      <c r="B244" s="44">
        <v>31</v>
      </c>
      <c r="C244" s="35">
        <v>122.58</v>
      </c>
      <c r="D244" s="35">
        <v>297.94099999999997</v>
      </c>
      <c r="E244" s="41">
        <v>729.47900000000004</v>
      </c>
      <c r="F244" s="35">
        <v>1150</v>
      </c>
      <c r="G244" s="35">
        <v>100</v>
      </c>
      <c r="H244" s="43">
        <v>600</v>
      </c>
      <c r="I244" s="35">
        <v>695</v>
      </c>
      <c r="J244" s="35">
        <v>50</v>
      </c>
      <c r="K244" s="36"/>
      <c r="L244" s="36"/>
      <c r="M244" s="36"/>
      <c r="N244" s="36"/>
      <c r="O244" s="36"/>
      <c r="P244" s="36"/>
      <c r="Q244" s="36"/>
      <c r="R244" s="36"/>
      <c r="S244" s="36"/>
      <c r="T244" s="36"/>
    </row>
    <row r="245" spans="1:20" ht="15.75">
      <c r="A245" s="13">
        <v>48945</v>
      </c>
      <c r="B245" s="44">
        <v>31</v>
      </c>
      <c r="C245" s="35">
        <v>122.58</v>
      </c>
      <c r="D245" s="35">
        <v>297.94099999999997</v>
      </c>
      <c r="E245" s="41">
        <v>729.47900000000004</v>
      </c>
      <c r="F245" s="35">
        <v>1150</v>
      </c>
      <c r="G245" s="35">
        <v>100</v>
      </c>
      <c r="H245" s="43">
        <v>600</v>
      </c>
      <c r="I245" s="35">
        <v>695</v>
      </c>
      <c r="J245" s="35">
        <v>50</v>
      </c>
      <c r="K245" s="36"/>
      <c r="L245" s="36"/>
      <c r="M245" s="36"/>
      <c r="N245" s="36"/>
      <c r="O245" s="36"/>
      <c r="P245" s="36"/>
      <c r="Q245" s="36"/>
      <c r="R245" s="36"/>
      <c r="S245" s="36"/>
      <c r="T245" s="36"/>
    </row>
    <row r="246" spans="1:20" ht="15.75">
      <c r="A246" s="13">
        <v>48976</v>
      </c>
      <c r="B246" s="44">
        <v>28</v>
      </c>
      <c r="C246" s="35">
        <v>122.58</v>
      </c>
      <c r="D246" s="35">
        <v>297.94099999999997</v>
      </c>
      <c r="E246" s="41">
        <v>729.47900000000004</v>
      </c>
      <c r="F246" s="35">
        <v>1150</v>
      </c>
      <c r="G246" s="35">
        <v>100</v>
      </c>
      <c r="H246" s="43">
        <v>600</v>
      </c>
      <c r="I246" s="35">
        <v>695</v>
      </c>
      <c r="J246" s="35">
        <v>50</v>
      </c>
      <c r="K246" s="36"/>
      <c r="L246" s="36"/>
      <c r="M246" s="36"/>
      <c r="N246" s="36"/>
      <c r="O246" s="36"/>
      <c r="P246" s="36"/>
      <c r="Q246" s="36"/>
      <c r="R246" s="36"/>
      <c r="S246" s="36"/>
      <c r="T246" s="36"/>
    </row>
    <row r="247" spans="1:20" ht="15.75">
      <c r="A247" s="13">
        <v>49004</v>
      </c>
      <c r="B247" s="44">
        <v>31</v>
      </c>
      <c r="C247" s="35">
        <v>122.58</v>
      </c>
      <c r="D247" s="35">
        <v>297.94099999999997</v>
      </c>
      <c r="E247" s="41">
        <v>729.47900000000004</v>
      </c>
      <c r="F247" s="35">
        <v>1150</v>
      </c>
      <c r="G247" s="35">
        <v>100</v>
      </c>
      <c r="H247" s="43">
        <v>600</v>
      </c>
      <c r="I247" s="35">
        <v>695</v>
      </c>
      <c r="J247" s="35">
        <v>50</v>
      </c>
      <c r="K247" s="36"/>
      <c r="L247" s="36"/>
      <c r="M247" s="36"/>
      <c r="N247" s="36"/>
      <c r="O247" s="36"/>
      <c r="P247" s="36"/>
      <c r="Q247" s="36"/>
      <c r="R247" s="36"/>
      <c r="S247" s="36"/>
      <c r="T247" s="36"/>
    </row>
    <row r="248" spans="1:20" ht="15.75">
      <c r="A248" s="13">
        <v>49035</v>
      </c>
      <c r="B248" s="44">
        <v>30</v>
      </c>
      <c r="C248" s="35">
        <v>141.29300000000001</v>
      </c>
      <c r="D248" s="35">
        <v>267.99299999999999</v>
      </c>
      <c r="E248" s="41">
        <v>829.71400000000006</v>
      </c>
      <c r="F248" s="35">
        <v>1239</v>
      </c>
      <c r="G248" s="35">
        <v>100</v>
      </c>
      <c r="H248" s="43">
        <v>600</v>
      </c>
      <c r="I248" s="35">
        <v>695</v>
      </c>
      <c r="J248" s="35">
        <v>50</v>
      </c>
      <c r="K248" s="36"/>
      <c r="L248" s="36"/>
      <c r="M248" s="36"/>
      <c r="N248" s="36"/>
      <c r="O248" s="36"/>
      <c r="P248" s="36"/>
      <c r="Q248" s="36"/>
      <c r="R248" s="36"/>
      <c r="S248" s="36"/>
      <c r="T248" s="36"/>
    </row>
    <row r="249" spans="1:20" ht="15.75">
      <c r="A249" s="13">
        <v>49065</v>
      </c>
      <c r="B249" s="44">
        <v>31</v>
      </c>
      <c r="C249" s="35">
        <v>194.20500000000001</v>
      </c>
      <c r="D249" s="35">
        <v>267.46600000000001</v>
      </c>
      <c r="E249" s="41">
        <v>812.32899999999995</v>
      </c>
      <c r="F249" s="35">
        <v>1274</v>
      </c>
      <c r="G249" s="35">
        <v>75</v>
      </c>
      <c r="H249" s="43">
        <v>600</v>
      </c>
      <c r="I249" s="35">
        <v>695</v>
      </c>
      <c r="J249" s="35">
        <v>50</v>
      </c>
      <c r="K249" s="36"/>
      <c r="L249" s="36"/>
      <c r="M249" s="36"/>
      <c r="N249" s="36"/>
      <c r="O249" s="36"/>
      <c r="P249" s="36"/>
      <c r="Q249" s="36"/>
      <c r="R249" s="36"/>
      <c r="S249" s="36"/>
      <c r="T249" s="36"/>
    </row>
    <row r="250" spans="1:20" ht="15.75">
      <c r="A250" s="13">
        <v>49096</v>
      </c>
      <c r="B250" s="44">
        <v>30</v>
      </c>
      <c r="C250" s="35">
        <v>194.20500000000001</v>
      </c>
      <c r="D250" s="35">
        <v>267.46600000000001</v>
      </c>
      <c r="E250" s="41">
        <v>812.32899999999995</v>
      </c>
      <c r="F250" s="35">
        <v>1274</v>
      </c>
      <c r="G250" s="35">
        <v>50</v>
      </c>
      <c r="H250" s="43">
        <v>600</v>
      </c>
      <c r="I250" s="35">
        <v>695</v>
      </c>
      <c r="J250" s="35">
        <v>50</v>
      </c>
      <c r="K250" s="36"/>
      <c r="L250" s="36"/>
      <c r="M250" s="36"/>
      <c r="N250" s="36"/>
      <c r="O250" s="36"/>
      <c r="P250" s="36"/>
      <c r="Q250" s="36"/>
      <c r="R250" s="36"/>
      <c r="S250" s="36"/>
      <c r="T250" s="36"/>
    </row>
    <row r="251" spans="1:20" ht="15.75">
      <c r="A251" s="13">
        <v>49126</v>
      </c>
      <c r="B251" s="44">
        <v>31</v>
      </c>
      <c r="C251" s="35">
        <v>194.20500000000001</v>
      </c>
      <c r="D251" s="35">
        <v>267.46600000000001</v>
      </c>
      <c r="E251" s="41">
        <v>812.32899999999995</v>
      </c>
      <c r="F251" s="35">
        <v>1274</v>
      </c>
      <c r="G251" s="35">
        <v>50</v>
      </c>
      <c r="H251" s="43">
        <v>600</v>
      </c>
      <c r="I251" s="35">
        <v>695</v>
      </c>
      <c r="J251" s="35">
        <v>0</v>
      </c>
      <c r="K251" s="36"/>
      <c r="L251" s="36"/>
      <c r="M251" s="36"/>
      <c r="N251" s="36"/>
      <c r="O251" s="36"/>
      <c r="P251" s="36"/>
      <c r="Q251" s="36"/>
      <c r="R251" s="36"/>
      <c r="S251" s="36"/>
      <c r="T251" s="36"/>
    </row>
    <row r="252" spans="1:20" ht="15.75">
      <c r="A252" s="13">
        <v>49157</v>
      </c>
      <c r="B252" s="44">
        <v>31</v>
      </c>
      <c r="C252" s="35">
        <v>194.20500000000001</v>
      </c>
      <c r="D252" s="35">
        <v>267.46600000000001</v>
      </c>
      <c r="E252" s="41">
        <v>812.32899999999995</v>
      </c>
      <c r="F252" s="35">
        <v>1274</v>
      </c>
      <c r="G252" s="35">
        <v>50</v>
      </c>
      <c r="H252" s="43">
        <v>600</v>
      </c>
      <c r="I252" s="35">
        <v>695</v>
      </c>
      <c r="J252" s="35">
        <v>0</v>
      </c>
      <c r="K252" s="36"/>
      <c r="L252" s="36"/>
      <c r="M252" s="36"/>
      <c r="N252" s="36"/>
      <c r="O252" s="36"/>
      <c r="P252" s="36"/>
      <c r="Q252" s="36"/>
      <c r="R252" s="36"/>
      <c r="S252" s="36"/>
      <c r="T252" s="36"/>
    </row>
    <row r="253" spans="1:20" ht="15.75">
      <c r="A253" s="13">
        <v>49188</v>
      </c>
      <c r="B253" s="44">
        <v>30</v>
      </c>
      <c r="C253" s="35">
        <v>194.20500000000001</v>
      </c>
      <c r="D253" s="35">
        <v>267.46600000000001</v>
      </c>
      <c r="E253" s="41">
        <v>812.32899999999995</v>
      </c>
      <c r="F253" s="35">
        <v>1274</v>
      </c>
      <c r="G253" s="35">
        <v>50</v>
      </c>
      <c r="H253" s="43">
        <v>600</v>
      </c>
      <c r="I253" s="35">
        <v>695</v>
      </c>
      <c r="J253" s="35">
        <v>0</v>
      </c>
      <c r="K253" s="36"/>
      <c r="L253" s="36"/>
      <c r="M253" s="36"/>
      <c r="N253" s="36"/>
      <c r="O253" s="36"/>
      <c r="P253" s="36"/>
      <c r="Q253" s="36"/>
      <c r="R253" s="36"/>
      <c r="S253" s="36"/>
      <c r="T253" s="36"/>
    </row>
    <row r="254" spans="1:20" ht="15.75">
      <c r="A254" s="13">
        <v>49218</v>
      </c>
      <c r="B254" s="44">
        <v>31</v>
      </c>
      <c r="C254" s="35">
        <v>131.881</v>
      </c>
      <c r="D254" s="35">
        <v>277.16699999999997</v>
      </c>
      <c r="E254" s="41">
        <v>829.952</v>
      </c>
      <c r="F254" s="35">
        <v>1239</v>
      </c>
      <c r="G254" s="35">
        <v>75</v>
      </c>
      <c r="H254" s="43">
        <v>600</v>
      </c>
      <c r="I254" s="35">
        <v>695</v>
      </c>
      <c r="J254" s="35">
        <v>0</v>
      </c>
      <c r="K254" s="36"/>
      <c r="L254" s="36"/>
      <c r="M254" s="36"/>
      <c r="N254" s="36"/>
      <c r="O254" s="36"/>
      <c r="P254" s="36"/>
      <c r="Q254" s="36"/>
      <c r="R254" s="36"/>
      <c r="S254" s="36"/>
      <c r="T254" s="36"/>
    </row>
    <row r="255" spans="1:20" ht="15.75">
      <c r="A255" s="13">
        <v>49249</v>
      </c>
      <c r="B255" s="44">
        <v>30</v>
      </c>
      <c r="C255" s="35">
        <v>122.58</v>
      </c>
      <c r="D255" s="35">
        <v>297.94099999999997</v>
      </c>
      <c r="E255" s="41">
        <v>729.47900000000004</v>
      </c>
      <c r="F255" s="35">
        <v>1150</v>
      </c>
      <c r="G255" s="35">
        <v>100</v>
      </c>
      <c r="H255" s="43">
        <v>600</v>
      </c>
      <c r="I255" s="35">
        <v>695</v>
      </c>
      <c r="J255" s="35">
        <v>50</v>
      </c>
      <c r="K255" s="36"/>
      <c r="L255" s="36"/>
      <c r="M255" s="36"/>
      <c r="N255" s="36"/>
      <c r="O255" s="36"/>
      <c r="P255" s="36"/>
      <c r="Q255" s="36"/>
      <c r="R255" s="36"/>
      <c r="S255" s="36"/>
      <c r="T255" s="36"/>
    </row>
    <row r="256" spans="1:20" ht="15.75">
      <c r="A256" s="13">
        <v>49279</v>
      </c>
      <c r="B256" s="44">
        <v>31</v>
      </c>
      <c r="C256" s="35">
        <v>122.58</v>
      </c>
      <c r="D256" s="35">
        <v>297.94099999999997</v>
      </c>
      <c r="E256" s="41">
        <v>729.47900000000004</v>
      </c>
      <c r="F256" s="35">
        <v>1150</v>
      </c>
      <c r="G256" s="35">
        <v>100</v>
      </c>
      <c r="H256" s="43">
        <v>600</v>
      </c>
      <c r="I256" s="35">
        <v>695</v>
      </c>
      <c r="J256" s="35">
        <v>50</v>
      </c>
      <c r="K256" s="36"/>
      <c r="L256" s="36"/>
      <c r="M256" s="36"/>
      <c r="N256" s="36"/>
      <c r="O256" s="36"/>
      <c r="P256" s="36"/>
      <c r="Q256" s="36"/>
      <c r="R256" s="36"/>
      <c r="S256" s="36"/>
      <c r="T256" s="36"/>
    </row>
    <row r="257" spans="1:20" ht="15.75">
      <c r="A257" s="13">
        <v>49310</v>
      </c>
      <c r="B257" s="44">
        <v>31</v>
      </c>
      <c r="C257" s="35">
        <v>122.58</v>
      </c>
      <c r="D257" s="35">
        <v>297.94099999999997</v>
      </c>
      <c r="E257" s="41">
        <v>729.47900000000004</v>
      </c>
      <c r="F257" s="35">
        <v>1150</v>
      </c>
      <c r="G257" s="35">
        <v>100</v>
      </c>
      <c r="H257" s="43">
        <v>600</v>
      </c>
      <c r="I257" s="35">
        <v>695</v>
      </c>
      <c r="J257" s="35">
        <v>50</v>
      </c>
      <c r="K257" s="36"/>
      <c r="L257" s="36"/>
      <c r="M257" s="36"/>
      <c r="N257" s="36"/>
      <c r="O257" s="36"/>
      <c r="P257" s="36"/>
      <c r="Q257" s="36"/>
      <c r="R257" s="36"/>
      <c r="S257" s="36"/>
      <c r="T257" s="36"/>
    </row>
    <row r="258" spans="1:20" ht="15.75">
      <c r="A258" s="13">
        <v>49341</v>
      </c>
      <c r="B258" s="44">
        <v>28</v>
      </c>
      <c r="C258" s="35">
        <v>122.58</v>
      </c>
      <c r="D258" s="35">
        <v>297.94099999999997</v>
      </c>
      <c r="E258" s="41">
        <v>729.47900000000004</v>
      </c>
      <c r="F258" s="35">
        <v>1150</v>
      </c>
      <c r="G258" s="35">
        <v>100</v>
      </c>
      <c r="H258" s="43">
        <v>600</v>
      </c>
      <c r="I258" s="35">
        <v>695</v>
      </c>
      <c r="J258" s="35">
        <v>50</v>
      </c>
      <c r="K258" s="36"/>
      <c r="L258" s="36"/>
      <c r="M258" s="36"/>
      <c r="N258" s="36"/>
      <c r="O258" s="36"/>
      <c r="P258" s="36"/>
      <c r="Q258" s="36"/>
      <c r="R258" s="36"/>
      <c r="S258" s="36"/>
      <c r="T258" s="36"/>
    </row>
    <row r="259" spans="1:20" ht="15.75">
      <c r="A259" s="13">
        <v>49369</v>
      </c>
      <c r="B259" s="44">
        <v>31</v>
      </c>
      <c r="C259" s="35">
        <v>122.58</v>
      </c>
      <c r="D259" s="35">
        <v>297.94099999999997</v>
      </c>
      <c r="E259" s="41">
        <v>729.47900000000004</v>
      </c>
      <c r="F259" s="35">
        <v>1150</v>
      </c>
      <c r="G259" s="35">
        <v>100</v>
      </c>
      <c r="H259" s="43">
        <v>600</v>
      </c>
      <c r="I259" s="35">
        <v>695</v>
      </c>
      <c r="J259" s="35">
        <v>50</v>
      </c>
      <c r="K259" s="36"/>
      <c r="L259" s="36"/>
      <c r="M259" s="36"/>
      <c r="N259" s="36"/>
      <c r="O259" s="36"/>
      <c r="P259" s="36"/>
      <c r="Q259" s="36"/>
      <c r="R259" s="36"/>
      <c r="S259" s="36"/>
      <c r="T259" s="36"/>
    </row>
    <row r="260" spans="1:20" ht="15.75">
      <c r="A260" s="13">
        <v>49400</v>
      </c>
      <c r="B260" s="44">
        <v>30</v>
      </c>
      <c r="C260" s="35">
        <v>141.29300000000001</v>
      </c>
      <c r="D260" s="35">
        <v>267.99299999999999</v>
      </c>
      <c r="E260" s="41">
        <v>829.71400000000006</v>
      </c>
      <c r="F260" s="35">
        <v>1239</v>
      </c>
      <c r="G260" s="35">
        <v>100</v>
      </c>
      <c r="H260" s="43">
        <v>600</v>
      </c>
      <c r="I260" s="35">
        <v>695</v>
      </c>
      <c r="J260" s="35">
        <v>50</v>
      </c>
      <c r="K260" s="36"/>
      <c r="L260" s="36"/>
      <c r="M260" s="36"/>
      <c r="N260" s="36"/>
      <c r="O260" s="36"/>
      <c r="P260" s="36"/>
      <c r="Q260" s="36"/>
      <c r="R260" s="36"/>
      <c r="S260" s="36"/>
      <c r="T260" s="36"/>
    </row>
    <row r="261" spans="1:20" ht="15.75">
      <c r="A261" s="13">
        <v>49430</v>
      </c>
      <c r="B261" s="44">
        <v>31</v>
      </c>
      <c r="C261" s="35">
        <v>194.20500000000001</v>
      </c>
      <c r="D261" s="35">
        <v>267.46600000000001</v>
      </c>
      <c r="E261" s="41">
        <v>812.32899999999995</v>
      </c>
      <c r="F261" s="35">
        <v>1274</v>
      </c>
      <c r="G261" s="35">
        <v>75</v>
      </c>
      <c r="H261" s="43">
        <v>600</v>
      </c>
      <c r="I261" s="35">
        <v>695</v>
      </c>
      <c r="J261" s="35">
        <v>50</v>
      </c>
      <c r="K261" s="36"/>
      <c r="L261" s="36"/>
      <c r="M261" s="36"/>
      <c r="N261" s="36"/>
      <c r="O261" s="36"/>
      <c r="P261" s="36"/>
      <c r="Q261" s="36"/>
      <c r="R261" s="36"/>
      <c r="S261" s="36"/>
      <c r="T261" s="36"/>
    </row>
    <row r="262" spans="1:20" ht="15.75">
      <c r="A262" s="14">
        <v>49461</v>
      </c>
      <c r="B262" s="44">
        <v>30</v>
      </c>
      <c r="C262" s="35">
        <v>194.20500000000001</v>
      </c>
      <c r="D262" s="35">
        <v>267.46600000000001</v>
      </c>
      <c r="E262" s="41">
        <v>812.32899999999995</v>
      </c>
      <c r="F262" s="35">
        <v>1274</v>
      </c>
      <c r="G262" s="35">
        <v>50</v>
      </c>
      <c r="H262" s="43">
        <v>600</v>
      </c>
      <c r="I262" s="35">
        <v>695</v>
      </c>
      <c r="J262" s="35">
        <v>50</v>
      </c>
      <c r="K262" s="36"/>
      <c r="L262" s="36"/>
      <c r="M262" s="36"/>
      <c r="N262" s="36"/>
      <c r="O262" s="36"/>
      <c r="P262" s="36"/>
      <c r="Q262" s="36"/>
      <c r="R262" s="36"/>
      <c r="S262" s="36"/>
      <c r="T262" s="36"/>
    </row>
    <row r="263" spans="1:20" ht="15.75">
      <c r="A263" s="14">
        <v>49491</v>
      </c>
      <c r="B263" s="44">
        <v>31</v>
      </c>
      <c r="C263" s="35">
        <v>194.20500000000001</v>
      </c>
      <c r="D263" s="35">
        <v>267.46600000000001</v>
      </c>
      <c r="E263" s="41">
        <v>812.32899999999995</v>
      </c>
      <c r="F263" s="35">
        <v>1274</v>
      </c>
      <c r="G263" s="35">
        <v>50</v>
      </c>
      <c r="H263" s="43">
        <v>600</v>
      </c>
      <c r="I263" s="35">
        <v>695</v>
      </c>
      <c r="J263" s="35">
        <v>0</v>
      </c>
      <c r="K263" s="36"/>
      <c r="L263" s="36"/>
      <c r="M263" s="36"/>
      <c r="N263" s="36"/>
      <c r="O263" s="36"/>
      <c r="P263" s="36"/>
      <c r="Q263" s="36"/>
      <c r="R263" s="36"/>
      <c r="S263" s="36"/>
      <c r="T263" s="36"/>
    </row>
    <row r="264" spans="1:20" ht="15.75">
      <c r="A264" s="14">
        <v>49522</v>
      </c>
      <c r="B264" s="44">
        <v>31</v>
      </c>
      <c r="C264" s="35">
        <v>194.20500000000001</v>
      </c>
      <c r="D264" s="35">
        <v>267.46600000000001</v>
      </c>
      <c r="E264" s="41">
        <v>812.32899999999995</v>
      </c>
      <c r="F264" s="35">
        <v>1274</v>
      </c>
      <c r="G264" s="35">
        <v>50</v>
      </c>
      <c r="H264" s="43">
        <v>600</v>
      </c>
      <c r="I264" s="35">
        <v>695</v>
      </c>
      <c r="J264" s="35">
        <v>0</v>
      </c>
      <c r="K264" s="36"/>
      <c r="L264" s="36"/>
      <c r="M264" s="36"/>
      <c r="N264" s="36"/>
      <c r="O264" s="36"/>
      <c r="P264" s="36"/>
      <c r="Q264" s="36"/>
      <c r="R264" s="36"/>
      <c r="S264" s="36"/>
      <c r="T264" s="36"/>
    </row>
    <row r="265" spans="1:20" ht="15.75">
      <c r="A265" s="14">
        <v>49553</v>
      </c>
      <c r="B265" s="44">
        <v>30</v>
      </c>
      <c r="C265" s="35">
        <v>194.20500000000001</v>
      </c>
      <c r="D265" s="35">
        <v>267.46600000000001</v>
      </c>
      <c r="E265" s="41">
        <v>812.32899999999995</v>
      </c>
      <c r="F265" s="35">
        <v>1274</v>
      </c>
      <c r="G265" s="35">
        <v>50</v>
      </c>
      <c r="H265" s="43">
        <v>600</v>
      </c>
      <c r="I265" s="35">
        <v>695</v>
      </c>
      <c r="J265" s="35">
        <v>0</v>
      </c>
      <c r="K265" s="36"/>
      <c r="L265" s="36"/>
      <c r="M265" s="36"/>
      <c r="N265" s="36"/>
      <c r="O265" s="36"/>
      <c r="P265" s="36"/>
      <c r="Q265" s="36"/>
      <c r="R265" s="36"/>
      <c r="S265" s="36"/>
      <c r="T265" s="36"/>
    </row>
    <row r="266" spans="1:20" ht="15.75">
      <c r="A266" s="14">
        <v>49583</v>
      </c>
      <c r="B266" s="44">
        <v>31</v>
      </c>
      <c r="C266" s="35">
        <v>131.881</v>
      </c>
      <c r="D266" s="35">
        <v>277.16699999999997</v>
      </c>
      <c r="E266" s="41">
        <v>829.952</v>
      </c>
      <c r="F266" s="35">
        <v>1239</v>
      </c>
      <c r="G266" s="35">
        <v>75</v>
      </c>
      <c r="H266" s="43">
        <v>600</v>
      </c>
      <c r="I266" s="35">
        <v>695</v>
      </c>
      <c r="J266" s="35">
        <v>0</v>
      </c>
      <c r="K266" s="36"/>
      <c r="L266" s="36"/>
      <c r="M266" s="36"/>
      <c r="N266" s="36"/>
      <c r="O266" s="36"/>
      <c r="P266" s="36"/>
      <c r="Q266" s="36"/>
      <c r="R266" s="36"/>
      <c r="S266" s="36"/>
      <c r="T266" s="36"/>
    </row>
    <row r="267" spans="1:20" ht="15.75">
      <c r="A267" s="14">
        <v>49614</v>
      </c>
      <c r="B267" s="44">
        <v>30</v>
      </c>
      <c r="C267" s="35">
        <v>122.58</v>
      </c>
      <c r="D267" s="35">
        <v>297.94099999999997</v>
      </c>
      <c r="E267" s="41">
        <v>729.47900000000004</v>
      </c>
      <c r="F267" s="35">
        <v>1150</v>
      </c>
      <c r="G267" s="35">
        <v>100</v>
      </c>
      <c r="H267" s="43">
        <v>600</v>
      </c>
      <c r="I267" s="35">
        <v>695</v>
      </c>
      <c r="J267" s="35">
        <v>50</v>
      </c>
      <c r="K267" s="36"/>
      <c r="L267" s="36"/>
      <c r="M267" s="36"/>
      <c r="N267" s="36"/>
      <c r="O267" s="36"/>
      <c r="P267" s="36"/>
      <c r="Q267" s="36"/>
      <c r="R267" s="36"/>
      <c r="S267" s="36"/>
      <c r="T267" s="36"/>
    </row>
    <row r="268" spans="1:20" ht="15.75">
      <c r="A268" s="14">
        <v>49644</v>
      </c>
      <c r="B268" s="44">
        <v>31</v>
      </c>
      <c r="C268" s="35">
        <v>122.58</v>
      </c>
      <c r="D268" s="35">
        <v>297.94099999999997</v>
      </c>
      <c r="E268" s="41">
        <v>729.47900000000004</v>
      </c>
      <c r="F268" s="35">
        <v>1150</v>
      </c>
      <c r="G268" s="35">
        <v>100</v>
      </c>
      <c r="H268" s="43">
        <v>600</v>
      </c>
      <c r="I268" s="35">
        <v>695</v>
      </c>
      <c r="J268" s="35">
        <v>50</v>
      </c>
      <c r="K268" s="36"/>
      <c r="L268" s="36"/>
      <c r="M268" s="36"/>
      <c r="N268" s="36"/>
      <c r="O268" s="36"/>
      <c r="P268" s="36"/>
      <c r="Q268" s="36"/>
      <c r="R268" s="36"/>
      <c r="S268" s="36"/>
      <c r="T268" s="36"/>
    </row>
    <row r="269" spans="1:20" ht="15.75">
      <c r="A269" s="14">
        <v>49675</v>
      </c>
      <c r="B269" s="44">
        <v>31</v>
      </c>
      <c r="C269" s="35">
        <v>122.58</v>
      </c>
      <c r="D269" s="35">
        <v>297.94099999999997</v>
      </c>
      <c r="E269" s="41">
        <v>729.47900000000004</v>
      </c>
      <c r="F269" s="35">
        <v>1150</v>
      </c>
      <c r="G269" s="35">
        <v>100</v>
      </c>
      <c r="H269" s="43">
        <v>600</v>
      </c>
      <c r="I269" s="35">
        <v>695</v>
      </c>
      <c r="J269" s="35">
        <v>50</v>
      </c>
      <c r="K269" s="36"/>
      <c r="L269" s="36"/>
      <c r="M269" s="36"/>
      <c r="N269" s="36"/>
      <c r="O269" s="36"/>
      <c r="P269" s="36"/>
      <c r="Q269" s="36"/>
      <c r="R269" s="36"/>
      <c r="S269" s="36"/>
      <c r="T269" s="36"/>
    </row>
    <row r="270" spans="1:20" ht="15.75">
      <c r="A270" s="14">
        <v>49706</v>
      </c>
      <c r="B270" s="44">
        <v>29</v>
      </c>
      <c r="C270" s="35">
        <v>122.58</v>
      </c>
      <c r="D270" s="35">
        <v>297.94099999999997</v>
      </c>
      <c r="E270" s="41">
        <v>729.47900000000004</v>
      </c>
      <c r="F270" s="35">
        <v>1150</v>
      </c>
      <c r="G270" s="35">
        <v>100</v>
      </c>
      <c r="H270" s="43">
        <v>600</v>
      </c>
      <c r="I270" s="35">
        <v>695</v>
      </c>
      <c r="J270" s="35">
        <v>50</v>
      </c>
      <c r="K270" s="36"/>
      <c r="L270" s="36"/>
      <c r="M270" s="36"/>
      <c r="N270" s="36"/>
      <c r="O270" s="36"/>
      <c r="P270" s="36"/>
      <c r="Q270" s="36"/>
      <c r="R270" s="36"/>
      <c r="S270" s="36"/>
      <c r="T270" s="36"/>
    </row>
    <row r="271" spans="1:20" ht="15.75">
      <c r="A271" s="14">
        <v>49735</v>
      </c>
      <c r="B271" s="44">
        <v>31</v>
      </c>
      <c r="C271" s="35">
        <v>122.58</v>
      </c>
      <c r="D271" s="35">
        <v>297.94099999999997</v>
      </c>
      <c r="E271" s="41">
        <v>729.47900000000004</v>
      </c>
      <c r="F271" s="35">
        <v>1150</v>
      </c>
      <c r="G271" s="35">
        <v>100</v>
      </c>
      <c r="H271" s="43">
        <v>600</v>
      </c>
      <c r="I271" s="35">
        <v>695</v>
      </c>
      <c r="J271" s="35">
        <v>50</v>
      </c>
      <c r="K271" s="36"/>
      <c r="L271" s="36"/>
      <c r="M271" s="36"/>
      <c r="N271" s="36"/>
      <c r="O271" s="36"/>
      <c r="P271" s="36"/>
      <c r="Q271" s="36"/>
      <c r="R271" s="36"/>
      <c r="S271" s="36"/>
      <c r="T271" s="36"/>
    </row>
    <row r="272" spans="1:20" ht="15.75">
      <c r="A272" s="14">
        <v>49766</v>
      </c>
      <c r="B272" s="44">
        <v>30</v>
      </c>
      <c r="C272" s="35">
        <v>141.29300000000001</v>
      </c>
      <c r="D272" s="35">
        <v>267.99299999999999</v>
      </c>
      <c r="E272" s="41">
        <v>829.71400000000006</v>
      </c>
      <c r="F272" s="35">
        <v>1239</v>
      </c>
      <c r="G272" s="35">
        <v>100</v>
      </c>
      <c r="H272" s="43">
        <v>600</v>
      </c>
      <c r="I272" s="35">
        <v>695</v>
      </c>
      <c r="J272" s="35">
        <v>50</v>
      </c>
      <c r="K272" s="36"/>
      <c r="L272" s="36"/>
      <c r="M272" s="36"/>
      <c r="N272" s="36"/>
      <c r="O272" s="36"/>
      <c r="P272" s="36"/>
      <c r="Q272" s="36"/>
      <c r="R272" s="36"/>
      <c r="S272" s="36"/>
      <c r="T272" s="36"/>
    </row>
    <row r="273" spans="1:20" ht="15.75">
      <c r="A273" s="14">
        <v>49796</v>
      </c>
      <c r="B273" s="44">
        <v>31</v>
      </c>
      <c r="C273" s="35">
        <v>194.20500000000001</v>
      </c>
      <c r="D273" s="35">
        <v>267.46600000000001</v>
      </c>
      <c r="E273" s="41">
        <v>812.32899999999995</v>
      </c>
      <c r="F273" s="35">
        <v>1274</v>
      </c>
      <c r="G273" s="35">
        <v>75</v>
      </c>
      <c r="H273" s="43">
        <v>600</v>
      </c>
      <c r="I273" s="35">
        <v>695</v>
      </c>
      <c r="J273" s="35">
        <v>50</v>
      </c>
      <c r="K273" s="36"/>
      <c r="L273" s="36"/>
      <c r="M273" s="36"/>
      <c r="N273" s="36"/>
      <c r="O273" s="36"/>
      <c r="P273" s="36"/>
      <c r="Q273" s="36"/>
      <c r="R273" s="36"/>
      <c r="S273" s="36"/>
      <c r="T273" s="36"/>
    </row>
    <row r="274" spans="1:20" ht="15.75">
      <c r="A274" s="14">
        <v>49827</v>
      </c>
      <c r="B274" s="44">
        <v>30</v>
      </c>
      <c r="C274" s="35">
        <v>194.20500000000001</v>
      </c>
      <c r="D274" s="35">
        <v>267.46600000000001</v>
      </c>
      <c r="E274" s="41">
        <v>812.32899999999995</v>
      </c>
      <c r="F274" s="35">
        <v>1274</v>
      </c>
      <c r="G274" s="35">
        <v>50</v>
      </c>
      <c r="H274" s="43">
        <v>600</v>
      </c>
      <c r="I274" s="35">
        <v>695</v>
      </c>
      <c r="J274" s="35">
        <v>50</v>
      </c>
      <c r="K274" s="36"/>
      <c r="L274" s="36"/>
      <c r="M274" s="36"/>
      <c r="N274" s="36"/>
      <c r="O274" s="36"/>
      <c r="P274" s="36"/>
      <c r="Q274" s="36"/>
      <c r="R274" s="36"/>
      <c r="S274" s="36"/>
      <c r="T274" s="36"/>
    </row>
    <row r="275" spans="1:20" ht="15.75">
      <c r="A275" s="14">
        <v>49857</v>
      </c>
      <c r="B275" s="44">
        <v>31</v>
      </c>
      <c r="C275" s="35">
        <v>194.20500000000001</v>
      </c>
      <c r="D275" s="35">
        <v>267.46600000000001</v>
      </c>
      <c r="E275" s="41">
        <v>812.32899999999995</v>
      </c>
      <c r="F275" s="35">
        <v>1274</v>
      </c>
      <c r="G275" s="35">
        <v>50</v>
      </c>
      <c r="H275" s="43">
        <v>600</v>
      </c>
      <c r="I275" s="35">
        <v>695</v>
      </c>
      <c r="J275" s="35">
        <v>0</v>
      </c>
      <c r="K275" s="36"/>
      <c r="L275" s="36"/>
      <c r="M275" s="36"/>
      <c r="N275" s="36"/>
      <c r="O275" s="36"/>
      <c r="P275" s="36"/>
      <c r="Q275" s="36"/>
      <c r="R275" s="36"/>
      <c r="S275" s="36"/>
      <c r="T275" s="36"/>
    </row>
    <row r="276" spans="1:20" ht="15.75">
      <c r="A276" s="14">
        <v>49888</v>
      </c>
      <c r="B276" s="44">
        <v>31</v>
      </c>
      <c r="C276" s="35">
        <v>194.20500000000001</v>
      </c>
      <c r="D276" s="35">
        <v>267.46600000000001</v>
      </c>
      <c r="E276" s="41">
        <v>812.32899999999995</v>
      </c>
      <c r="F276" s="35">
        <v>1274</v>
      </c>
      <c r="G276" s="35">
        <v>50</v>
      </c>
      <c r="H276" s="43">
        <v>600</v>
      </c>
      <c r="I276" s="35">
        <v>695</v>
      </c>
      <c r="J276" s="35">
        <v>0</v>
      </c>
      <c r="K276" s="36"/>
      <c r="L276" s="36"/>
      <c r="M276" s="36"/>
      <c r="N276" s="36"/>
      <c r="O276" s="36"/>
      <c r="P276" s="36"/>
      <c r="Q276" s="36"/>
      <c r="R276" s="36"/>
      <c r="S276" s="36"/>
      <c r="T276" s="36"/>
    </row>
    <row r="277" spans="1:20" ht="15.75">
      <c r="A277" s="14">
        <v>49919</v>
      </c>
      <c r="B277" s="44">
        <v>30</v>
      </c>
      <c r="C277" s="35">
        <v>194.20500000000001</v>
      </c>
      <c r="D277" s="35">
        <v>267.46600000000001</v>
      </c>
      <c r="E277" s="41">
        <v>812.32899999999995</v>
      </c>
      <c r="F277" s="35">
        <v>1274</v>
      </c>
      <c r="G277" s="35">
        <v>50</v>
      </c>
      <c r="H277" s="43">
        <v>600</v>
      </c>
      <c r="I277" s="35">
        <v>695</v>
      </c>
      <c r="J277" s="35">
        <v>0</v>
      </c>
      <c r="K277" s="36"/>
      <c r="L277" s="36"/>
      <c r="M277" s="36"/>
      <c r="N277" s="36"/>
      <c r="O277" s="36"/>
      <c r="P277" s="36"/>
      <c r="Q277" s="36"/>
      <c r="R277" s="36"/>
      <c r="S277" s="36"/>
      <c r="T277" s="36"/>
    </row>
    <row r="278" spans="1:20" ht="15.75">
      <c r="A278" s="14">
        <v>49949</v>
      </c>
      <c r="B278" s="44">
        <v>31</v>
      </c>
      <c r="C278" s="35">
        <v>131.881</v>
      </c>
      <c r="D278" s="35">
        <v>277.16699999999997</v>
      </c>
      <c r="E278" s="41">
        <v>829.952</v>
      </c>
      <c r="F278" s="35">
        <v>1239</v>
      </c>
      <c r="G278" s="35">
        <v>75</v>
      </c>
      <c r="H278" s="43">
        <v>600</v>
      </c>
      <c r="I278" s="35">
        <v>695</v>
      </c>
      <c r="J278" s="35">
        <v>0</v>
      </c>
      <c r="K278" s="36"/>
      <c r="L278" s="36"/>
      <c r="M278" s="36"/>
      <c r="N278" s="36"/>
      <c r="O278" s="36"/>
      <c r="P278" s="36"/>
      <c r="Q278" s="36"/>
      <c r="R278" s="36"/>
      <c r="S278" s="36"/>
      <c r="T278" s="36"/>
    </row>
    <row r="279" spans="1:20" ht="15.75">
      <c r="A279" s="14">
        <v>49980</v>
      </c>
      <c r="B279" s="44">
        <v>30</v>
      </c>
      <c r="C279" s="35">
        <v>122.58</v>
      </c>
      <c r="D279" s="35">
        <v>297.94099999999997</v>
      </c>
      <c r="E279" s="41">
        <v>729.47900000000004</v>
      </c>
      <c r="F279" s="35">
        <v>1150</v>
      </c>
      <c r="G279" s="35">
        <v>100</v>
      </c>
      <c r="H279" s="43">
        <v>600</v>
      </c>
      <c r="I279" s="35">
        <v>695</v>
      </c>
      <c r="J279" s="35">
        <v>50</v>
      </c>
      <c r="K279" s="36"/>
      <c r="L279" s="36"/>
      <c r="M279" s="36"/>
      <c r="N279" s="36"/>
      <c r="O279" s="36"/>
      <c r="P279" s="36"/>
      <c r="Q279" s="36"/>
      <c r="R279" s="36"/>
      <c r="S279" s="36"/>
      <c r="T279" s="36"/>
    </row>
    <row r="280" spans="1:20" ht="15.75">
      <c r="A280" s="14">
        <v>50010</v>
      </c>
      <c r="B280" s="44">
        <v>31</v>
      </c>
      <c r="C280" s="35">
        <v>122.58</v>
      </c>
      <c r="D280" s="35">
        <v>297.94099999999997</v>
      </c>
      <c r="E280" s="41">
        <v>729.47900000000004</v>
      </c>
      <c r="F280" s="35">
        <v>1150</v>
      </c>
      <c r="G280" s="35">
        <v>100</v>
      </c>
      <c r="H280" s="43">
        <v>600</v>
      </c>
      <c r="I280" s="35">
        <v>695</v>
      </c>
      <c r="J280" s="35">
        <v>50</v>
      </c>
      <c r="K280" s="36"/>
      <c r="L280" s="36"/>
      <c r="M280" s="36"/>
      <c r="N280" s="36"/>
      <c r="O280" s="36"/>
      <c r="P280" s="36"/>
      <c r="Q280" s="36"/>
      <c r="R280" s="36"/>
      <c r="S280" s="36"/>
      <c r="T280" s="36"/>
    </row>
    <row r="281" spans="1:20" ht="15.75">
      <c r="A281" s="14">
        <v>50041</v>
      </c>
      <c r="B281" s="44">
        <v>31</v>
      </c>
      <c r="C281" s="35">
        <v>122.58</v>
      </c>
      <c r="D281" s="35">
        <v>297.94099999999997</v>
      </c>
      <c r="E281" s="41">
        <v>729.47900000000004</v>
      </c>
      <c r="F281" s="35">
        <v>1150</v>
      </c>
      <c r="G281" s="35">
        <v>100</v>
      </c>
      <c r="H281" s="43">
        <v>600</v>
      </c>
      <c r="I281" s="35">
        <v>695</v>
      </c>
      <c r="J281" s="35">
        <v>50</v>
      </c>
      <c r="K281" s="36"/>
      <c r="L281" s="36"/>
      <c r="M281" s="36"/>
      <c r="N281" s="36"/>
      <c r="O281" s="36"/>
      <c r="P281" s="36"/>
      <c r="Q281" s="36"/>
      <c r="R281" s="36"/>
      <c r="S281" s="36"/>
      <c r="T281" s="36"/>
    </row>
    <row r="282" spans="1:20" ht="15.75">
      <c r="A282" s="14">
        <v>50072</v>
      </c>
      <c r="B282" s="44">
        <v>28</v>
      </c>
      <c r="C282" s="35">
        <v>122.58</v>
      </c>
      <c r="D282" s="35">
        <v>297.94099999999997</v>
      </c>
      <c r="E282" s="41">
        <v>729.47900000000004</v>
      </c>
      <c r="F282" s="35">
        <v>1150</v>
      </c>
      <c r="G282" s="35">
        <v>100</v>
      </c>
      <c r="H282" s="43">
        <v>600</v>
      </c>
      <c r="I282" s="35">
        <v>695</v>
      </c>
      <c r="J282" s="35">
        <v>50</v>
      </c>
      <c r="K282" s="36"/>
      <c r="L282" s="36"/>
      <c r="M282" s="36"/>
      <c r="N282" s="36"/>
      <c r="O282" s="36"/>
      <c r="P282" s="36"/>
      <c r="Q282" s="36"/>
      <c r="R282" s="36"/>
      <c r="S282" s="36"/>
      <c r="T282" s="36"/>
    </row>
    <row r="283" spans="1:20" ht="15.75">
      <c r="A283" s="14">
        <v>50100</v>
      </c>
      <c r="B283" s="44">
        <v>31</v>
      </c>
      <c r="C283" s="35">
        <v>122.58</v>
      </c>
      <c r="D283" s="35">
        <v>297.94099999999997</v>
      </c>
      <c r="E283" s="41">
        <v>729.47900000000004</v>
      </c>
      <c r="F283" s="35">
        <v>1150</v>
      </c>
      <c r="G283" s="35">
        <v>100</v>
      </c>
      <c r="H283" s="43">
        <v>600</v>
      </c>
      <c r="I283" s="35">
        <v>695</v>
      </c>
      <c r="J283" s="35">
        <v>50</v>
      </c>
      <c r="K283" s="36"/>
      <c r="L283" s="36"/>
      <c r="M283" s="36"/>
      <c r="N283" s="36"/>
      <c r="O283" s="36"/>
      <c r="P283" s="36"/>
      <c r="Q283" s="36"/>
      <c r="R283" s="36"/>
      <c r="S283" s="36"/>
      <c r="T283" s="36"/>
    </row>
    <row r="284" spans="1:20" ht="15.75">
      <c r="A284" s="14">
        <v>50131</v>
      </c>
      <c r="B284" s="44">
        <v>30</v>
      </c>
      <c r="C284" s="35">
        <v>141.29300000000001</v>
      </c>
      <c r="D284" s="35">
        <v>267.99299999999999</v>
      </c>
      <c r="E284" s="41">
        <v>829.71400000000006</v>
      </c>
      <c r="F284" s="35">
        <v>1239</v>
      </c>
      <c r="G284" s="35">
        <v>100</v>
      </c>
      <c r="H284" s="43">
        <v>600</v>
      </c>
      <c r="I284" s="35">
        <v>695</v>
      </c>
      <c r="J284" s="35">
        <v>50</v>
      </c>
      <c r="K284" s="36"/>
      <c r="L284" s="36"/>
      <c r="M284" s="36"/>
      <c r="N284" s="36"/>
      <c r="O284" s="36"/>
      <c r="P284" s="36"/>
      <c r="Q284" s="36"/>
      <c r="R284" s="36"/>
      <c r="S284" s="36"/>
      <c r="T284" s="36"/>
    </row>
    <row r="285" spans="1:20" ht="15.75">
      <c r="A285" s="14">
        <v>50161</v>
      </c>
      <c r="B285" s="44">
        <v>31</v>
      </c>
      <c r="C285" s="35">
        <v>194.20500000000001</v>
      </c>
      <c r="D285" s="35">
        <v>267.46600000000001</v>
      </c>
      <c r="E285" s="41">
        <v>812.32899999999995</v>
      </c>
      <c r="F285" s="35">
        <v>1274</v>
      </c>
      <c r="G285" s="35">
        <v>75</v>
      </c>
      <c r="H285" s="43">
        <v>600</v>
      </c>
      <c r="I285" s="35">
        <v>695</v>
      </c>
      <c r="J285" s="35">
        <v>50</v>
      </c>
      <c r="K285" s="36"/>
      <c r="L285" s="36"/>
      <c r="M285" s="36"/>
      <c r="N285" s="36"/>
      <c r="O285" s="36"/>
      <c r="P285" s="36"/>
      <c r="Q285" s="36"/>
      <c r="R285" s="36"/>
      <c r="S285" s="36"/>
      <c r="T285" s="36"/>
    </row>
    <row r="286" spans="1:20" ht="15.75">
      <c r="A286" s="14">
        <v>50192</v>
      </c>
      <c r="B286" s="44">
        <v>30</v>
      </c>
      <c r="C286" s="35">
        <v>194.20500000000001</v>
      </c>
      <c r="D286" s="35">
        <v>267.46600000000001</v>
      </c>
      <c r="E286" s="41">
        <v>812.32899999999995</v>
      </c>
      <c r="F286" s="35">
        <v>1274</v>
      </c>
      <c r="G286" s="35">
        <v>50</v>
      </c>
      <c r="H286" s="43">
        <v>600</v>
      </c>
      <c r="I286" s="35">
        <v>695</v>
      </c>
      <c r="J286" s="35">
        <v>50</v>
      </c>
      <c r="K286" s="36"/>
      <c r="L286" s="36"/>
      <c r="M286" s="36"/>
      <c r="N286" s="36"/>
      <c r="O286" s="36"/>
      <c r="P286" s="36"/>
      <c r="Q286" s="36"/>
      <c r="R286" s="36"/>
      <c r="S286" s="36"/>
      <c r="T286" s="36"/>
    </row>
    <row r="287" spans="1:20" ht="15.75">
      <c r="A287" s="14">
        <v>50222</v>
      </c>
      <c r="B287" s="44">
        <v>31</v>
      </c>
      <c r="C287" s="35">
        <v>194.20500000000001</v>
      </c>
      <c r="D287" s="35">
        <v>267.46600000000001</v>
      </c>
      <c r="E287" s="41">
        <v>812.32899999999995</v>
      </c>
      <c r="F287" s="35">
        <v>1274</v>
      </c>
      <c r="G287" s="35">
        <v>50</v>
      </c>
      <c r="H287" s="43">
        <v>600</v>
      </c>
      <c r="I287" s="35">
        <v>695</v>
      </c>
      <c r="J287" s="35">
        <v>0</v>
      </c>
      <c r="K287" s="36"/>
      <c r="L287" s="36"/>
      <c r="M287" s="36"/>
      <c r="N287" s="36"/>
      <c r="O287" s="36"/>
      <c r="P287" s="36"/>
      <c r="Q287" s="36"/>
      <c r="R287" s="36"/>
      <c r="S287" s="36"/>
      <c r="T287" s="36"/>
    </row>
    <row r="288" spans="1:20" ht="15.75">
      <c r="A288" s="14">
        <v>50253</v>
      </c>
      <c r="B288" s="44">
        <v>31</v>
      </c>
      <c r="C288" s="35">
        <v>194.20500000000001</v>
      </c>
      <c r="D288" s="35">
        <v>267.46600000000001</v>
      </c>
      <c r="E288" s="41">
        <v>812.32899999999995</v>
      </c>
      <c r="F288" s="35">
        <v>1274</v>
      </c>
      <c r="G288" s="35">
        <v>50</v>
      </c>
      <c r="H288" s="43">
        <v>600</v>
      </c>
      <c r="I288" s="35">
        <v>695</v>
      </c>
      <c r="J288" s="35">
        <v>0</v>
      </c>
      <c r="K288" s="36"/>
      <c r="L288" s="36"/>
      <c r="M288" s="36"/>
      <c r="N288" s="36"/>
      <c r="O288" s="36"/>
      <c r="P288" s="36"/>
      <c r="Q288" s="36"/>
      <c r="R288" s="36"/>
      <c r="S288" s="36"/>
      <c r="T288" s="36"/>
    </row>
    <row r="289" spans="1:20" ht="15.75">
      <c r="A289" s="14">
        <v>50284</v>
      </c>
      <c r="B289" s="44">
        <v>30</v>
      </c>
      <c r="C289" s="35">
        <v>194.20500000000001</v>
      </c>
      <c r="D289" s="35">
        <v>267.46600000000001</v>
      </c>
      <c r="E289" s="41">
        <v>812.32899999999995</v>
      </c>
      <c r="F289" s="35">
        <v>1274</v>
      </c>
      <c r="G289" s="35">
        <v>50</v>
      </c>
      <c r="H289" s="43">
        <v>600</v>
      </c>
      <c r="I289" s="35">
        <v>695</v>
      </c>
      <c r="J289" s="35">
        <v>0</v>
      </c>
      <c r="K289" s="36"/>
      <c r="L289" s="36"/>
      <c r="M289" s="36"/>
      <c r="N289" s="36"/>
      <c r="O289" s="36"/>
      <c r="P289" s="36"/>
      <c r="Q289" s="36"/>
      <c r="R289" s="36"/>
      <c r="S289" s="36"/>
      <c r="T289" s="36"/>
    </row>
    <row r="290" spans="1:20" ht="15.75">
      <c r="A290" s="14">
        <v>50314</v>
      </c>
      <c r="B290" s="44">
        <v>31</v>
      </c>
      <c r="C290" s="35">
        <v>131.881</v>
      </c>
      <c r="D290" s="35">
        <v>277.16699999999997</v>
      </c>
      <c r="E290" s="41">
        <v>829.952</v>
      </c>
      <c r="F290" s="35">
        <v>1239</v>
      </c>
      <c r="G290" s="35">
        <v>75</v>
      </c>
      <c r="H290" s="43">
        <v>600</v>
      </c>
      <c r="I290" s="35">
        <v>695</v>
      </c>
      <c r="J290" s="35">
        <v>0</v>
      </c>
      <c r="K290" s="36"/>
      <c r="L290" s="36"/>
      <c r="M290" s="36"/>
      <c r="N290" s="36"/>
      <c r="O290" s="36"/>
      <c r="P290" s="36"/>
      <c r="Q290" s="36"/>
      <c r="R290" s="36"/>
      <c r="S290" s="36"/>
      <c r="T290" s="36"/>
    </row>
    <row r="291" spans="1:20" ht="15.75">
      <c r="A291" s="14">
        <v>50345</v>
      </c>
      <c r="B291" s="44">
        <v>30</v>
      </c>
      <c r="C291" s="35">
        <v>122.58</v>
      </c>
      <c r="D291" s="35">
        <v>297.94099999999997</v>
      </c>
      <c r="E291" s="41">
        <v>729.47900000000004</v>
      </c>
      <c r="F291" s="35">
        <v>1150</v>
      </c>
      <c r="G291" s="35">
        <v>100</v>
      </c>
      <c r="H291" s="43">
        <v>600</v>
      </c>
      <c r="I291" s="35">
        <v>695</v>
      </c>
      <c r="J291" s="35">
        <v>50</v>
      </c>
      <c r="K291" s="36"/>
      <c r="L291" s="36"/>
      <c r="M291" s="36"/>
      <c r="N291" s="36"/>
      <c r="O291" s="36"/>
      <c r="P291" s="36"/>
      <c r="Q291" s="36"/>
      <c r="R291" s="36"/>
      <c r="S291" s="36"/>
      <c r="T291" s="36"/>
    </row>
    <row r="292" spans="1:20" ht="15.75">
      <c r="A292" s="14">
        <v>50375</v>
      </c>
      <c r="B292" s="44">
        <v>31</v>
      </c>
      <c r="C292" s="35">
        <v>122.58</v>
      </c>
      <c r="D292" s="35">
        <v>297.94099999999997</v>
      </c>
      <c r="E292" s="41">
        <v>729.47900000000004</v>
      </c>
      <c r="F292" s="35">
        <v>1150</v>
      </c>
      <c r="G292" s="35">
        <v>100</v>
      </c>
      <c r="H292" s="43">
        <v>600</v>
      </c>
      <c r="I292" s="35">
        <v>695</v>
      </c>
      <c r="J292" s="35">
        <v>50</v>
      </c>
      <c r="K292" s="36"/>
      <c r="L292" s="36"/>
      <c r="M292" s="36"/>
      <c r="N292" s="36"/>
      <c r="O292" s="36"/>
      <c r="P292" s="36"/>
      <c r="Q292" s="36"/>
      <c r="R292" s="36"/>
      <c r="S292" s="36"/>
      <c r="T292" s="36"/>
    </row>
    <row r="293" spans="1:20" ht="15.75">
      <c r="A293" s="13">
        <v>50436</v>
      </c>
      <c r="B293" s="44">
        <v>31</v>
      </c>
      <c r="C293" s="35">
        <v>122.58</v>
      </c>
      <c r="D293" s="35">
        <v>297.94099999999997</v>
      </c>
      <c r="E293" s="41">
        <v>729.47900000000004</v>
      </c>
      <c r="F293" s="35">
        <v>1150</v>
      </c>
      <c r="G293" s="35">
        <v>100</v>
      </c>
      <c r="H293" s="43">
        <v>600</v>
      </c>
      <c r="I293" s="35">
        <v>695</v>
      </c>
      <c r="J293" s="35">
        <v>50</v>
      </c>
      <c r="K293" s="36"/>
      <c r="L293" s="36"/>
      <c r="M293" s="36"/>
      <c r="N293" s="36"/>
      <c r="O293" s="36"/>
      <c r="P293" s="36"/>
      <c r="Q293" s="36"/>
      <c r="R293" s="36"/>
      <c r="S293" s="36"/>
      <c r="T293" s="36"/>
    </row>
    <row r="294" spans="1:20" ht="15.75">
      <c r="A294" s="13">
        <v>50464</v>
      </c>
      <c r="B294" s="44">
        <v>28</v>
      </c>
      <c r="C294" s="35">
        <v>122.58</v>
      </c>
      <c r="D294" s="35">
        <v>297.94099999999997</v>
      </c>
      <c r="E294" s="41">
        <v>729.47900000000004</v>
      </c>
      <c r="F294" s="35">
        <v>1150</v>
      </c>
      <c r="G294" s="35">
        <v>100</v>
      </c>
      <c r="H294" s="43">
        <v>600</v>
      </c>
      <c r="I294" s="35">
        <v>695</v>
      </c>
      <c r="J294" s="35">
        <v>50</v>
      </c>
      <c r="K294" s="36"/>
      <c r="L294" s="36"/>
      <c r="M294" s="36"/>
      <c r="N294" s="36"/>
      <c r="O294" s="36"/>
      <c r="P294" s="36"/>
      <c r="Q294" s="36"/>
      <c r="R294" s="36"/>
      <c r="S294" s="36"/>
      <c r="T294" s="36"/>
    </row>
    <row r="295" spans="1:20" ht="15.75">
      <c r="A295" s="13">
        <v>50495</v>
      </c>
      <c r="B295" s="44">
        <v>31</v>
      </c>
      <c r="C295" s="35">
        <v>122.58</v>
      </c>
      <c r="D295" s="35">
        <v>297.94099999999997</v>
      </c>
      <c r="E295" s="41">
        <v>729.47900000000004</v>
      </c>
      <c r="F295" s="35">
        <v>1150</v>
      </c>
      <c r="G295" s="35">
        <v>100</v>
      </c>
      <c r="H295" s="43">
        <v>600</v>
      </c>
      <c r="I295" s="35">
        <v>695</v>
      </c>
      <c r="J295" s="35">
        <v>50</v>
      </c>
      <c r="K295" s="36"/>
      <c r="L295" s="36"/>
      <c r="M295" s="36"/>
      <c r="N295" s="36"/>
      <c r="O295" s="36"/>
      <c r="P295" s="36"/>
      <c r="Q295" s="36"/>
      <c r="R295" s="36"/>
      <c r="S295" s="36"/>
      <c r="T295" s="36"/>
    </row>
    <row r="296" spans="1:20" ht="15.75">
      <c r="A296" s="13">
        <v>50525</v>
      </c>
      <c r="B296" s="44">
        <v>30</v>
      </c>
      <c r="C296" s="35">
        <v>141.29300000000001</v>
      </c>
      <c r="D296" s="35">
        <v>267.99299999999999</v>
      </c>
      <c r="E296" s="41">
        <v>829.71400000000006</v>
      </c>
      <c r="F296" s="35">
        <v>1239</v>
      </c>
      <c r="G296" s="35">
        <v>100</v>
      </c>
      <c r="H296" s="43">
        <v>600</v>
      </c>
      <c r="I296" s="35">
        <v>695</v>
      </c>
      <c r="J296" s="35">
        <v>50</v>
      </c>
      <c r="K296" s="36"/>
      <c r="L296" s="36"/>
      <c r="M296" s="36"/>
      <c r="N296" s="36"/>
      <c r="O296" s="36"/>
      <c r="P296" s="36"/>
      <c r="Q296" s="36"/>
      <c r="R296" s="36"/>
      <c r="S296" s="36"/>
      <c r="T296" s="36"/>
    </row>
    <row r="297" spans="1:20" ht="15.75">
      <c r="A297" s="13">
        <v>50556</v>
      </c>
      <c r="B297" s="44">
        <v>31</v>
      </c>
      <c r="C297" s="35">
        <v>194.20500000000001</v>
      </c>
      <c r="D297" s="35">
        <v>267.46600000000001</v>
      </c>
      <c r="E297" s="41">
        <v>812.32899999999995</v>
      </c>
      <c r="F297" s="35">
        <v>1274</v>
      </c>
      <c r="G297" s="35">
        <v>75</v>
      </c>
      <c r="H297" s="43">
        <v>600</v>
      </c>
      <c r="I297" s="35">
        <v>695</v>
      </c>
      <c r="J297" s="35">
        <v>50</v>
      </c>
      <c r="K297" s="36"/>
      <c r="L297" s="36"/>
      <c r="M297" s="36"/>
      <c r="N297" s="36"/>
      <c r="O297" s="36"/>
      <c r="P297" s="36"/>
      <c r="Q297" s="36"/>
      <c r="R297" s="36"/>
      <c r="S297" s="36"/>
      <c r="T297" s="36"/>
    </row>
    <row r="298" spans="1:20" ht="15.75">
      <c r="A298" s="13">
        <v>50586</v>
      </c>
      <c r="B298" s="44">
        <v>30</v>
      </c>
      <c r="C298" s="35">
        <v>194.20500000000001</v>
      </c>
      <c r="D298" s="35">
        <v>267.46600000000001</v>
      </c>
      <c r="E298" s="41">
        <v>812.32899999999995</v>
      </c>
      <c r="F298" s="35">
        <v>1274</v>
      </c>
      <c r="G298" s="35">
        <v>50</v>
      </c>
      <c r="H298" s="43">
        <v>600</v>
      </c>
      <c r="I298" s="35">
        <v>695</v>
      </c>
      <c r="J298" s="35">
        <v>50</v>
      </c>
      <c r="K298" s="36"/>
      <c r="L298" s="36"/>
      <c r="M298" s="36"/>
      <c r="N298" s="36"/>
      <c r="O298" s="36"/>
      <c r="P298" s="36"/>
      <c r="Q298" s="36"/>
      <c r="R298" s="36"/>
      <c r="S298" s="36"/>
      <c r="T298" s="36"/>
    </row>
    <row r="299" spans="1:20" ht="15.75">
      <c r="A299" s="13">
        <v>50617</v>
      </c>
      <c r="B299" s="44">
        <v>31</v>
      </c>
      <c r="C299" s="35">
        <v>194.20500000000001</v>
      </c>
      <c r="D299" s="35">
        <v>267.46600000000001</v>
      </c>
      <c r="E299" s="41">
        <v>812.32899999999995</v>
      </c>
      <c r="F299" s="35">
        <v>1274</v>
      </c>
      <c r="G299" s="35">
        <v>50</v>
      </c>
      <c r="H299" s="43">
        <v>600</v>
      </c>
      <c r="I299" s="35">
        <v>695</v>
      </c>
      <c r="J299" s="35">
        <v>0</v>
      </c>
      <c r="K299" s="36"/>
      <c r="L299" s="36"/>
      <c r="M299" s="36"/>
      <c r="N299" s="36"/>
      <c r="O299" s="36"/>
      <c r="P299" s="36"/>
      <c r="Q299" s="36"/>
      <c r="R299" s="36"/>
      <c r="S299" s="36"/>
      <c r="T299" s="36"/>
    </row>
    <row r="300" spans="1:20" ht="15.75">
      <c r="A300" s="13">
        <v>50648</v>
      </c>
      <c r="B300" s="44">
        <v>31</v>
      </c>
      <c r="C300" s="35">
        <v>194.20500000000001</v>
      </c>
      <c r="D300" s="35">
        <v>267.46600000000001</v>
      </c>
      <c r="E300" s="41">
        <v>812.32899999999995</v>
      </c>
      <c r="F300" s="35">
        <v>1274</v>
      </c>
      <c r="G300" s="35">
        <v>50</v>
      </c>
      <c r="H300" s="43">
        <v>600</v>
      </c>
      <c r="I300" s="35">
        <v>695</v>
      </c>
      <c r="J300" s="35">
        <v>0</v>
      </c>
      <c r="K300" s="36"/>
      <c r="L300" s="36"/>
      <c r="M300" s="36"/>
      <c r="N300" s="36"/>
      <c r="O300" s="36"/>
      <c r="P300" s="36"/>
      <c r="Q300" s="36"/>
      <c r="R300" s="36"/>
      <c r="S300" s="36"/>
      <c r="T300" s="36"/>
    </row>
    <row r="301" spans="1:20" ht="15.75">
      <c r="A301" s="13">
        <v>50678</v>
      </c>
      <c r="B301" s="44">
        <v>30</v>
      </c>
      <c r="C301" s="35">
        <v>194.20500000000001</v>
      </c>
      <c r="D301" s="35">
        <v>267.46600000000001</v>
      </c>
      <c r="E301" s="41">
        <v>812.32899999999995</v>
      </c>
      <c r="F301" s="35">
        <v>1274</v>
      </c>
      <c r="G301" s="35">
        <v>50</v>
      </c>
      <c r="H301" s="43">
        <v>600</v>
      </c>
      <c r="I301" s="35">
        <v>695</v>
      </c>
      <c r="J301" s="35">
        <v>0</v>
      </c>
      <c r="K301" s="36"/>
      <c r="L301" s="36"/>
      <c r="M301" s="36"/>
      <c r="N301" s="36"/>
      <c r="O301" s="36"/>
      <c r="P301" s="36"/>
      <c r="Q301" s="36"/>
      <c r="R301" s="36"/>
      <c r="S301" s="36"/>
      <c r="T301" s="36"/>
    </row>
    <row r="302" spans="1:20" ht="15.75">
      <c r="A302" s="13">
        <v>50709</v>
      </c>
      <c r="B302" s="44">
        <v>31</v>
      </c>
      <c r="C302" s="35">
        <v>131.881</v>
      </c>
      <c r="D302" s="35">
        <v>277.16699999999997</v>
      </c>
      <c r="E302" s="41">
        <v>829.952</v>
      </c>
      <c r="F302" s="35">
        <v>1239</v>
      </c>
      <c r="G302" s="35">
        <v>75</v>
      </c>
      <c r="H302" s="43">
        <v>600</v>
      </c>
      <c r="I302" s="35">
        <v>695</v>
      </c>
      <c r="J302" s="35">
        <v>0</v>
      </c>
      <c r="K302" s="36"/>
      <c r="L302" s="36"/>
      <c r="M302" s="36"/>
      <c r="N302" s="36"/>
      <c r="O302" s="36"/>
      <c r="P302" s="36"/>
      <c r="Q302" s="36"/>
      <c r="R302" s="36"/>
      <c r="S302" s="36"/>
      <c r="T302" s="36"/>
    </row>
    <row r="303" spans="1:20" ht="15.75">
      <c r="A303" s="13">
        <v>50739</v>
      </c>
      <c r="B303" s="44">
        <v>30</v>
      </c>
      <c r="C303" s="35">
        <v>122.58</v>
      </c>
      <c r="D303" s="35">
        <v>297.94099999999997</v>
      </c>
      <c r="E303" s="41">
        <v>729.47900000000004</v>
      </c>
      <c r="F303" s="35">
        <v>1150</v>
      </c>
      <c r="G303" s="35">
        <v>100</v>
      </c>
      <c r="H303" s="43">
        <v>600</v>
      </c>
      <c r="I303" s="35">
        <v>695</v>
      </c>
      <c r="J303" s="35">
        <v>50</v>
      </c>
      <c r="K303" s="36"/>
      <c r="L303" s="36"/>
      <c r="M303" s="36"/>
      <c r="N303" s="36"/>
      <c r="O303" s="36"/>
      <c r="P303" s="36"/>
      <c r="Q303" s="36"/>
      <c r="R303" s="36"/>
      <c r="S303" s="36"/>
      <c r="T303" s="36"/>
    </row>
    <row r="304" spans="1:20" ht="15.75">
      <c r="A304" s="13">
        <v>50770</v>
      </c>
      <c r="B304" s="44">
        <v>31</v>
      </c>
      <c r="C304" s="35">
        <v>122.58</v>
      </c>
      <c r="D304" s="35">
        <v>297.94099999999997</v>
      </c>
      <c r="E304" s="41">
        <v>729.47900000000004</v>
      </c>
      <c r="F304" s="35">
        <v>1150</v>
      </c>
      <c r="G304" s="35">
        <v>100</v>
      </c>
      <c r="H304" s="43">
        <v>600</v>
      </c>
      <c r="I304" s="35">
        <v>695</v>
      </c>
      <c r="J304" s="35">
        <v>50</v>
      </c>
      <c r="K304" s="36"/>
      <c r="L304" s="36"/>
      <c r="M304" s="36"/>
      <c r="N304" s="36"/>
      <c r="O304" s="36"/>
      <c r="P304" s="36"/>
      <c r="Q304" s="36"/>
      <c r="R304" s="36"/>
      <c r="S304" s="36"/>
      <c r="T304" s="36"/>
    </row>
    <row r="305" spans="1:20" ht="15.75">
      <c r="A305" s="13">
        <v>50801</v>
      </c>
      <c r="B305" s="44">
        <v>31</v>
      </c>
      <c r="C305" s="35">
        <v>122.58</v>
      </c>
      <c r="D305" s="35">
        <v>297.94099999999997</v>
      </c>
      <c r="E305" s="41">
        <v>729.47900000000004</v>
      </c>
      <c r="F305" s="35">
        <v>1150</v>
      </c>
      <c r="G305" s="35">
        <v>100</v>
      </c>
      <c r="H305" s="43">
        <v>600</v>
      </c>
      <c r="I305" s="35">
        <v>695</v>
      </c>
      <c r="J305" s="35">
        <v>50</v>
      </c>
      <c r="K305" s="36"/>
      <c r="L305" s="36"/>
      <c r="M305" s="36"/>
      <c r="N305" s="36"/>
      <c r="O305" s="36"/>
      <c r="P305" s="36"/>
      <c r="Q305" s="36"/>
      <c r="R305" s="36"/>
      <c r="S305" s="36"/>
      <c r="T305" s="36"/>
    </row>
    <row r="306" spans="1:20" ht="15.75">
      <c r="A306" s="13">
        <v>50829</v>
      </c>
      <c r="B306" s="44">
        <v>28</v>
      </c>
      <c r="C306" s="35">
        <v>122.58</v>
      </c>
      <c r="D306" s="35">
        <v>297.94099999999997</v>
      </c>
      <c r="E306" s="41">
        <v>729.47900000000004</v>
      </c>
      <c r="F306" s="35">
        <v>1150</v>
      </c>
      <c r="G306" s="35">
        <v>100</v>
      </c>
      <c r="H306" s="43">
        <v>600</v>
      </c>
      <c r="I306" s="35">
        <v>695</v>
      </c>
      <c r="J306" s="35">
        <v>50</v>
      </c>
      <c r="K306" s="36"/>
      <c r="L306" s="36"/>
      <c r="M306" s="36"/>
      <c r="N306" s="36"/>
      <c r="O306" s="36"/>
      <c r="P306" s="36"/>
      <c r="Q306" s="36"/>
      <c r="R306" s="36"/>
      <c r="S306" s="36"/>
      <c r="T306" s="36"/>
    </row>
    <row r="307" spans="1:20" ht="15.75">
      <c r="A307" s="13">
        <v>50860</v>
      </c>
      <c r="B307" s="44">
        <v>31</v>
      </c>
      <c r="C307" s="35">
        <v>122.58</v>
      </c>
      <c r="D307" s="35">
        <v>297.94099999999997</v>
      </c>
      <c r="E307" s="41">
        <v>729.47900000000004</v>
      </c>
      <c r="F307" s="35">
        <v>1150</v>
      </c>
      <c r="G307" s="35">
        <v>100</v>
      </c>
      <c r="H307" s="43">
        <v>600</v>
      </c>
      <c r="I307" s="35">
        <v>695</v>
      </c>
      <c r="J307" s="35">
        <v>50</v>
      </c>
      <c r="K307" s="36"/>
      <c r="L307" s="36"/>
      <c r="M307" s="36"/>
      <c r="N307" s="36"/>
      <c r="O307" s="36"/>
      <c r="P307" s="36"/>
      <c r="Q307" s="36"/>
      <c r="R307" s="36"/>
      <c r="S307" s="36"/>
      <c r="T307" s="36"/>
    </row>
    <row r="308" spans="1:20" ht="15.75">
      <c r="A308" s="13">
        <v>50890</v>
      </c>
      <c r="B308" s="44">
        <v>30</v>
      </c>
      <c r="C308" s="35">
        <v>141.29300000000001</v>
      </c>
      <c r="D308" s="35">
        <v>267.99299999999999</v>
      </c>
      <c r="E308" s="41">
        <v>829.71400000000006</v>
      </c>
      <c r="F308" s="35">
        <v>1239</v>
      </c>
      <c r="G308" s="35">
        <v>100</v>
      </c>
      <c r="H308" s="43">
        <v>600</v>
      </c>
      <c r="I308" s="35">
        <v>695</v>
      </c>
      <c r="J308" s="35">
        <v>50</v>
      </c>
      <c r="K308" s="36"/>
      <c r="L308" s="36"/>
      <c r="M308" s="36"/>
      <c r="N308" s="36"/>
      <c r="O308" s="36"/>
      <c r="P308" s="36"/>
      <c r="Q308" s="36"/>
      <c r="R308" s="36"/>
      <c r="S308" s="36"/>
      <c r="T308" s="36"/>
    </row>
    <row r="309" spans="1:20" ht="15.75">
      <c r="A309" s="13">
        <v>50921</v>
      </c>
      <c r="B309" s="44">
        <v>31</v>
      </c>
      <c r="C309" s="35">
        <v>194.20500000000001</v>
      </c>
      <c r="D309" s="35">
        <v>267.46600000000001</v>
      </c>
      <c r="E309" s="41">
        <v>812.32899999999995</v>
      </c>
      <c r="F309" s="35">
        <v>1274</v>
      </c>
      <c r="G309" s="35">
        <v>75</v>
      </c>
      <c r="H309" s="43">
        <v>600</v>
      </c>
      <c r="I309" s="35">
        <v>695</v>
      </c>
      <c r="J309" s="35">
        <v>50</v>
      </c>
      <c r="K309" s="36"/>
      <c r="L309" s="36"/>
      <c r="M309" s="36"/>
      <c r="N309" s="36"/>
      <c r="O309" s="36"/>
      <c r="P309" s="36"/>
      <c r="Q309" s="36"/>
      <c r="R309" s="36"/>
      <c r="S309" s="36"/>
      <c r="T309" s="36"/>
    </row>
    <row r="310" spans="1:20" ht="15.75">
      <c r="A310" s="13">
        <v>50951</v>
      </c>
      <c r="B310" s="44">
        <v>30</v>
      </c>
      <c r="C310" s="35">
        <v>194.20500000000001</v>
      </c>
      <c r="D310" s="35">
        <v>267.46600000000001</v>
      </c>
      <c r="E310" s="41">
        <v>812.32899999999995</v>
      </c>
      <c r="F310" s="35">
        <v>1274</v>
      </c>
      <c r="G310" s="35">
        <v>50</v>
      </c>
      <c r="H310" s="43">
        <v>600</v>
      </c>
      <c r="I310" s="35">
        <v>695</v>
      </c>
      <c r="J310" s="35">
        <v>50</v>
      </c>
      <c r="K310" s="36"/>
      <c r="L310" s="36"/>
      <c r="M310" s="36"/>
      <c r="N310" s="36"/>
      <c r="O310" s="36"/>
      <c r="P310" s="36"/>
      <c r="Q310" s="36"/>
      <c r="R310" s="36"/>
      <c r="S310" s="36"/>
      <c r="T310" s="36"/>
    </row>
    <row r="311" spans="1:20" ht="15.75">
      <c r="A311" s="13">
        <v>50982</v>
      </c>
      <c r="B311" s="44">
        <v>31</v>
      </c>
      <c r="C311" s="35">
        <v>194.20500000000001</v>
      </c>
      <c r="D311" s="35">
        <v>267.46600000000001</v>
      </c>
      <c r="E311" s="41">
        <v>812.32899999999995</v>
      </c>
      <c r="F311" s="35">
        <v>1274</v>
      </c>
      <c r="G311" s="35">
        <v>50</v>
      </c>
      <c r="H311" s="43">
        <v>600</v>
      </c>
      <c r="I311" s="35">
        <v>695</v>
      </c>
      <c r="J311" s="35">
        <v>0</v>
      </c>
      <c r="K311" s="36"/>
      <c r="L311" s="36"/>
      <c r="M311" s="36"/>
      <c r="N311" s="36"/>
      <c r="O311" s="36"/>
      <c r="P311" s="36"/>
      <c r="Q311" s="36"/>
      <c r="R311" s="36"/>
      <c r="S311" s="36"/>
      <c r="T311" s="36"/>
    </row>
    <row r="312" spans="1:20" ht="15.75">
      <c r="A312" s="13">
        <v>51013</v>
      </c>
      <c r="B312" s="44">
        <v>31</v>
      </c>
      <c r="C312" s="35">
        <v>194.20500000000001</v>
      </c>
      <c r="D312" s="35">
        <v>267.46600000000001</v>
      </c>
      <c r="E312" s="41">
        <v>812.32899999999995</v>
      </c>
      <c r="F312" s="35">
        <v>1274</v>
      </c>
      <c r="G312" s="35">
        <v>50</v>
      </c>
      <c r="H312" s="43">
        <v>600</v>
      </c>
      <c r="I312" s="35">
        <v>695</v>
      </c>
      <c r="J312" s="35">
        <v>0</v>
      </c>
      <c r="K312" s="36"/>
      <c r="L312" s="36"/>
      <c r="M312" s="36"/>
      <c r="N312" s="36"/>
      <c r="O312" s="36"/>
      <c r="P312" s="36"/>
      <c r="Q312" s="36"/>
      <c r="R312" s="36"/>
      <c r="S312" s="36"/>
      <c r="T312" s="36"/>
    </row>
    <row r="313" spans="1:20" ht="15.75">
      <c r="A313" s="13">
        <v>51043</v>
      </c>
      <c r="B313" s="44">
        <v>30</v>
      </c>
      <c r="C313" s="35">
        <v>194.20500000000001</v>
      </c>
      <c r="D313" s="35">
        <v>267.46600000000001</v>
      </c>
      <c r="E313" s="41">
        <v>812.32899999999995</v>
      </c>
      <c r="F313" s="35">
        <v>1274</v>
      </c>
      <c r="G313" s="35">
        <v>50</v>
      </c>
      <c r="H313" s="43">
        <v>600</v>
      </c>
      <c r="I313" s="35">
        <v>695</v>
      </c>
      <c r="J313" s="35">
        <v>0</v>
      </c>
      <c r="K313" s="36"/>
      <c r="L313" s="36"/>
      <c r="M313" s="36"/>
      <c r="N313" s="36"/>
      <c r="O313" s="36"/>
      <c r="P313" s="36"/>
      <c r="Q313" s="36"/>
      <c r="R313" s="36"/>
      <c r="S313" s="36"/>
      <c r="T313" s="36"/>
    </row>
    <row r="314" spans="1:20" ht="15.75">
      <c r="A314" s="13">
        <v>51074</v>
      </c>
      <c r="B314" s="44">
        <v>31</v>
      </c>
      <c r="C314" s="35">
        <v>131.881</v>
      </c>
      <c r="D314" s="35">
        <v>277.16699999999997</v>
      </c>
      <c r="E314" s="41">
        <v>829.952</v>
      </c>
      <c r="F314" s="35">
        <v>1239</v>
      </c>
      <c r="G314" s="35">
        <v>75</v>
      </c>
      <c r="H314" s="43">
        <v>600</v>
      </c>
      <c r="I314" s="35">
        <v>695</v>
      </c>
      <c r="J314" s="35">
        <v>0</v>
      </c>
      <c r="K314" s="36"/>
      <c r="L314" s="36"/>
      <c r="M314" s="36"/>
      <c r="N314" s="36"/>
      <c r="O314" s="36"/>
      <c r="P314" s="36"/>
      <c r="Q314" s="36"/>
      <c r="R314" s="36"/>
      <c r="S314" s="36"/>
      <c r="T314" s="36"/>
    </row>
    <row r="315" spans="1:20" ht="15.75">
      <c r="A315" s="13">
        <v>51104</v>
      </c>
      <c r="B315" s="44">
        <v>30</v>
      </c>
      <c r="C315" s="35">
        <v>122.58</v>
      </c>
      <c r="D315" s="35">
        <v>297.94099999999997</v>
      </c>
      <c r="E315" s="41">
        <v>729.47900000000004</v>
      </c>
      <c r="F315" s="35">
        <v>1150</v>
      </c>
      <c r="G315" s="35">
        <v>100</v>
      </c>
      <c r="H315" s="43">
        <v>600</v>
      </c>
      <c r="I315" s="35">
        <v>695</v>
      </c>
      <c r="J315" s="35">
        <v>50</v>
      </c>
      <c r="K315" s="36"/>
      <c r="L315" s="36"/>
      <c r="M315" s="36"/>
      <c r="N315" s="36"/>
      <c r="O315" s="36"/>
      <c r="P315" s="36"/>
      <c r="Q315" s="36"/>
      <c r="R315" s="36"/>
      <c r="S315" s="36"/>
      <c r="T315" s="36"/>
    </row>
    <row r="316" spans="1:20" ht="15.75">
      <c r="A316" s="13">
        <v>51135</v>
      </c>
      <c r="B316" s="44">
        <v>31</v>
      </c>
      <c r="C316" s="35">
        <v>122.58</v>
      </c>
      <c r="D316" s="35">
        <v>297.94099999999997</v>
      </c>
      <c r="E316" s="41">
        <v>729.47900000000004</v>
      </c>
      <c r="F316" s="35">
        <v>1150</v>
      </c>
      <c r="G316" s="35">
        <v>100</v>
      </c>
      <c r="H316" s="43">
        <v>600</v>
      </c>
      <c r="I316" s="35">
        <v>695</v>
      </c>
      <c r="J316" s="35">
        <v>50</v>
      </c>
      <c r="K316" s="36"/>
      <c r="L316" s="36"/>
      <c r="M316" s="36"/>
      <c r="N316" s="36"/>
      <c r="O316" s="36"/>
      <c r="P316" s="36"/>
      <c r="Q316" s="36"/>
      <c r="R316" s="36"/>
      <c r="S316" s="36"/>
      <c r="T316" s="36"/>
    </row>
    <row r="317" spans="1:20" ht="15.75">
      <c r="A317" s="13">
        <v>51166</v>
      </c>
      <c r="B317" s="44">
        <v>31</v>
      </c>
      <c r="C317" s="35">
        <v>122.58</v>
      </c>
      <c r="D317" s="35">
        <v>297.94099999999997</v>
      </c>
      <c r="E317" s="41">
        <v>729.47900000000004</v>
      </c>
      <c r="F317" s="35">
        <v>1150</v>
      </c>
      <c r="G317" s="35">
        <v>100</v>
      </c>
      <c r="H317" s="43">
        <v>600</v>
      </c>
      <c r="I317" s="35">
        <v>695</v>
      </c>
      <c r="J317" s="35">
        <v>50</v>
      </c>
      <c r="K317" s="36"/>
      <c r="L317" s="36"/>
      <c r="M317" s="36"/>
      <c r="N317" s="36"/>
      <c r="O317" s="36"/>
      <c r="P317" s="36"/>
      <c r="Q317" s="36"/>
      <c r="R317" s="36"/>
      <c r="S317" s="36"/>
      <c r="T317" s="36"/>
    </row>
    <row r="318" spans="1:20" ht="15.75">
      <c r="A318" s="13">
        <v>51194</v>
      </c>
      <c r="B318" s="44">
        <v>29</v>
      </c>
      <c r="C318" s="35">
        <v>122.58</v>
      </c>
      <c r="D318" s="35">
        <v>297.94099999999997</v>
      </c>
      <c r="E318" s="41">
        <v>729.47900000000004</v>
      </c>
      <c r="F318" s="35">
        <v>1150</v>
      </c>
      <c r="G318" s="35">
        <v>100</v>
      </c>
      <c r="H318" s="43">
        <v>600</v>
      </c>
      <c r="I318" s="35">
        <v>695</v>
      </c>
      <c r="J318" s="35">
        <v>50</v>
      </c>
      <c r="K318" s="36"/>
      <c r="L318" s="36"/>
      <c r="M318" s="36"/>
      <c r="N318" s="36"/>
      <c r="O318" s="36"/>
      <c r="P318" s="36"/>
      <c r="Q318" s="36"/>
      <c r="R318" s="36"/>
      <c r="S318" s="36"/>
      <c r="T318" s="36"/>
    </row>
    <row r="319" spans="1:20" ht="15.75">
      <c r="A319" s="13">
        <v>51226</v>
      </c>
      <c r="B319" s="44">
        <v>31</v>
      </c>
      <c r="C319" s="35">
        <v>122.58</v>
      </c>
      <c r="D319" s="35">
        <v>297.94099999999997</v>
      </c>
      <c r="E319" s="41">
        <v>729.47900000000004</v>
      </c>
      <c r="F319" s="35">
        <v>1150</v>
      </c>
      <c r="G319" s="35">
        <v>100</v>
      </c>
      <c r="H319" s="43">
        <v>600</v>
      </c>
      <c r="I319" s="35">
        <v>695</v>
      </c>
      <c r="J319" s="35">
        <v>50</v>
      </c>
      <c r="K319" s="36"/>
      <c r="L319" s="36"/>
      <c r="M319" s="36"/>
      <c r="N319" s="36"/>
      <c r="O319" s="36"/>
      <c r="P319" s="36"/>
      <c r="Q319" s="36"/>
      <c r="R319" s="36"/>
      <c r="S319" s="36"/>
      <c r="T319" s="36"/>
    </row>
    <row r="320" spans="1:20" ht="15.75">
      <c r="A320" s="13">
        <v>51256</v>
      </c>
      <c r="B320" s="44">
        <v>30</v>
      </c>
      <c r="C320" s="35">
        <v>141.29300000000001</v>
      </c>
      <c r="D320" s="35">
        <v>267.99299999999999</v>
      </c>
      <c r="E320" s="41">
        <v>829.71400000000006</v>
      </c>
      <c r="F320" s="35">
        <v>1239</v>
      </c>
      <c r="G320" s="35">
        <v>100</v>
      </c>
      <c r="H320" s="43">
        <v>600</v>
      </c>
      <c r="I320" s="35">
        <v>695</v>
      </c>
      <c r="J320" s="35">
        <v>50</v>
      </c>
      <c r="K320" s="36"/>
      <c r="L320" s="36"/>
      <c r="M320" s="36"/>
      <c r="N320" s="36"/>
      <c r="O320" s="36"/>
      <c r="P320" s="36"/>
      <c r="Q320" s="36"/>
      <c r="R320" s="36"/>
      <c r="S320" s="36"/>
      <c r="T320" s="36"/>
    </row>
    <row r="321" spans="1:20" ht="15.75">
      <c r="A321" s="13">
        <v>51287</v>
      </c>
      <c r="B321" s="44">
        <v>31</v>
      </c>
      <c r="C321" s="35">
        <v>194.20500000000001</v>
      </c>
      <c r="D321" s="35">
        <v>267.46600000000001</v>
      </c>
      <c r="E321" s="41">
        <v>812.32899999999995</v>
      </c>
      <c r="F321" s="35">
        <v>1274</v>
      </c>
      <c r="G321" s="35">
        <v>75</v>
      </c>
      <c r="H321" s="43">
        <v>600</v>
      </c>
      <c r="I321" s="35">
        <v>695</v>
      </c>
      <c r="J321" s="35">
        <v>50</v>
      </c>
      <c r="K321" s="36"/>
      <c r="L321" s="36"/>
      <c r="M321" s="36"/>
      <c r="N321" s="36"/>
      <c r="O321" s="36"/>
      <c r="P321" s="36"/>
      <c r="Q321" s="36"/>
      <c r="R321" s="36"/>
      <c r="S321" s="36"/>
      <c r="T321" s="36"/>
    </row>
    <row r="322" spans="1:20" ht="15.75">
      <c r="A322" s="13">
        <v>51317</v>
      </c>
      <c r="B322" s="44">
        <v>30</v>
      </c>
      <c r="C322" s="35">
        <v>194.20500000000001</v>
      </c>
      <c r="D322" s="35">
        <v>267.46600000000001</v>
      </c>
      <c r="E322" s="41">
        <v>812.32899999999995</v>
      </c>
      <c r="F322" s="35">
        <v>1274</v>
      </c>
      <c r="G322" s="35">
        <v>50</v>
      </c>
      <c r="H322" s="43">
        <v>600</v>
      </c>
      <c r="I322" s="35">
        <v>695</v>
      </c>
      <c r="J322" s="35">
        <v>50</v>
      </c>
      <c r="K322" s="36"/>
      <c r="L322" s="36"/>
      <c r="M322" s="36"/>
      <c r="N322" s="36"/>
      <c r="O322" s="36"/>
      <c r="P322" s="36"/>
      <c r="Q322" s="36"/>
      <c r="R322" s="36"/>
      <c r="S322" s="36"/>
      <c r="T322" s="36"/>
    </row>
    <row r="323" spans="1:20" ht="15.75">
      <c r="A323" s="13">
        <v>51348</v>
      </c>
      <c r="B323" s="44">
        <v>31</v>
      </c>
      <c r="C323" s="35">
        <v>194.20500000000001</v>
      </c>
      <c r="D323" s="35">
        <v>267.46600000000001</v>
      </c>
      <c r="E323" s="41">
        <v>812.32899999999995</v>
      </c>
      <c r="F323" s="35">
        <v>1274</v>
      </c>
      <c r="G323" s="35">
        <v>50</v>
      </c>
      <c r="H323" s="43">
        <v>600</v>
      </c>
      <c r="I323" s="35">
        <v>695</v>
      </c>
      <c r="J323" s="35">
        <v>0</v>
      </c>
      <c r="K323" s="36"/>
      <c r="L323" s="36"/>
      <c r="M323" s="36"/>
      <c r="N323" s="36"/>
      <c r="O323" s="36"/>
      <c r="P323" s="36"/>
      <c r="Q323" s="36"/>
      <c r="R323" s="36"/>
      <c r="S323" s="36"/>
      <c r="T323" s="36"/>
    </row>
    <row r="324" spans="1:20" ht="15.75">
      <c r="A324" s="13">
        <v>51379</v>
      </c>
      <c r="B324" s="44">
        <v>31</v>
      </c>
      <c r="C324" s="35">
        <v>194.20500000000001</v>
      </c>
      <c r="D324" s="35">
        <v>267.46600000000001</v>
      </c>
      <c r="E324" s="41">
        <v>812.32899999999995</v>
      </c>
      <c r="F324" s="35">
        <v>1274</v>
      </c>
      <c r="G324" s="35">
        <v>50</v>
      </c>
      <c r="H324" s="43">
        <v>600</v>
      </c>
      <c r="I324" s="35">
        <v>695</v>
      </c>
      <c r="J324" s="35">
        <v>0</v>
      </c>
      <c r="K324" s="36"/>
      <c r="L324" s="36"/>
      <c r="M324" s="36"/>
      <c r="N324" s="36"/>
      <c r="O324" s="36"/>
      <c r="P324" s="36"/>
      <c r="Q324" s="36"/>
      <c r="R324" s="36"/>
      <c r="S324" s="36"/>
      <c r="T324" s="36"/>
    </row>
    <row r="325" spans="1:20" ht="15.75">
      <c r="A325" s="13">
        <v>51409</v>
      </c>
      <c r="B325" s="44">
        <v>30</v>
      </c>
      <c r="C325" s="35">
        <v>194.20500000000001</v>
      </c>
      <c r="D325" s="35">
        <v>267.46600000000001</v>
      </c>
      <c r="E325" s="41">
        <v>812.32899999999995</v>
      </c>
      <c r="F325" s="35">
        <v>1274</v>
      </c>
      <c r="G325" s="35">
        <v>50</v>
      </c>
      <c r="H325" s="43">
        <v>600</v>
      </c>
      <c r="I325" s="35">
        <v>695</v>
      </c>
      <c r="J325" s="35">
        <v>0</v>
      </c>
      <c r="K325" s="36"/>
      <c r="L325" s="36"/>
      <c r="M325" s="36"/>
      <c r="N325" s="36"/>
      <c r="O325" s="36"/>
      <c r="P325" s="36"/>
      <c r="Q325" s="36"/>
      <c r="R325" s="36"/>
      <c r="S325" s="36"/>
      <c r="T325" s="36"/>
    </row>
    <row r="326" spans="1:20" ht="15.75">
      <c r="A326" s="13">
        <v>51440</v>
      </c>
      <c r="B326" s="44">
        <v>31</v>
      </c>
      <c r="C326" s="35">
        <v>131.881</v>
      </c>
      <c r="D326" s="35">
        <v>277.16699999999997</v>
      </c>
      <c r="E326" s="41">
        <v>829.952</v>
      </c>
      <c r="F326" s="35">
        <v>1239</v>
      </c>
      <c r="G326" s="35">
        <v>75</v>
      </c>
      <c r="H326" s="43">
        <v>600</v>
      </c>
      <c r="I326" s="35">
        <v>695</v>
      </c>
      <c r="J326" s="35">
        <v>0</v>
      </c>
      <c r="K326" s="36"/>
      <c r="L326" s="36"/>
      <c r="M326" s="36"/>
      <c r="N326" s="36"/>
      <c r="O326" s="36"/>
      <c r="P326" s="36"/>
      <c r="Q326" s="36"/>
      <c r="R326" s="36"/>
      <c r="S326" s="36"/>
      <c r="T326" s="36"/>
    </row>
    <row r="327" spans="1:20" ht="15.75">
      <c r="A327" s="13">
        <v>51470</v>
      </c>
      <c r="B327" s="44">
        <v>30</v>
      </c>
      <c r="C327" s="35">
        <v>122.58</v>
      </c>
      <c r="D327" s="35">
        <v>297.94099999999997</v>
      </c>
      <c r="E327" s="41">
        <v>729.47900000000004</v>
      </c>
      <c r="F327" s="35">
        <v>1150</v>
      </c>
      <c r="G327" s="35">
        <v>100</v>
      </c>
      <c r="H327" s="43">
        <v>600</v>
      </c>
      <c r="I327" s="35">
        <v>695</v>
      </c>
      <c r="J327" s="35">
        <v>50</v>
      </c>
      <c r="K327" s="36"/>
      <c r="L327" s="36"/>
      <c r="M327" s="36"/>
      <c r="N327" s="36"/>
      <c r="O327" s="36"/>
      <c r="P327" s="36"/>
      <c r="Q327" s="36"/>
      <c r="R327" s="36"/>
      <c r="S327" s="36"/>
      <c r="T327" s="36"/>
    </row>
    <row r="328" spans="1:20" ht="15.75">
      <c r="A328" s="13">
        <v>51501</v>
      </c>
      <c r="B328" s="44">
        <v>31</v>
      </c>
      <c r="C328" s="35">
        <v>122.58</v>
      </c>
      <c r="D328" s="35">
        <v>297.94099999999997</v>
      </c>
      <c r="E328" s="41">
        <v>729.47900000000004</v>
      </c>
      <c r="F328" s="35">
        <v>1150</v>
      </c>
      <c r="G328" s="35">
        <v>100</v>
      </c>
      <c r="H328" s="43">
        <v>600</v>
      </c>
      <c r="I328" s="35">
        <v>695</v>
      </c>
      <c r="J328" s="35">
        <v>50</v>
      </c>
      <c r="K328" s="36"/>
      <c r="L328" s="36"/>
      <c r="M328" s="36"/>
      <c r="N328" s="36"/>
      <c r="O328" s="36"/>
      <c r="P328" s="36"/>
      <c r="Q328" s="36"/>
      <c r="R328" s="36"/>
      <c r="S328" s="36"/>
      <c r="T328" s="36"/>
    </row>
    <row r="329" spans="1:20" ht="15.75">
      <c r="A329" s="13">
        <v>51532</v>
      </c>
      <c r="B329" s="44">
        <v>31</v>
      </c>
      <c r="C329" s="35">
        <v>122.58</v>
      </c>
      <c r="D329" s="35">
        <v>297.94099999999997</v>
      </c>
      <c r="E329" s="41">
        <v>729.47900000000004</v>
      </c>
      <c r="F329" s="35">
        <v>1150</v>
      </c>
      <c r="G329" s="35">
        <v>100</v>
      </c>
      <c r="H329" s="43">
        <v>600</v>
      </c>
      <c r="I329" s="35">
        <v>695</v>
      </c>
      <c r="J329" s="35">
        <v>50</v>
      </c>
      <c r="K329" s="36"/>
      <c r="L329" s="36"/>
      <c r="M329" s="36"/>
      <c r="N329" s="36"/>
      <c r="O329" s="36"/>
      <c r="P329" s="36"/>
      <c r="Q329" s="36"/>
      <c r="R329" s="36"/>
      <c r="S329" s="36"/>
      <c r="T329" s="36"/>
    </row>
    <row r="330" spans="1:20" ht="15.75">
      <c r="A330" s="13">
        <v>51560</v>
      </c>
      <c r="B330" s="44">
        <v>28</v>
      </c>
      <c r="C330" s="35">
        <v>122.58</v>
      </c>
      <c r="D330" s="35">
        <v>297.94099999999997</v>
      </c>
      <c r="E330" s="41">
        <v>729.47900000000004</v>
      </c>
      <c r="F330" s="35">
        <v>1150</v>
      </c>
      <c r="G330" s="35">
        <v>100</v>
      </c>
      <c r="H330" s="43">
        <v>600</v>
      </c>
      <c r="I330" s="35">
        <v>695</v>
      </c>
      <c r="J330" s="35">
        <v>50</v>
      </c>
      <c r="K330" s="36"/>
      <c r="L330" s="36"/>
      <c r="M330" s="36"/>
      <c r="N330" s="36"/>
      <c r="O330" s="36"/>
      <c r="P330" s="36"/>
      <c r="Q330" s="36"/>
      <c r="R330" s="36"/>
      <c r="S330" s="36"/>
      <c r="T330" s="36"/>
    </row>
    <row r="331" spans="1:20" ht="15.75">
      <c r="A331" s="13">
        <v>51591</v>
      </c>
      <c r="B331" s="44">
        <v>31</v>
      </c>
      <c r="C331" s="35">
        <v>122.58</v>
      </c>
      <c r="D331" s="35">
        <v>297.94099999999997</v>
      </c>
      <c r="E331" s="41">
        <v>729.47900000000004</v>
      </c>
      <c r="F331" s="35">
        <v>1150</v>
      </c>
      <c r="G331" s="35">
        <v>100</v>
      </c>
      <c r="H331" s="43">
        <v>600</v>
      </c>
      <c r="I331" s="35">
        <v>695</v>
      </c>
      <c r="J331" s="35">
        <v>50</v>
      </c>
      <c r="K331" s="36"/>
      <c r="L331" s="36"/>
      <c r="M331" s="36"/>
      <c r="N331" s="36"/>
      <c r="O331" s="36"/>
      <c r="P331" s="36"/>
      <c r="Q331" s="36"/>
      <c r="R331" s="36"/>
      <c r="S331" s="36"/>
      <c r="T331" s="36"/>
    </row>
    <row r="332" spans="1:20" ht="15.75">
      <c r="A332" s="13">
        <v>51621</v>
      </c>
      <c r="B332" s="44">
        <v>30</v>
      </c>
      <c r="C332" s="35">
        <v>141.29300000000001</v>
      </c>
      <c r="D332" s="35">
        <v>267.99299999999999</v>
      </c>
      <c r="E332" s="41">
        <v>829.71400000000006</v>
      </c>
      <c r="F332" s="35">
        <v>1239</v>
      </c>
      <c r="G332" s="35">
        <v>100</v>
      </c>
      <c r="H332" s="43">
        <v>600</v>
      </c>
      <c r="I332" s="35">
        <v>695</v>
      </c>
      <c r="J332" s="35">
        <v>50</v>
      </c>
      <c r="K332" s="36"/>
      <c r="L332" s="36"/>
      <c r="M332" s="36"/>
      <c r="N332" s="36"/>
      <c r="O332" s="36"/>
      <c r="P332" s="36"/>
      <c r="Q332" s="36"/>
      <c r="R332" s="36"/>
      <c r="S332" s="36"/>
      <c r="T332" s="36"/>
    </row>
    <row r="333" spans="1:20" ht="15.75">
      <c r="A333" s="13">
        <v>51652</v>
      </c>
      <c r="B333" s="44">
        <v>31</v>
      </c>
      <c r="C333" s="35">
        <v>194.20500000000001</v>
      </c>
      <c r="D333" s="35">
        <v>267.46600000000001</v>
      </c>
      <c r="E333" s="41">
        <v>812.32899999999995</v>
      </c>
      <c r="F333" s="35">
        <v>1274</v>
      </c>
      <c r="G333" s="35">
        <v>75</v>
      </c>
      <c r="H333" s="43">
        <v>600</v>
      </c>
      <c r="I333" s="35">
        <v>695</v>
      </c>
      <c r="J333" s="35">
        <v>50</v>
      </c>
      <c r="K333" s="36"/>
      <c r="L333" s="36"/>
      <c r="M333" s="36"/>
      <c r="N333" s="36"/>
      <c r="O333" s="36"/>
      <c r="P333" s="36"/>
      <c r="Q333" s="36"/>
      <c r="R333" s="36"/>
      <c r="S333" s="36"/>
      <c r="T333" s="36"/>
    </row>
    <row r="334" spans="1:20" ht="15.75">
      <c r="A334" s="13">
        <v>51682</v>
      </c>
      <c r="B334" s="44">
        <v>30</v>
      </c>
      <c r="C334" s="35">
        <v>194.20500000000001</v>
      </c>
      <c r="D334" s="35">
        <v>267.46600000000001</v>
      </c>
      <c r="E334" s="41">
        <v>812.32899999999995</v>
      </c>
      <c r="F334" s="35">
        <v>1274</v>
      </c>
      <c r="G334" s="35">
        <v>50</v>
      </c>
      <c r="H334" s="43">
        <v>600</v>
      </c>
      <c r="I334" s="35">
        <v>695</v>
      </c>
      <c r="J334" s="35">
        <v>50</v>
      </c>
      <c r="K334" s="36"/>
      <c r="L334" s="36"/>
      <c r="M334" s="36"/>
      <c r="N334" s="36"/>
      <c r="O334" s="36"/>
      <c r="P334" s="36"/>
      <c r="Q334" s="36"/>
      <c r="R334" s="36"/>
      <c r="S334" s="36"/>
      <c r="T334" s="36"/>
    </row>
    <row r="335" spans="1:20" ht="15.75">
      <c r="A335" s="13">
        <v>51713</v>
      </c>
      <c r="B335" s="44">
        <v>31</v>
      </c>
      <c r="C335" s="35">
        <v>194.20500000000001</v>
      </c>
      <c r="D335" s="35">
        <v>267.46600000000001</v>
      </c>
      <c r="E335" s="41">
        <v>812.32899999999995</v>
      </c>
      <c r="F335" s="35">
        <v>1274</v>
      </c>
      <c r="G335" s="35">
        <v>50</v>
      </c>
      <c r="H335" s="43">
        <v>600</v>
      </c>
      <c r="I335" s="35">
        <v>695</v>
      </c>
      <c r="J335" s="35">
        <v>0</v>
      </c>
      <c r="K335" s="36"/>
      <c r="L335" s="36"/>
      <c r="M335" s="36"/>
      <c r="N335" s="36"/>
      <c r="O335" s="36"/>
      <c r="P335" s="36"/>
      <c r="Q335" s="36"/>
      <c r="R335" s="36"/>
      <c r="S335" s="36"/>
      <c r="T335" s="36"/>
    </row>
    <row r="336" spans="1:20" ht="15.75">
      <c r="A336" s="13">
        <v>51744</v>
      </c>
      <c r="B336" s="44">
        <v>31</v>
      </c>
      <c r="C336" s="35">
        <v>194.20500000000001</v>
      </c>
      <c r="D336" s="35">
        <v>267.46600000000001</v>
      </c>
      <c r="E336" s="41">
        <v>812.32899999999995</v>
      </c>
      <c r="F336" s="35">
        <v>1274</v>
      </c>
      <c r="G336" s="35">
        <v>50</v>
      </c>
      <c r="H336" s="43">
        <v>600</v>
      </c>
      <c r="I336" s="35">
        <v>695</v>
      </c>
      <c r="J336" s="35">
        <v>0</v>
      </c>
      <c r="K336" s="36"/>
      <c r="L336" s="36"/>
      <c r="M336" s="36"/>
      <c r="N336" s="36"/>
      <c r="O336" s="36"/>
      <c r="P336" s="36"/>
      <c r="Q336" s="36"/>
      <c r="R336" s="36"/>
      <c r="S336" s="36"/>
      <c r="T336" s="36"/>
    </row>
    <row r="337" spans="1:20" ht="15.75">
      <c r="A337" s="13">
        <v>51774</v>
      </c>
      <c r="B337" s="44">
        <v>30</v>
      </c>
      <c r="C337" s="35">
        <v>194.20500000000001</v>
      </c>
      <c r="D337" s="35">
        <v>267.46600000000001</v>
      </c>
      <c r="E337" s="41">
        <v>812.32899999999995</v>
      </c>
      <c r="F337" s="35">
        <v>1274</v>
      </c>
      <c r="G337" s="35">
        <v>50</v>
      </c>
      <c r="H337" s="43">
        <v>600</v>
      </c>
      <c r="I337" s="35">
        <v>695</v>
      </c>
      <c r="J337" s="35">
        <v>0</v>
      </c>
      <c r="K337" s="36"/>
      <c r="L337" s="36"/>
      <c r="M337" s="36"/>
      <c r="N337" s="36"/>
      <c r="O337" s="36"/>
      <c r="P337" s="36"/>
      <c r="Q337" s="36"/>
      <c r="R337" s="36"/>
      <c r="S337" s="36"/>
      <c r="T337" s="36"/>
    </row>
    <row r="338" spans="1:20" ht="15.75">
      <c r="A338" s="13">
        <v>51805</v>
      </c>
      <c r="B338" s="44">
        <v>31</v>
      </c>
      <c r="C338" s="35">
        <v>131.881</v>
      </c>
      <c r="D338" s="35">
        <v>277.16699999999997</v>
      </c>
      <c r="E338" s="41">
        <v>829.952</v>
      </c>
      <c r="F338" s="35">
        <v>1239</v>
      </c>
      <c r="G338" s="35">
        <v>75</v>
      </c>
      <c r="H338" s="43">
        <v>600</v>
      </c>
      <c r="I338" s="35">
        <v>695</v>
      </c>
      <c r="J338" s="35">
        <v>0</v>
      </c>
      <c r="K338" s="36"/>
      <c r="L338" s="36"/>
      <c r="M338" s="36"/>
      <c r="N338" s="36"/>
      <c r="O338" s="36"/>
      <c r="P338" s="36"/>
      <c r="Q338" s="36"/>
      <c r="R338" s="36"/>
      <c r="S338" s="36"/>
      <c r="T338" s="36"/>
    </row>
    <row r="339" spans="1:20" ht="15.75">
      <c r="A339" s="13">
        <v>51835</v>
      </c>
      <c r="B339" s="44">
        <v>30</v>
      </c>
      <c r="C339" s="35">
        <v>122.58</v>
      </c>
      <c r="D339" s="35">
        <v>297.94099999999997</v>
      </c>
      <c r="E339" s="41">
        <v>729.47900000000004</v>
      </c>
      <c r="F339" s="35">
        <v>1150</v>
      </c>
      <c r="G339" s="35">
        <v>100</v>
      </c>
      <c r="H339" s="43">
        <v>600</v>
      </c>
      <c r="I339" s="35">
        <v>695</v>
      </c>
      <c r="J339" s="35">
        <v>50</v>
      </c>
      <c r="K339" s="36"/>
      <c r="L339" s="36"/>
      <c r="M339" s="36"/>
      <c r="N339" s="36"/>
      <c r="O339" s="36"/>
      <c r="P339" s="36"/>
      <c r="Q339" s="36"/>
      <c r="R339" s="36"/>
      <c r="S339" s="36"/>
      <c r="T339" s="36"/>
    </row>
    <row r="340" spans="1:20" ht="15.75">
      <c r="A340" s="13">
        <v>51866</v>
      </c>
      <c r="B340" s="44">
        <v>31</v>
      </c>
      <c r="C340" s="35">
        <v>122.58</v>
      </c>
      <c r="D340" s="35">
        <v>297.94099999999997</v>
      </c>
      <c r="E340" s="41">
        <v>729.47900000000004</v>
      </c>
      <c r="F340" s="35">
        <v>1150</v>
      </c>
      <c r="G340" s="35">
        <v>100</v>
      </c>
      <c r="H340" s="43">
        <v>600</v>
      </c>
      <c r="I340" s="35">
        <v>695</v>
      </c>
      <c r="J340" s="35">
        <v>50</v>
      </c>
      <c r="K340" s="36"/>
      <c r="L340" s="36"/>
      <c r="M340" s="36"/>
      <c r="N340" s="36"/>
      <c r="O340" s="36"/>
      <c r="P340" s="36"/>
      <c r="Q340" s="36"/>
      <c r="R340" s="36"/>
      <c r="S340" s="36"/>
      <c r="T340" s="36"/>
    </row>
    <row r="341" spans="1:20" ht="15.75">
      <c r="A341" s="13">
        <v>51897</v>
      </c>
      <c r="B341" s="44">
        <v>31</v>
      </c>
      <c r="C341" s="35">
        <v>122.58</v>
      </c>
      <c r="D341" s="35">
        <v>297.94099999999997</v>
      </c>
      <c r="E341" s="41">
        <v>729.47900000000004</v>
      </c>
      <c r="F341" s="35">
        <v>1150</v>
      </c>
      <c r="G341" s="35">
        <v>100</v>
      </c>
      <c r="H341" s="43">
        <v>600</v>
      </c>
      <c r="I341" s="35">
        <v>695</v>
      </c>
      <c r="J341" s="35">
        <v>50</v>
      </c>
      <c r="K341" s="36"/>
      <c r="L341" s="36"/>
      <c r="M341" s="36"/>
      <c r="N341" s="36"/>
      <c r="O341" s="36"/>
      <c r="P341" s="36"/>
      <c r="Q341" s="36"/>
      <c r="R341" s="36"/>
      <c r="S341" s="36"/>
      <c r="T341" s="36"/>
    </row>
    <row r="342" spans="1:20" ht="15.75">
      <c r="A342" s="13">
        <v>51925</v>
      </c>
      <c r="B342" s="44">
        <v>28</v>
      </c>
      <c r="C342" s="35">
        <v>122.58</v>
      </c>
      <c r="D342" s="35">
        <v>297.94099999999997</v>
      </c>
      <c r="E342" s="41">
        <v>729.47900000000004</v>
      </c>
      <c r="F342" s="35">
        <v>1150</v>
      </c>
      <c r="G342" s="35">
        <v>100</v>
      </c>
      <c r="H342" s="43">
        <v>600</v>
      </c>
      <c r="I342" s="35">
        <v>695</v>
      </c>
      <c r="J342" s="35">
        <v>50</v>
      </c>
      <c r="K342" s="36"/>
      <c r="L342" s="36"/>
      <c r="M342" s="36"/>
      <c r="N342" s="36"/>
      <c r="O342" s="36"/>
      <c r="P342" s="36"/>
      <c r="Q342" s="36"/>
      <c r="R342" s="36"/>
      <c r="S342" s="36"/>
      <c r="T342" s="36"/>
    </row>
    <row r="343" spans="1:20" ht="15.75">
      <c r="A343" s="13">
        <v>51956</v>
      </c>
      <c r="B343" s="44">
        <v>31</v>
      </c>
      <c r="C343" s="35">
        <v>122.58</v>
      </c>
      <c r="D343" s="35">
        <v>297.94099999999997</v>
      </c>
      <c r="E343" s="41">
        <v>729.47900000000004</v>
      </c>
      <c r="F343" s="35">
        <v>1150</v>
      </c>
      <c r="G343" s="35">
        <v>100</v>
      </c>
      <c r="H343" s="43">
        <v>600</v>
      </c>
      <c r="I343" s="35">
        <v>695</v>
      </c>
      <c r="J343" s="35">
        <v>50</v>
      </c>
      <c r="K343" s="36"/>
      <c r="L343" s="36"/>
      <c r="M343" s="36"/>
      <c r="N343" s="36"/>
      <c r="O343" s="36"/>
      <c r="P343" s="36"/>
      <c r="Q343" s="36"/>
      <c r="R343" s="36"/>
      <c r="S343" s="36"/>
      <c r="T343" s="36"/>
    </row>
    <row r="344" spans="1:20" ht="15.75">
      <c r="A344" s="13">
        <v>51986</v>
      </c>
      <c r="B344" s="44">
        <v>30</v>
      </c>
      <c r="C344" s="35">
        <v>141.29300000000001</v>
      </c>
      <c r="D344" s="35">
        <v>267.99299999999999</v>
      </c>
      <c r="E344" s="41">
        <v>829.71400000000006</v>
      </c>
      <c r="F344" s="35">
        <v>1239</v>
      </c>
      <c r="G344" s="35">
        <v>100</v>
      </c>
      <c r="H344" s="43">
        <v>600</v>
      </c>
      <c r="I344" s="35">
        <v>695</v>
      </c>
      <c r="J344" s="35">
        <v>50</v>
      </c>
      <c r="K344" s="36"/>
      <c r="L344" s="36"/>
      <c r="M344" s="36"/>
      <c r="N344" s="36"/>
      <c r="O344" s="36"/>
      <c r="P344" s="36"/>
      <c r="Q344" s="36"/>
      <c r="R344" s="36"/>
      <c r="S344" s="36"/>
      <c r="T344" s="36"/>
    </row>
    <row r="345" spans="1:20" ht="15.75">
      <c r="A345" s="13">
        <v>52017</v>
      </c>
      <c r="B345" s="44">
        <v>31</v>
      </c>
      <c r="C345" s="35">
        <v>194.20500000000001</v>
      </c>
      <c r="D345" s="35">
        <v>267.46600000000001</v>
      </c>
      <c r="E345" s="41">
        <v>812.32899999999995</v>
      </c>
      <c r="F345" s="35">
        <v>1274</v>
      </c>
      <c r="G345" s="35">
        <v>75</v>
      </c>
      <c r="H345" s="43">
        <v>600</v>
      </c>
      <c r="I345" s="35">
        <v>695</v>
      </c>
      <c r="J345" s="35">
        <v>50</v>
      </c>
      <c r="K345" s="36"/>
      <c r="L345" s="36"/>
      <c r="M345" s="36"/>
      <c r="N345" s="36"/>
      <c r="O345" s="36"/>
      <c r="P345" s="36"/>
      <c r="Q345" s="36"/>
      <c r="R345" s="36"/>
      <c r="S345" s="36"/>
      <c r="T345" s="36"/>
    </row>
    <row r="346" spans="1:20" ht="15.75">
      <c r="A346" s="13">
        <v>52047</v>
      </c>
      <c r="B346" s="44">
        <v>30</v>
      </c>
      <c r="C346" s="35">
        <v>194.20500000000001</v>
      </c>
      <c r="D346" s="35">
        <v>267.46600000000001</v>
      </c>
      <c r="E346" s="41">
        <v>812.32899999999995</v>
      </c>
      <c r="F346" s="35">
        <v>1274</v>
      </c>
      <c r="G346" s="35">
        <v>50</v>
      </c>
      <c r="H346" s="43">
        <v>600</v>
      </c>
      <c r="I346" s="35">
        <v>695</v>
      </c>
      <c r="J346" s="35">
        <v>50</v>
      </c>
      <c r="K346" s="36"/>
      <c r="L346" s="36"/>
      <c r="M346" s="36"/>
      <c r="N346" s="36"/>
      <c r="O346" s="36"/>
      <c r="P346" s="36"/>
      <c r="Q346" s="36"/>
      <c r="R346" s="36"/>
      <c r="S346" s="36"/>
      <c r="T346" s="36"/>
    </row>
    <row r="347" spans="1:20" ht="15.75">
      <c r="A347" s="13">
        <v>52078</v>
      </c>
      <c r="B347" s="44">
        <v>31</v>
      </c>
      <c r="C347" s="35">
        <v>194.20500000000001</v>
      </c>
      <c r="D347" s="35">
        <v>267.46600000000001</v>
      </c>
      <c r="E347" s="41">
        <v>812.32899999999995</v>
      </c>
      <c r="F347" s="35">
        <v>1274</v>
      </c>
      <c r="G347" s="35">
        <v>50</v>
      </c>
      <c r="H347" s="43">
        <v>600</v>
      </c>
      <c r="I347" s="35">
        <v>695</v>
      </c>
      <c r="J347" s="35">
        <v>0</v>
      </c>
      <c r="K347" s="36"/>
      <c r="L347" s="36"/>
      <c r="M347" s="36"/>
      <c r="N347" s="36"/>
      <c r="O347" s="36"/>
      <c r="P347" s="36"/>
      <c r="Q347" s="36"/>
      <c r="R347" s="36"/>
      <c r="S347" s="36"/>
      <c r="T347" s="36"/>
    </row>
    <row r="348" spans="1:20" ht="15.75">
      <c r="A348" s="13">
        <v>52109</v>
      </c>
      <c r="B348" s="44">
        <v>31</v>
      </c>
      <c r="C348" s="35">
        <v>194.20500000000001</v>
      </c>
      <c r="D348" s="35">
        <v>267.46600000000001</v>
      </c>
      <c r="E348" s="41">
        <v>812.32899999999995</v>
      </c>
      <c r="F348" s="35">
        <v>1274</v>
      </c>
      <c r="G348" s="35">
        <v>50</v>
      </c>
      <c r="H348" s="43">
        <v>600</v>
      </c>
      <c r="I348" s="35">
        <v>695</v>
      </c>
      <c r="J348" s="35">
        <v>0</v>
      </c>
      <c r="K348" s="36"/>
      <c r="L348" s="36"/>
      <c r="M348" s="36"/>
      <c r="N348" s="36"/>
      <c r="O348" s="36"/>
      <c r="P348" s="36"/>
      <c r="Q348" s="36"/>
      <c r="R348" s="36"/>
      <c r="S348" s="36"/>
      <c r="T348" s="36"/>
    </row>
    <row r="349" spans="1:20" ht="15.75">
      <c r="A349" s="13">
        <v>52139</v>
      </c>
      <c r="B349" s="44">
        <v>30</v>
      </c>
      <c r="C349" s="35">
        <v>194.20500000000001</v>
      </c>
      <c r="D349" s="35">
        <v>267.46600000000001</v>
      </c>
      <c r="E349" s="41">
        <v>812.32899999999995</v>
      </c>
      <c r="F349" s="35">
        <v>1274</v>
      </c>
      <c r="G349" s="35">
        <v>50</v>
      </c>
      <c r="H349" s="43">
        <v>600</v>
      </c>
      <c r="I349" s="35">
        <v>695</v>
      </c>
      <c r="J349" s="35">
        <v>0</v>
      </c>
      <c r="K349" s="36"/>
      <c r="L349" s="36"/>
      <c r="M349" s="36"/>
      <c r="N349" s="36"/>
      <c r="O349" s="36"/>
      <c r="P349" s="36"/>
      <c r="Q349" s="36"/>
      <c r="R349" s="36"/>
      <c r="S349" s="36"/>
      <c r="T349" s="36"/>
    </row>
    <row r="350" spans="1:20" ht="15.75">
      <c r="A350" s="13">
        <v>52170</v>
      </c>
      <c r="B350" s="44">
        <v>31</v>
      </c>
      <c r="C350" s="35">
        <v>131.881</v>
      </c>
      <c r="D350" s="35">
        <v>277.16699999999997</v>
      </c>
      <c r="E350" s="41">
        <v>829.952</v>
      </c>
      <c r="F350" s="35">
        <v>1239</v>
      </c>
      <c r="G350" s="35">
        <v>75</v>
      </c>
      <c r="H350" s="43">
        <v>600</v>
      </c>
      <c r="I350" s="35">
        <v>695</v>
      </c>
      <c r="J350" s="35">
        <v>0</v>
      </c>
      <c r="K350" s="36"/>
      <c r="L350" s="36"/>
      <c r="M350" s="36"/>
      <c r="N350" s="36"/>
      <c r="O350" s="36"/>
      <c r="P350" s="36"/>
      <c r="Q350" s="36"/>
      <c r="R350" s="36"/>
      <c r="S350" s="36"/>
      <c r="T350" s="36"/>
    </row>
    <row r="351" spans="1:20" ht="15.75">
      <c r="A351" s="13">
        <v>52200</v>
      </c>
      <c r="B351" s="44">
        <v>30</v>
      </c>
      <c r="C351" s="35">
        <v>122.58</v>
      </c>
      <c r="D351" s="35">
        <v>297.94099999999997</v>
      </c>
      <c r="E351" s="41">
        <v>729.47900000000004</v>
      </c>
      <c r="F351" s="35">
        <v>1150</v>
      </c>
      <c r="G351" s="35">
        <v>100</v>
      </c>
      <c r="H351" s="43">
        <v>600</v>
      </c>
      <c r="I351" s="35">
        <v>695</v>
      </c>
      <c r="J351" s="35">
        <v>50</v>
      </c>
      <c r="K351" s="36"/>
      <c r="L351" s="36"/>
      <c r="M351" s="36"/>
      <c r="N351" s="36"/>
      <c r="O351" s="36"/>
      <c r="P351" s="36"/>
      <c r="Q351" s="36"/>
      <c r="R351" s="36"/>
      <c r="S351" s="36"/>
      <c r="T351" s="36"/>
    </row>
    <row r="352" spans="1:20" ht="15.75">
      <c r="A352" s="13">
        <v>52231</v>
      </c>
      <c r="B352" s="44">
        <v>31</v>
      </c>
      <c r="C352" s="35">
        <v>122.58</v>
      </c>
      <c r="D352" s="35">
        <v>297.94099999999997</v>
      </c>
      <c r="E352" s="41">
        <v>729.47900000000004</v>
      </c>
      <c r="F352" s="35">
        <v>1150</v>
      </c>
      <c r="G352" s="35">
        <v>100</v>
      </c>
      <c r="H352" s="43">
        <v>600</v>
      </c>
      <c r="I352" s="35">
        <v>695</v>
      </c>
      <c r="J352" s="35">
        <v>50</v>
      </c>
      <c r="K352" s="36"/>
      <c r="L352" s="36"/>
      <c r="M352" s="36"/>
      <c r="N352" s="36"/>
      <c r="O352" s="36"/>
      <c r="P352" s="36"/>
      <c r="Q352" s="36"/>
      <c r="R352" s="36"/>
      <c r="S352" s="36"/>
      <c r="T352" s="36"/>
    </row>
    <row r="353" spans="1:20" ht="15.75">
      <c r="A353" s="13">
        <v>52262</v>
      </c>
      <c r="B353" s="44">
        <v>31</v>
      </c>
      <c r="C353" s="35">
        <v>122.58</v>
      </c>
      <c r="D353" s="35">
        <v>297.94099999999997</v>
      </c>
      <c r="E353" s="41">
        <v>729.47900000000004</v>
      </c>
      <c r="F353" s="35">
        <v>1150</v>
      </c>
      <c r="G353" s="35">
        <v>100</v>
      </c>
      <c r="H353" s="43">
        <v>600</v>
      </c>
      <c r="I353" s="35">
        <v>695</v>
      </c>
      <c r="J353" s="35">
        <v>50</v>
      </c>
      <c r="K353" s="36"/>
      <c r="L353" s="36"/>
      <c r="M353" s="36"/>
      <c r="N353" s="36"/>
      <c r="O353" s="36"/>
      <c r="P353" s="36"/>
      <c r="Q353" s="36"/>
      <c r="R353" s="36"/>
      <c r="S353" s="36"/>
      <c r="T353" s="36"/>
    </row>
    <row r="354" spans="1:20" ht="15.75">
      <c r="A354" s="13">
        <v>52290</v>
      </c>
      <c r="B354" s="44">
        <v>28</v>
      </c>
      <c r="C354" s="35">
        <v>122.58</v>
      </c>
      <c r="D354" s="35">
        <v>297.94099999999997</v>
      </c>
      <c r="E354" s="41">
        <v>729.47900000000004</v>
      </c>
      <c r="F354" s="35">
        <v>1150</v>
      </c>
      <c r="G354" s="35">
        <v>100</v>
      </c>
      <c r="H354" s="43">
        <v>600</v>
      </c>
      <c r="I354" s="35">
        <v>695</v>
      </c>
      <c r="J354" s="35">
        <v>50</v>
      </c>
      <c r="K354" s="36"/>
      <c r="L354" s="36"/>
      <c r="M354" s="36"/>
      <c r="N354" s="36"/>
      <c r="O354" s="36"/>
      <c r="P354" s="36"/>
      <c r="Q354" s="36"/>
      <c r="R354" s="36"/>
      <c r="S354" s="36"/>
      <c r="T354" s="36"/>
    </row>
    <row r="355" spans="1:20" ht="15.75">
      <c r="A355" s="13">
        <v>52321</v>
      </c>
      <c r="B355" s="44">
        <v>31</v>
      </c>
      <c r="C355" s="35">
        <v>122.58</v>
      </c>
      <c r="D355" s="35">
        <v>297.94099999999997</v>
      </c>
      <c r="E355" s="41">
        <v>729.47900000000004</v>
      </c>
      <c r="F355" s="35">
        <v>1150</v>
      </c>
      <c r="G355" s="35">
        <v>100</v>
      </c>
      <c r="H355" s="43">
        <v>600</v>
      </c>
      <c r="I355" s="35">
        <v>695</v>
      </c>
      <c r="J355" s="35">
        <v>50</v>
      </c>
      <c r="K355" s="36"/>
      <c r="L355" s="36"/>
      <c r="M355" s="36"/>
      <c r="N355" s="36"/>
      <c r="O355" s="36"/>
      <c r="P355" s="36"/>
      <c r="Q355" s="36"/>
      <c r="R355" s="36"/>
      <c r="S355" s="36"/>
      <c r="T355" s="36"/>
    </row>
    <row r="356" spans="1:20" ht="15.75">
      <c r="A356" s="13">
        <v>52351</v>
      </c>
      <c r="B356" s="44">
        <v>30</v>
      </c>
      <c r="C356" s="35">
        <v>141.29300000000001</v>
      </c>
      <c r="D356" s="35">
        <v>267.99299999999999</v>
      </c>
      <c r="E356" s="41">
        <v>829.71400000000006</v>
      </c>
      <c r="F356" s="35">
        <v>1239</v>
      </c>
      <c r="G356" s="35">
        <v>100</v>
      </c>
      <c r="H356" s="43">
        <v>600</v>
      </c>
      <c r="I356" s="35">
        <v>695</v>
      </c>
      <c r="J356" s="35">
        <v>50</v>
      </c>
      <c r="K356" s="36"/>
      <c r="L356" s="36"/>
      <c r="M356" s="36"/>
      <c r="N356" s="36"/>
      <c r="O356" s="36"/>
      <c r="P356" s="36"/>
      <c r="Q356" s="36"/>
      <c r="R356" s="36"/>
      <c r="S356" s="36"/>
      <c r="T356" s="36"/>
    </row>
    <row r="357" spans="1:20" ht="15.75">
      <c r="A357" s="13">
        <v>52382</v>
      </c>
      <c r="B357" s="44">
        <v>31</v>
      </c>
      <c r="C357" s="35">
        <v>194.20500000000001</v>
      </c>
      <c r="D357" s="35">
        <v>267.46600000000001</v>
      </c>
      <c r="E357" s="41">
        <v>812.32899999999995</v>
      </c>
      <c r="F357" s="35">
        <v>1274</v>
      </c>
      <c r="G357" s="35">
        <v>75</v>
      </c>
      <c r="H357" s="43">
        <v>600</v>
      </c>
      <c r="I357" s="35">
        <v>695</v>
      </c>
      <c r="J357" s="35">
        <v>50</v>
      </c>
      <c r="K357" s="36"/>
      <c r="L357" s="36"/>
      <c r="M357" s="36"/>
      <c r="N357" s="36"/>
      <c r="O357" s="36"/>
      <c r="P357" s="36"/>
      <c r="Q357" s="36"/>
      <c r="R357" s="36"/>
      <c r="S357" s="36"/>
      <c r="T357" s="36"/>
    </row>
    <row r="358" spans="1:20" ht="15.75">
      <c r="A358" s="13">
        <v>52412</v>
      </c>
      <c r="B358" s="44">
        <v>30</v>
      </c>
      <c r="C358" s="35">
        <v>194.20500000000001</v>
      </c>
      <c r="D358" s="35">
        <v>267.46600000000001</v>
      </c>
      <c r="E358" s="41">
        <v>812.32899999999995</v>
      </c>
      <c r="F358" s="35">
        <v>1274</v>
      </c>
      <c r="G358" s="35">
        <v>50</v>
      </c>
      <c r="H358" s="43">
        <v>600</v>
      </c>
      <c r="I358" s="35">
        <v>695</v>
      </c>
      <c r="J358" s="35">
        <v>50</v>
      </c>
      <c r="K358" s="36"/>
      <c r="L358" s="36"/>
      <c r="M358" s="36"/>
      <c r="N358" s="36"/>
      <c r="O358" s="36"/>
      <c r="P358" s="36"/>
      <c r="Q358" s="36"/>
      <c r="R358" s="36"/>
      <c r="S358" s="36"/>
      <c r="T358" s="36"/>
    </row>
    <row r="359" spans="1:20" ht="15.75">
      <c r="A359" s="13">
        <v>52443</v>
      </c>
      <c r="B359" s="44">
        <v>31</v>
      </c>
      <c r="C359" s="35">
        <v>194.20500000000001</v>
      </c>
      <c r="D359" s="35">
        <v>267.46600000000001</v>
      </c>
      <c r="E359" s="41">
        <v>812.32899999999995</v>
      </c>
      <c r="F359" s="35">
        <v>1274</v>
      </c>
      <c r="G359" s="35">
        <v>50</v>
      </c>
      <c r="H359" s="43">
        <v>600</v>
      </c>
      <c r="I359" s="35">
        <v>695</v>
      </c>
      <c r="J359" s="35">
        <v>0</v>
      </c>
      <c r="K359" s="36"/>
      <c r="L359" s="36"/>
      <c r="M359" s="36"/>
      <c r="N359" s="36"/>
      <c r="O359" s="36"/>
      <c r="P359" s="36"/>
      <c r="Q359" s="36"/>
      <c r="R359" s="36"/>
      <c r="S359" s="36"/>
      <c r="T359" s="36"/>
    </row>
    <row r="360" spans="1:20" ht="15.75">
      <c r="A360" s="13">
        <v>52474</v>
      </c>
      <c r="B360" s="44">
        <v>31</v>
      </c>
      <c r="C360" s="35">
        <v>194.20500000000001</v>
      </c>
      <c r="D360" s="35">
        <v>267.46600000000001</v>
      </c>
      <c r="E360" s="41">
        <v>812.32899999999995</v>
      </c>
      <c r="F360" s="35">
        <v>1274</v>
      </c>
      <c r="G360" s="35">
        <v>50</v>
      </c>
      <c r="H360" s="43">
        <v>600</v>
      </c>
      <c r="I360" s="35">
        <v>695</v>
      </c>
      <c r="J360" s="35">
        <v>0</v>
      </c>
      <c r="K360" s="36"/>
      <c r="L360" s="36"/>
      <c r="M360" s="36"/>
      <c r="N360" s="36"/>
      <c r="O360" s="36"/>
      <c r="P360" s="36"/>
      <c r="Q360" s="36"/>
      <c r="R360" s="36"/>
      <c r="S360" s="36"/>
      <c r="T360" s="36"/>
    </row>
    <row r="361" spans="1:20" ht="15.75">
      <c r="A361" s="13">
        <v>52504</v>
      </c>
      <c r="B361" s="44">
        <v>30</v>
      </c>
      <c r="C361" s="35">
        <v>194.20500000000001</v>
      </c>
      <c r="D361" s="35">
        <v>267.46600000000001</v>
      </c>
      <c r="E361" s="41">
        <v>812.32899999999995</v>
      </c>
      <c r="F361" s="35">
        <v>1274</v>
      </c>
      <c r="G361" s="35">
        <v>50</v>
      </c>
      <c r="H361" s="43">
        <v>600</v>
      </c>
      <c r="I361" s="35">
        <v>695</v>
      </c>
      <c r="J361" s="35">
        <v>0</v>
      </c>
      <c r="K361" s="36"/>
      <c r="L361" s="36"/>
      <c r="M361" s="36"/>
      <c r="N361" s="36"/>
      <c r="O361" s="36"/>
      <c r="P361" s="36"/>
      <c r="Q361" s="36"/>
      <c r="R361" s="36"/>
      <c r="S361" s="36"/>
      <c r="T361" s="36"/>
    </row>
    <row r="362" spans="1:20" ht="15.75">
      <c r="A362" s="13">
        <v>52535</v>
      </c>
      <c r="B362" s="44">
        <v>31</v>
      </c>
      <c r="C362" s="35">
        <v>131.881</v>
      </c>
      <c r="D362" s="35">
        <v>277.16699999999997</v>
      </c>
      <c r="E362" s="41">
        <v>829.952</v>
      </c>
      <c r="F362" s="35">
        <v>1239</v>
      </c>
      <c r="G362" s="35">
        <v>75</v>
      </c>
      <c r="H362" s="43">
        <v>600</v>
      </c>
      <c r="I362" s="35">
        <v>695</v>
      </c>
      <c r="J362" s="35">
        <v>0</v>
      </c>
      <c r="K362" s="36"/>
      <c r="L362" s="36"/>
      <c r="M362" s="36"/>
      <c r="N362" s="36"/>
      <c r="O362" s="36"/>
      <c r="P362" s="36"/>
      <c r="Q362" s="36"/>
      <c r="R362" s="36"/>
      <c r="S362" s="36"/>
      <c r="T362" s="36"/>
    </row>
    <row r="363" spans="1:20" ht="15.75">
      <c r="A363" s="13">
        <v>52565</v>
      </c>
      <c r="B363" s="44">
        <v>30</v>
      </c>
      <c r="C363" s="35">
        <v>122.58</v>
      </c>
      <c r="D363" s="35">
        <v>297.94099999999997</v>
      </c>
      <c r="E363" s="41">
        <v>729.47900000000004</v>
      </c>
      <c r="F363" s="35">
        <v>1150</v>
      </c>
      <c r="G363" s="35">
        <v>100</v>
      </c>
      <c r="H363" s="43">
        <v>600</v>
      </c>
      <c r="I363" s="35">
        <v>695</v>
      </c>
      <c r="J363" s="35">
        <v>50</v>
      </c>
      <c r="K363" s="36"/>
      <c r="L363" s="36"/>
      <c r="M363" s="36"/>
      <c r="N363" s="36"/>
      <c r="O363" s="36"/>
      <c r="P363" s="36"/>
      <c r="Q363" s="36"/>
      <c r="R363" s="36"/>
      <c r="S363" s="36"/>
      <c r="T363" s="36"/>
    </row>
    <row r="364" spans="1:20" ht="15.75">
      <c r="A364" s="13">
        <v>52596</v>
      </c>
      <c r="B364" s="44">
        <v>31</v>
      </c>
      <c r="C364" s="35">
        <v>122.58</v>
      </c>
      <c r="D364" s="35">
        <v>297.94099999999997</v>
      </c>
      <c r="E364" s="41">
        <v>729.47900000000004</v>
      </c>
      <c r="F364" s="35">
        <v>1150</v>
      </c>
      <c r="G364" s="35">
        <v>100</v>
      </c>
      <c r="H364" s="43">
        <v>600</v>
      </c>
      <c r="I364" s="35">
        <v>695</v>
      </c>
      <c r="J364" s="35">
        <v>50</v>
      </c>
      <c r="K364" s="36"/>
      <c r="L364" s="36"/>
      <c r="M364" s="36"/>
      <c r="N364" s="36"/>
      <c r="O364" s="36"/>
      <c r="P364" s="36"/>
      <c r="Q364" s="36"/>
      <c r="R364" s="36"/>
      <c r="S364" s="36"/>
      <c r="T364" s="36"/>
    </row>
    <row r="365" spans="1:20" ht="15.75">
      <c r="A365" s="13">
        <v>52627</v>
      </c>
      <c r="B365" s="44">
        <v>31</v>
      </c>
      <c r="C365" s="35">
        <v>122.58</v>
      </c>
      <c r="D365" s="35">
        <v>297.94099999999997</v>
      </c>
      <c r="E365" s="41">
        <v>729.47900000000004</v>
      </c>
      <c r="F365" s="35">
        <v>1150</v>
      </c>
      <c r="G365" s="35">
        <v>100</v>
      </c>
      <c r="H365" s="43">
        <v>600</v>
      </c>
      <c r="I365" s="35">
        <v>695</v>
      </c>
      <c r="J365" s="35">
        <v>50</v>
      </c>
      <c r="K365" s="36"/>
      <c r="L365" s="36"/>
      <c r="M365" s="36"/>
      <c r="N365" s="36"/>
      <c r="O365" s="36"/>
      <c r="P365" s="36"/>
      <c r="Q365" s="36"/>
      <c r="R365" s="36"/>
      <c r="S365" s="36"/>
      <c r="T365" s="36"/>
    </row>
    <row r="366" spans="1:20" ht="15.75">
      <c r="A366" s="13">
        <v>52655</v>
      </c>
      <c r="B366" s="44">
        <v>29</v>
      </c>
      <c r="C366" s="35">
        <v>122.58</v>
      </c>
      <c r="D366" s="35">
        <v>297.94099999999997</v>
      </c>
      <c r="E366" s="41">
        <v>729.47900000000004</v>
      </c>
      <c r="F366" s="35">
        <v>1150</v>
      </c>
      <c r="G366" s="35">
        <v>100</v>
      </c>
      <c r="H366" s="43">
        <v>600</v>
      </c>
      <c r="I366" s="35">
        <v>695</v>
      </c>
      <c r="J366" s="35">
        <v>50</v>
      </c>
      <c r="K366" s="36"/>
      <c r="L366" s="36"/>
      <c r="M366" s="36"/>
      <c r="N366" s="36"/>
      <c r="O366" s="36"/>
      <c r="P366" s="36"/>
      <c r="Q366" s="36"/>
      <c r="R366" s="36"/>
      <c r="S366" s="36"/>
      <c r="T366" s="36"/>
    </row>
    <row r="367" spans="1:20" ht="15.75">
      <c r="A367" s="13">
        <v>52687</v>
      </c>
      <c r="B367" s="44">
        <v>31</v>
      </c>
      <c r="C367" s="35">
        <v>122.58</v>
      </c>
      <c r="D367" s="35">
        <v>297.94099999999997</v>
      </c>
      <c r="E367" s="41">
        <v>729.47900000000004</v>
      </c>
      <c r="F367" s="35">
        <v>1150</v>
      </c>
      <c r="G367" s="35">
        <v>100</v>
      </c>
      <c r="H367" s="43">
        <v>600</v>
      </c>
      <c r="I367" s="35">
        <v>695</v>
      </c>
      <c r="J367" s="35">
        <v>50</v>
      </c>
      <c r="K367" s="36"/>
      <c r="L367" s="36"/>
      <c r="M367" s="36"/>
      <c r="N367" s="36"/>
      <c r="O367" s="36"/>
      <c r="P367" s="36"/>
      <c r="Q367" s="36"/>
      <c r="R367" s="36"/>
      <c r="S367" s="36"/>
      <c r="T367" s="36"/>
    </row>
    <row r="368" spans="1:20" ht="15.75">
      <c r="A368" s="13">
        <v>52717</v>
      </c>
      <c r="B368" s="44">
        <v>30</v>
      </c>
      <c r="C368" s="35">
        <v>141.29300000000001</v>
      </c>
      <c r="D368" s="35">
        <v>267.99299999999999</v>
      </c>
      <c r="E368" s="41">
        <v>829.71400000000006</v>
      </c>
      <c r="F368" s="35">
        <v>1239</v>
      </c>
      <c r="G368" s="35">
        <v>100</v>
      </c>
      <c r="H368" s="43">
        <v>600</v>
      </c>
      <c r="I368" s="35">
        <v>695</v>
      </c>
      <c r="J368" s="35">
        <v>50</v>
      </c>
      <c r="K368" s="36"/>
      <c r="L368" s="36"/>
      <c r="M368" s="36"/>
      <c r="N368" s="36"/>
      <c r="O368" s="36"/>
      <c r="P368" s="36"/>
      <c r="Q368" s="36"/>
      <c r="R368" s="36"/>
      <c r="S368" s="36"/>
      <c r="T368" s="36"/>
    </row>
    <row r="369" spans="1:20" ht="15.75">
      <c r="A369" s="13">
        <v>52748</v>
      </c>
      <c r="B369" s="44">
        <v>31</v>
      </c>
      <c r="C369" s="35">
        <v>194.20500000000001</v>
      </c>
      <c r="D369" s="35">
        <v>267.46600000000001</v>
      </c>
      <c r="E369" s="41">
        <v>812.32899999999995</v>
      </c>
      <c r="F369" s="35">
        <v>1274</v>
      </c>
      <c r="G369" s="35">
        <v>75</v>
      </c>
      <c r="H369" s="43">
        <v>600</v>
      </c>
      <c r="I369" s="35">
        <v>695</v>
      </c>
      <c r="J369" s="35">
        <v>50</v>
      </c>
      <c r="K369" s="36"/>
      <c r="L369" s="36"/>
      <c r="M369" s="36"/>
      <c r="N369" s="36"/>
      <c r="O369" s="36"/>
      <c r="P369" s="36"/>
      <c r="Q369" s="36"/>
      <c r="R369" s="36"/>
      <c r="S369" s="36"/>
      <c r="T369" s="36"/>
    </row>
    <row r="370" spans="1:20" ht="15.75">
      <c r="A370" s="13">
        <v>52778</v>
      </c>
      <c r="B370" s="44">
        <v>30</v>
      </c>
      <c r="C370" s="35">
        <v>194.20500000000001</v>
      </c>
      <c r="D370" s="35">
        <v>267.46600000000001</v>
      </c>
      <c r="E370" s="41">
        <v>812.32899999999995</v>
      </c>
      <c r="F370" s="35">
        <v>1274</v>
      </c>
      <c r="G370" s="35">
        <v>50</v>
      </c>
      <c r="H370" s="43">
        <v>600</v>
      </c>
      <c r="I370" s="35">
        <v>695</v>
      </c>
      <c r="J370" s="35">
        <v>50</v>
      </c>
      <c r="K370" s="36"/>
      <c r="L370" s="36"/>
      <c r="M370" s="36"/>
      <c r="N370" s="36"/>
      <c r="O370" s="36"/>
      <c r="P370" s="36"/>
      <c r="Q370" s="36"/>
      <c r="R370" s="36"/>
      <c r="S370" s="36"/>
      <c r="T370" s="36"/>
    </row>
    <row r="371" spans="1:20" ht="15.75">
      <c r="A371" s="13">
        <v>52809</v>
      </c>
      <c r="B371" s="44">
        <v>31</v>
      </c>
      <c r="C371" s="35">
        <v>194.20500000000001</v>
      </c>
      <c r="D371" s="35">
        <v>267.46600000000001</v>
      </c>
      <c r="E371" s="41">
        <v>812.32899999999995</v>
      </c>
      <c r="F371" s="35">
        <v>1274</v>
      </c>
      <c r="G371" s="35">
        <v>50</v>
      </c>
      <c r="H371" s="43">
        <v>600</v>
      </c>
      <c r="I371" s="35">
        <v>695</v>
      </c>
      <c r="J371" s="35">
        <v>0</v>
      </c>
      <c r="K371" s="36"/>
      <c r="L371" s="36"/>
      <c r="M371" s="36"/>
      <c r="N371" s="36"/>
      <c r="O371" s="36"/>
      <c r="P371" s="36"/>
      <c r="Q371" s="36"/>
      <c r="R371" s="36"/>
      <c r="S371" s="36"/>
      <c r="T371" s="36"/>
    </row>
    <row r="372" spans="1:20" ht="15.75">
      <c r="A372" s="13">
        <v>52840</v>
      </c>
      <c r="B372" s="44">
        <v>31</v>
      </c>
      <c r="C372" s="35">
        <v>194.20500000000001</v>
      </c>
      <c r="D372" s="35">
        <v>267.46600000000001</v>
      </c>
      <c r="E372" s="41">
        <v>812.32899999999995</v>
      </c>
      <c r="F372" s="35">
        <v>1274</v>
      </c>
      <c r="G372" s="35">
        <v>50</v>
      </c>
      <c r="H372" s="43">
        <v>600</v>
      </c>
      <c r="I372" s="35">
        <v>695</v>
      </c>
      <c r="J372" s="35">
        <v>0</v>
      </c>
      <c r="K372" s="36"/>
      <c r="L372" s="36"/>
      <c r="M372" s="36"/>
      <c r="N372" s="36"/>
      <c r="O372" s="36"/>
      <c r="P372" s="36"/>
      <c r="Q372" s="36"/>
      <c r="R372" s="36"/>
      <c r="S372" s="36"/>
      <c r="T372" s="36"/>
    </row>
    <row r="373" spans="1:20" ht="15.75">
      <c r="A373" s="13">
        <v>52870</v>
      </c>
      <c r="B373" s="44">
        <v>30</v>
      </c>
      <c r="C373" s="35">
        <v>194.20500000000001</v>
      </c>
      <c r="D373" s="35">
        <v>267.46600000000001</v>
      </c>
      <c r="E373" s="41">
        <v>812.32899999999995</v>
      </c>
      <c r="F373" s="35">
        <v>1274</v>
      </c>
      <c r="G373" s="35">
        <v>50</v>
      </c>
      <c r="H373" s="43">
        <v>600</v>
      </c>
      <c r="I373" s="35">
        <v>695</v>
      </c>
      <c r="J373" s="35">
        <v>0</v>
      </c>
      <c r="K373" s="36"/>
      <c r="L373" s="36"/>
      <c r="M373" s="36"/>
      <c r="N373" s="36"/>
      <c r="O373" s="36"/>
      <c r="P373" s="36"/>
      <c r="Q373" s="36"/>
      <c r="R373" s="36"/>
      <c r="S373" s="36"/>
      <c r="T373" s="36"/>
    </row>
    <row r="374" spans="1:20" ht="15.75">
      <c r="A374" s="13">
        <v>52901</v>
      </c>
      <c r="B374" s="44">
        <v>31</v>
      </c>
      <c r="C374" s="35">
        <v>131.881</v>
      </c>
      <c r="D374" s="35">
        <v>277.16699999999997</v>
      </c>
      <c r="E374" s="41">
        <v>829.952</v>
      </c>
      <c r="F374" s="35">
        <v>1239</v>
      </c>
      <c r="G374" s="35">
        <v>75</v>
      </c>
      <c r="H374" s="43">
        <v>600</v>
      </c>
      <c r="I374" s="35">
        <v>695</v>
      </c>
      <c r="J374" s="35">
        <v>0</v>
      </c>
      <c r="K374" s="36"/>
      <c r="L374" s="36"/>
      <c r="M374" s="36"/>
      <c r="N374" s="36"/>
      <c r="O374" s="36"/>
      <c r="P374" s="36"/>
      <c r="Q374" s="36"/>
      <c r="R374" s="36"/>
      <c r="S374" s="36"/>
      <c r="T374" s="36"/>
    </row>
    <row r="375" spans="1:20" ht="15.75">
      <c r="A375" s="13">
        <v>52931</v>
      </c>
      <c r="B375" s="44">
        <v>30</v>
      </c>
      <c r="C375" s="35">
        <v>122.58</v>
      </c>
      <c r="D375" s="35">
        <v>297.94099999999997</v>
      </c>
      <c r="E375" s="41">
        <v>729.47900000000004</v>
      </c>
      <c r="F375" s="35">
        <v>1150</v>
      </c>
      <c r="G375" s="35">
        <v>100</v>
      </c>
      <c r="H375" s="43">
        <v>600</v>
      </c>
      <c r="I375" s="35">
        <v>695</v>
      </c>
      <c r="J375" s="35">
        <v>50</v>
      </c>
      <c r="K375" s="36"/>
      <c r="L375" s="36"/>
      <c r="M375" s="36"/>
      <c r="N375" s="36"/>
      <c r="O375" s="36"/>
      <c r="P375" s="36"/>
      <c r="Q375" s="36"/>
      <c r="R375" s="36"/>
      <c r="S375" s="36"/>
      <c r="T375" s="36"/>
    </row>
    <row r="376" spans="1:20" ht="15.75">
      <c r="A376" s="13">
        <v>52962</v>
      </c>
      <c r="B376" s="44">
        <v>31</v>
      </c>
      <c r="C376" s="35">
        <v>122.58</v>
      </c>
      <c r="D376" s="35">
        <v>297.94099999999997</v>
      </c>
      <c r="E376" s="41">
        <v>729.47900000000004</v>
      </c>
      <c r="F376" s="35">
        <v>1150</v>
      </c>
      <c r="G376" s="35">
        <v>100</v>
      </c>
      <c r="H376" s="43">
        <v>600</v>
      </c>
      <c r="I376" s="35">
        <v>695</v>
      </c>
      <c r="J376" s="35">
        <v>50</v>
      </c>
      <c r="K376" s="36"/>
      <c r="L376" s="36"/>
      <c r="M376" s="36"/>
      <c r="N376" s="36"/>
      <c r="O376" s="36"/>
      <c r="P376" s="36"/>
      <c r="Q376" s="36"/>
      <c r="R376" s="36"/>
      <c r="S376" s="36"/>
      <c r="T376" s="36"/>
    </row>
    <row r="377" spans="1:20" ht="15.75">
      <c r="A377" s="13">
        <v>52993</v>
      </c>
      <c r="B377" s="44">
        <v>31</v>
      </c>
      <c r="C377" s="35">
        <v>122.58</v>
      </c>
      <c r="D377" s="35">
        <v>297.94099999999997</v>
      </c>
      <c r="E377" s="41">
        <v>729.47900000000004</v>
      </c>
      <c r="F377" s="35">
        <v>1150</v>
      </c>
      <c r="G377" s="35">
        <v>100</v>
      </c>
      <c r="H377" s="43">
        <v>600</v>
      </c>
      <c r="I377" s="35">
        <v>695</v>
      </c>
      <c r="J377" s="35">
        <v>50</v>
      </c>
      <c r="K377" s="36"/>
      <c r="L377" s="36"/>
      <c r="M377" s="36"/>
      <c r="N377" s="36"/>
      <c r="O377" s="36"/>
      <c r="P377" s="36"/>
      <c r="Q377" s="36"/>
      <c r="R377" s="36"/>
      <c r="S377" s="36"/>
      <c r="T377" s="36"/>
    </row>
    <row r="378" spans="1:20" ht="15.75">
      <c r="A378" s="13">
        <v>53021</v>
      </c>
      <c r="B378" s="44">
        <v>28</v>
      </c>
      <c r="C378" s="35">
        <v>122.58</v>
      </c>
      <c r="D378" s="35">
        <v>297.94099999999997</v>
      </c>
      <c r="E378" s="41">
        <v>729.47900000000004</v>
      </c>
      <c r="F378" s="35">
        <v>1150</v>
      </c>
      <c r="G378" s="35">
        <v>100</v>
      </c>
      <c r="H378" s="43">
        <v>600</v>
      </c>
      <c r="I378" s="35">
        <v>695</v>
      </c>
      <c r="J378" s="35">
        <v>50</v>
      </c>
      <c r="K378" s="36"/>
      <c r="L378" s="36"/>
      <c r="M378" s="36"/>
      <c r="N378" s="36"/>
      <c r="O378" s="36"/>
      <c r="P378" s="36"/>
      <c r="Q378" s="36"/>
      <c r="R378" s="36"/>
      <c r="S378" s="36"/>
      <c r="T378" s="36"/>
    </row>
    <row r="379" spans="1:20" ht="15.75">
      <c r="A379" s="13">
        <v>53052</v>
      </c>
      <c r="B379" s="44">
        <v>31</v>
      </c>
      <c r="C379" s="35">
        <v>122.58</v>
      </c>
      <c r="D379" s="35">
        <v>297.94099999999997</v>
      </c>
      <c r="E379" s="41">
        <v>729.47900000000004</v>
      </c>
      <c r="F379" s="35">
        <v>1150</v>
      </c>
      <c r="G379" s="35">
        <v>100</v>
      </c>
      <c r="H379" s="43">
        <v>600</v>
      </c>
      <c r="I379" s="35">
        <v>695</v>
      </c>
      <c r="J379" s="35">
        <v>50</v>
      </c>
      <c r="K379" s="36"/>
      <c r="L379" s="36"/>
      <c r="M379" s="36"/>
      <c r="N379" s="36"/>
      <c r="O379" s="36"/>
      <c r="P379" s="36"/>
      <c r="Q379" s="36"/>
      <c r="R379" s="36"/>
      <c r="S379" s="36"/>
      <c r="T379" s="36"/>
    </row>
    <row r="380" spans="1:20" ht="15.75">
      <c r="A380" s="13">
        <v>53082</v>
      </c>
      <c r="B380" s="44">
        <v>30</v>
      </c>
      <c r="C380" s="35">
        <v>141.29300000000001</v>
      </c>
      <c r="D380" s="35">
        <v>267.99299999999999</v>
      </c>
      <c r="E380" s="41">
        <v>829.71400000000006</v>
      </c>
      <c r="F380" s="35">
        <v>1239</v>
      </c>
      <c r="G380" s="35">
        <v>100</v>
      </c>
      <c r="H380" s="43">
        <v>600</v>
      </c>
      <c r="I380" s="35">
        <v>695</v>
      </c>
      <c r="J380" s="35">
        <v>50</v>
      </c>
      <c r="K380" s="36"/>
      <c r="L380" s="36"/>
      <c r="M380" s="36"/>
      <c r="N380" s="36"/>
      <c r="O380" s="36"/>
      <c r="P380" s="36"/>
      <c r="Q380" s="36"/>
      <c r="R380" s="36"/>
      <c r="S380" s="36"/>
      <c r="T380" s="36"/>
    </row>
    <row r="381" spans="1:20" ht="15.75">
      <c r="A381" s="13">
        <v>53113</v>
      </c>
      <c r="B381" s="44">
        <v>31</v>
      </c>
      <c r="C381" s="35">
        <v>194.20500000000001</v>
      </c>
      <c r="D381" s="35">
        <v>267.46600000000001</v>
      </c>
      <c r="E381" s="41">
        <v>812.32899999999995</v>
      </c>
      <c r="F381" s="35">
        <v>1274</v>
      </c>
      <c r="G381" s="35">
        <v>75</v>
      </c>
      <c r="H381" s="43">
        <v>600</v>
      </c>
      <c r="I381" s="35">
        <v>695</v>
      </c>
      <c r="J381" s="35">
        <v>50</v>
      </c>
      <c r="K381" s="36"/>
      <c r="L381" s="36"/>
      <c r="M381" s="36"/>
      <c r="N381" s="36"/>
      <c r="O381" s="36"/>
      <c r="P381" s="36"/>
      <c r="Q381" s="36"/>
      <c r="R381" s="36"/>
      <c r="S381" s="36"/>
      <c r="T381" s="36"/>
    </row>
    <row r="382" spans="1:20" ht="15.75">
      <c r="A382" s="13">
        <v>53143</v>
      </c>
      <c r="B382" s="44">
        <v>30</v>
      </c>
      <c r="C382" s="35">
        <v>194.20500000000001</v>
      </c>
      <c r="D382" s="35">
        <v>267.46600000000001</v>
      </c>
      <c r="E382" s="41">
        <v>812.32899999999995</v>
      </c>
      <c r="F382" s="35">
        <v>1274</v>
      </c>
      <c r="G382" s="35">
        <v>50</v>
      </c>
      <c r="H382" s="43">
        <v>600</v>
      </c>
      <c r="I382" s="35">
        <v>695</v>
      </c>
      <c r="J382" s="35">
        <v>50</v>
      </c>
      <c r="K382" s="36"/>
      <c r="L382" s="36"/>
      <c r="M382" s="36"/>
      <c r="N382" s="36"/>
      <c r="O382" s="36"/>
      <c r="P382" s="36"/>
      <c r="Q382" s="36"/>
      <c r="R382" s="36"/>
      <c r="S382" s="36"/>
      <c r="T382" s="36"/>
    </row>
    <row r="383" spans="1:20" ht="15.75">
      <c r="A383" s="13">
        <v>53174</v>
      </c>
      <c r="B383" s="44">
        <v>31</v>
      </c>
      <c r="C383" s="35">
        <v>194.20500000000001</v>
      </c>
      <c r="D383" s="35">
        <v>267.46600000000001</v>
      </c>
      <c r="E383" s="41">
        <v>812.32899999999995</v>
      </c>
      <c r="F383" s="35">
        <v>1274</v>
      </c>
      <c r="G383" s="35">
        <v>50</v>
      </c>
      <c r="H383" s="43">
        <v>600</v>
      </c>
      <c r="I383" s="35">
        <v>695</v>
      </c>
      <c r="J383" s="35">
        <v>0</v>
      </c>
      <c r="K383" s="36"/>
      <c r="L383" s="36"/>
      <c r="M383" s="36"/>
      <c r="N383" s="36"/>
      <c r="O383" s="36"/>
      <c r="P383" s="36"/>
      <c r="Q383" s="36"/>
      <c r="R383" s="36"/>
      <c r="S383" s="36"/>
      <c r="T383" s="36"/>
    </row>
    <row r="384" spans="1:20" ht="15.75">
      <c r="A384" s="13">
        <v>53205</v>
      </c>
      <c r="B384" s="44">
        <v>31</v>
      </c>
      <c r="C384" s="35">
        <v>194.20500000000001</v>
      </c>
      <c r="D384" s="35">
        <v>267.46600000000001</v>
      </c>
      <c r="E384" s="41">
        <v>812.32899999999995</v>
      </c>
      <c r="F384" s="35">
        <v>1274</v>
      </c>
      <c r="G384" s="35">
        <v>50</v>
      </c>
      <c r="H384" s="43">
        <v>600</v>
      </c>
      <c r="I384" s="35">
        <v>695</v>
      </c>
      <c r="J384" s="35">
        <v>0</v>
      </c>
      <c r="K384" s="36"/>
      <c r="L384" s="36"/>
      <c r="M384" s="36"/>
      <c r="N384" s="36"/>
      <c r="O384" s="36"/>
      <c r="P384" s="36"/>
      <c r="Q384" s="36"/>
      <c r="R384" s="36"/>
      <c r="S384" s="36"/>
      <c r="T384" s="36"/>
    </row>
    <row r="385" spans="1:20" ht="15.75">
      <c r="A385" s="13">
        <v>53235</v>
      </c>
      <c r="B385" s="44">
        <v>30</v>
      </c>
      <c r="C385" s="35">
        <v>194.20500000000001</v>
      </c>
      <c r="D385" s="35">
        <v>267.46600000000001</v>
      </c>
      <c r="E385" s="41">
        <v>812.32899999999995</v>
      </c>
      <c r="F385" s="35">
        <v>1274</v>
      </c>
      <c r="G385" s="35">
        <v>50</v>
      </c>
      <c r="H385" s="43">
        <v>600</v>
      </c>
      <c r="I385" s="35">
        <v>695</v>
      </c>
      <c r="J385" s="35">
        <v>0</v>
      </c>
      <c r="K385" s="36"/>
      <c r="L385" s="36"/>
      <c r="M385" s="36"/>
      <c r="N385" s="36"/>
      <c r="O385" s="36"/>
      <c r="P385" s="36"/>
      <c r="Q385" s="36"/>
      <c r="R385" s="36"/>
      <c r="S385" s="36"/>
      <c r="T385" s="36"/>
    </row>
    <row r="386" spans="1:20" ht="15.75">
      <c r="A386" s="13">
        <v>53266</v>
      </c>
      <c r="B386" s="44">
        <v>31</v>
      </c>
      <c r="C386" s="35">
        <v>131.881</v>
      </c>
      <c r="D386" s="35">
        <v>277.16699999999997</v>
      </c>
      <c r="E386" s="41">
        <v>829.952</v>
      </c>
      <c r="F386" s="35">
        <v>1239</v>
      </c>
      <c r="G386" s="35">
        <v>75</v>
      </c>
      <c r="H386" s="43">
        <v>600</v>
      </c>
      <c r="I386" s="35">
        <v>695</v>
      </c>
      <c r="J386" s="35">
        <v>0</v>
      </c>
      <c r="K386" s="36"/>
      <c r="L386" s="36"/>
      <c r="M386" s="36"/>
      <c r="N386" s="36"/>
      <c r="O386" s="36"/>
      <c r="P386" s="36"/>
      <c r="Q386" s="36"/>
      <c r="R386" s="36"/>
      <c r="S386" s="36"/>
      <c r="T386" s="36"/>
    </row>
    <row r="387" spans="1:20" ht="15.75">
      <c r="A387" s="13">
        <v>53296</v>
      </c>
      <c r="B387" s="44">
        <v>30</v>
      </c>
      <c r="C387" s="35">
        <v>122.58</v>
      </c>
      <c r="D387" s="35">
        <v>297.94099999999997</v>
      </c>
      <c r="E387" s="41">
        <v>729.47900000000004</v>
      </c>
      <c r="F387" s="35">
        <v>1150</v>
      </c>
      <c r="G387" s="35">
        <v>100</v>
      </c>
      <c r="H387" s="43">
        <v>600</v>
      </c>
      <c r="I387" s="35">
        <v>695</v>
      </c>
      <c r="J387" s="35">
        <v>50</v>
      </c>
      <c r="K387" s="36"/>
      <c r="L387" s="36"/>
      <c r="M387" s="36"/>
      <c r="N387" s="36"/>
      <c r="O387" s="36"/>
      <c r="P387" s="36"/>
      <c r="Q387" s="36"/>
      <c r="R387" s="36"/>
      <c r="S387" s="36"/>
      <c r="T387" s="36"/>
    </row>
    <row r="388" spans="1:20" ht="15.75">
      <c r="A388" s="13">
        <v>53327</v>
      </c>
      <c r="B388" s="44">
        <v>31</v>
      </c>
      <c r="C388" s="35">
        <v>122.58</v>
      </c>
      <c r="D388" s="35">
        <v>297.94099999999997</v>
      </c>
      <c r="E388" s="41">
        <v>729.47900000000004</v>
      </c>
      <c r="F388" s="35">
        <v>1150</v>
      </c>
      <c r="G388" s="35">
        <v>100</v>
      </c>
      <c r="H388" s="43">
        <v>600</v>
      </c>
      <c r="I388" s="35">
        <v>695</v>
      </c>
      <c r="J388" s="35">
        <v>50</v>
      </c>
      <c r="K388" s="36"/>
      <c r="L388" s="36"/>
      <c r="M388" s="36"/>
      <c r="N388" s="36"/>
      <c r="O388" s="36"/>
      <c r="P388" s="36"/>
      <c r="Q388" s="36"/>
      <c r="R388" s="36"/>
      <c r="S388" s="36"/>
      <c r="T388" s="36"/>
    </row>
    <row r="389" spans="1:20" ht="15.75">
      <c r="A389" s="13">
        <v>53358</v>
      </c>
      <c r="B389" s="44">
        <v>31</v>
      </c>
      <c r="C389" s="35">
        <v>122.58</v>
      </c>
      <c r="D389" s="35">
        <v>297.94099999999997</v>
      </c>
      <c r="E389" s="41">
        <v>729.47900000000004</v>
      </c>
      <c r="F389" s="35">
        <v>1150</v>
      </c>
      <c r="G389" s="35">
        <v>100</v>
      </c>
      <c r="H389" s="43">
        <v>600</v>
      </c>
      <c r="I389" s="35">
        <v>695</v>
      </c>
      <c r="J389" s="35">
        <v>50</v>
      </c>
      <c r="K389" s="36"/>
      <c r="L389" s="36"/>
      <c r="M389" s="36"/>
      <c r="N389" s="36"/>
      <c r="O389" s="36"/>
      <c r="P389" s="36"/>
      <c r="Q389" s="36"/>
      <c r="R389" s="36"/>
      <c r="S389" s="36"/>
      <c r="T389" s="36"/>
    </row>
    <row r="390" spans="1:20" ht="15.75">
      <c r="A390" s="13">
        <v>53386</v>
      </c>
      <c r="B390" s="44">
        <v>28</v>
      </c>
      <c r="C390" s="35">
        <v>122.58</v>
      </c>
      <c r="D390" s="35">
        <v>297.94099999999997</v>
      </c>
      <c r="E390" s="41">
        <v>729.47900000000004</v>
      </c>
      <c r="F390" s="35">
        <v>1150</v>
      </c>
      <c r="G390" s="35">
        <v>100</v>
      </c>
      <c r="H390" s="43">
        <v>600</v>
      </c>
      <c r="I390" s="35">
        <v>695</v>
      </c>
      <c r="J390" s="35">
        <v>50</v>
      </c>
      <c r="K390" s="36"/>
      <c r="L390" s="36"/>
      <c r="M390" s="36"/>
      <c r="N390" s="36"/>
      <c r="O390" s="36"/>
      <c r="P390" s="36"/>
      <c r="Q390" s="36"/>
      <c r="R390" s="36"/>
      <c r="S390" s="36"/>
      <c r="T390" s="36"/>
    </row>
    <row r="391" spans="1:20" ht="15.75">
      <c r="A391" s="13">
        <v>53417</v>
      </c>
      <c r="B391" s="44">
        <v>31</v>
      </c>
      <c r="C391" s="35">
        <v>122.58</v>
      </c>
      <c r="D391" s="35">
        <v>297.94099999999997</v>
      </c>
      <c r="E391" s="41">
        <v>729.47900000000004</v>
      </c>
      <c r="F391" s="35">
        <v>1150</v>
      </c>
      <c r="G391" s="35">
        <v>100</v>
      </c>
      <c r="H391" s="43">
        <v>600</v>
      </c>
      <c r="I391" s="35">
        <v>695</v>
      </c>
      <c r="J391" s="35">
        <v>50</v>
      </c>
      <c r="K391" s="36"/>
      <c r="L391" s="36"/>
      <c r="M391" s="36"/>
      <c r="N391" s="36"/>
      <c r="O391" s="36"/>
      <c r="P391" s="36"/>
      <c r="Q391" s="36"/>
      <c r="R391" s="36"/>
      <c r="S391" s="36"/>
      <c r="T391" s="36"/>
    </row>
    <row r="392" spans="1:20" ht="15.75">
      <c r="A392" s="13">
        <v>53447</v>
      </c>
      <c r="B392" s="44">
        <v>30</v>
      </c>
      <c r="C392" s="35">
        <v>141.29300000000001</v>
      </c>
      <c r="D392" s="35">
        <v>267.99299999999999</v>
      </c>
      <c r="E392" s="41">
        <v>829.71400000000006</v>
      </c>
      <c r="F392" s="35">
        <v>1239</v>
      </c>
      <c r="G392" s="35">
        <v>100</v>
      </c>
      <c r="H392" s="43">
        <v>600</v>
      </c>
      <c r="I392" s="35">
        <v>695</v>
      </c>
      <c r="J392" s="35">
        <v>50</v>
      </c>
      <c r="K392" s="36"/>
      <c r="L392" s="36"/>
      <c r="M392" s="36"/>
      <c r="N392" s="36"/>
      <c r="O392" s="36"/>
      <c r="P392" s="36"/>
      <c r="Q392" s="36"/>
      <c r="R392" s="36"/>
      <c r="S392" s="36"/>
      <c r="T392" s="36"/>
    </row>
    <row r="393" spans="1:20" ht="15.75">
      <c r="A393" s="13">
        <v>53478</v>
      </c>
      <c r="B393" s="44">
        <v>31</v>
      </c>
      <c r="C393" s="35">
        <v>194.20500000000001</v>
      </c>
      <c r="D393" s="35">
        <v>267.46600000000001</v>
      </c>
      <c r="E393" s="41">
        <v>812.32899999999995</v>
      </c>
      <c r="F393" s="35">
        <v>1274</v>
      </c>
      <c r="G393" s="35">
        <v>75</v>
      </c>
      <c r="H393" s="43">
        <v>600</v>
      </c>
      <c r="I393" s="35">
        <v>695</v>
      </c>
      <c r="J393" s="35">
        <v>50</v>
      </c>
      <c r="K393" s="36"/>
      <c r="L393" s="36"/>
      <c r="M393" s="36"/>
      <c r="N393" s="36"/>
      <c r="O393" s="36"/>
      <c r="P393" s="36"/>
      <c r="Q393" s="36"/>
      <c r="R393" s="36"/>
      <c r="S393" s="36"/>
      <c r="T393" s="36"/>
    </row>
    <row r="394" spans="1:20" ht="15.75">
      <c r="A394" s="13">
        <v>53508</v>
      </c>
      <c r="B394" s="44">
        <v>30</v>
      </c>
      <c r="C394" s="35">
        <v>194.20500000000001</v>
      </c>
      <c r="D394" s="35">
        <v>267.46600000000001</v>
      </c>
      <c r="E394" s="41">
        <v>812.32899999999995</v>
      </c>
      <c r="F394" s="35">
        <v>1274</v>
      </c>
      <c r="G394" s="35">
        <v>50</v>
      </c>
      <c r="H394" s="43">
        <v>600</v>
      </c>
      <c r="I394" s="35">
        <v>695</v>
      </c>
      <c r="J394" s="35">
        <v>50</v>
      </c>
      <c r="K394" s="36"/>
      <c r="L394" s="36"/>
      <c r="M394" s="36"/>
      <c r="N394" s="36"/>
      <c r="O394" s="36"/>
      <c r="P394" s="36"/>
      <c r="Q394" s="36"/>
      <c r="R394" s="36"/>
      <c r="S394" s="36"/>
      <c r="T394" s="36"/>
    </row>
    <row r="395" spans="1:20" ht="15.75">
      <c r="A395" s="13">
        <v>53539</v>
      </c>
      <c r="B395" s="44">
        <v>31</v>
      </c>
      <c r="C395" s="35">
        <v>194.20500000000001</v>
      </c>
      <c r="D395" s="35">
        <v>267.46600000000001</v>
      </c>
      <c r="E395" s="41">
        <v>812.32899999999995</v>
      </c>
      <c r="F395" s="35">
        <v>1274</v>
      </c>
      <c r="G395" s="35">
        <v>50</v>
      </c>
      <c r="H395" s="43">
        <v>600</v>
      </c>
      <c r="I395" s="35">
        <v>695</v>
      </c>
      <c r="J395" s="35">
        <v>0</v>
      </c>
      <c r="K395" s="36"/>
      <c r="L395" s="36"/>
      <c r="M395" s="36"/>
      <c r="N395" s="36"/>
      <c r="O395" s="36"/>
      <c r="P395" s="36"/>
      <c r="Q395" s="36"/>
      <c r="R395" s="36"/>
      <c r="S395" s="36"/>
      <c r="T395" s="36"/>
    </row>
    <row r="396" spans="1:20" ht="15.75">
      <c r="A396" s="13">
        <v>53570</v>
      </c>
      <c r="B396" s="44">
        <v>31</v>
      </c>
      <c r="C396" s="35">
        <v>194.20500000000001</v>
      </c>
      <c r="D396" s="35">
        <v>267.46600000000001</v>
      </c>
      <c r="E396" s="41">
        <v>812.32899999999995</v>
      </c>
      <c r="F396" s="35">
        <v>1274</v>
      </c>
      <c r="G396" s="35">
        <v>50</v>
      </c>
      <c r="H396" s="43">
        <v>600</v>
      </c>
      <c r="I396" s="35">
        <v>695</v>
      </c>
      <c r="J396" s="35">
        <v>0</v>
      </c>
      <c r="K396" s="36"/>
      <c r="L396" s="36"/>
      <c r="M396" s="36"/>
      <c r="N396" s="36"/>
      <c r="O396" s="36"/>
      <c r="P396" s="36"/>
      <c r="Q396" s="36"/>
      <c r="R396" s="36"/>
      <c r="S396" s="36"/>
      <c r="T396" s="36"/>
    </row>
    <row r="397" spans="1:20" ht="15.75">
      <c r="A397" s="13">
        <v>53600</v>
      </c>
      <c r="B397" s="44">
        <v>30</v>
      </c>
      <c r="C397" s="35">
        <v>194.20500000000001</v>
      </c>
      <c r="D397" s="35">
        <v>267.46600000000001</v>
      </c>
      <c r="E397" s="41">
        <v>812.32899999999995</v>
      </c>
      <c r="F397" s="35">
        <v>1274</v>
      </c>
      <c r="G397" s="35">
        <v>50</v>
      </c>
      <c r="H397" s="43">
        <v>600</v>
      </c>
      <c r="I397" s="35">
        <v>695</v>
      </c>
      <c r="J397" s="35">
        <v>0</v>
      </c>
      <c r="K397" s="36"/>
      <c r="L397" s="36"/>
      <c r="M397" s="36"/>
      <c r="N397" s="36"/>
      <c r="O397" s="36"/>
      <c r="P397" s="36"/>
      <c r="Q397" s="36"/>
      <c r="R397" s="36"/>
      <c r="S397" s="36"/>
      <c r="T397" s="36"/>
    </row>
    <row r="398" spans="1:20" ht="15.75">
      <c r="A398" s="13">
        <v>53631</v>
      </c>
      <c r="B398" s="44">
        <v>31</v>
      </c>
      <c r="C398" s="35">
        <v>131.881</v>
      </c>
      <c r="D398" s="35">
        <v>277.16699999999997</v>
      </c>
      <c r="E398" s="41">
        <v>829.952</v>
      </c>
      <c r="F398" s="35">
        <v>1239</v>
      </c>
      <c r="G398" s="35">
        <v>75</v>
      </c>
      <c r="H398" s="43">
        <v>600</v>
      </c>
      <c r="I398" s="35">
        <v>695</v>
      </c>
      <c r="J398" s="35">
        <v>0</v>
      </c>
      <c r="K398" s="36"/>
      <c r="L398" s="36"/>
      <c r="M398" s="36"/>
      <c r="N398" s="36"/>
      <c r="O398" s="36"/>
      <c r="P398" s="36"/>
      <c r="Q398" s="36"/>
      <c r="R398" s="36"/>
      <c r="S398" s="36"/>
      <c r="T398" s="36"/>
    </row>
    <row r="399" spans="1:20" ht="15.75">
      <c r="A399" s="13">
        <v>53661</v>
      </c>
      <c r="B399" s="44">
        <v>30</v>
      </c>
      <c r="C399" s="35">
        <v>122.58</v>
      </c>
      <c r="D399" s="35">
        <v>297.94099999999997</v>
      </c>
      <c r="E399" s="41">
        <v>729.47900000000004</v>
      </c>
      <c r="F399" s="35">
        <v>1150</v>
      </c>
      <c r="G399" s="35">
        <v>100</v>
      </c>
      <c r="H399" s="43">
        <v>600</v>
      </c>
      <c r="I399" s="35">
        <v>695</v>
      </c>
      <c r="J399" s="35">
        <v>50</v>
      </c>
      <c r="K399" s="36"/>
      <c r="L399" s="36"/>
      <c r="M399" s="36"/>
      <c r="N399" s="36"/>
      <c r="O399" s="36"/>
      <c r="P399" s="36"/>
      <c r="Q399" s="36"/>
      <c r="R399" s="36"/>
      <c r="S399" s="36"/>
      <c r="T399" s="36"/>
    </row>
    <row r="400" spans="1:20" ht="15.75">
      <c r="A400" s="13">
        <v>53692</v>
      </c>
      <c r="B400" s="44">
        <v>31</v>
      </c>
      <c r="C400" s="35">
        <v>122.58</v>
      </c>
      <c r="D400" s="35">
        <v>297.94099999999997</v>
      </c>
      <c r="E400" s="41">
        <v>729.47900000000004</v>
      </c>
      <c r="F400" s="35">
        <v>1150</v>
      </c>
      <c r="G400" s="35">
        <v>100</v>
      </c>
      <c r="H400" s="43">
        <v>600</v>
      </c>
      <c r="I400" s="35">
        <v>695</v>
      </c>
      <c r="J400" s="35">
        <v>50</v>
      </c>
      <c r="K400" s="36"/>
      <c r="L400" s="36"/>
      <c r="M400" s="36"/>
      <c r="N400" s="36"/>
      <c r="O400" s="36"/>
      <c r="P400" s="36"/>
      <c r="Q400" s="36"/>
      <c r="R400" s="36"/>
      <c r="S400" s="36"/>
      <c r="T400" s="36"/>
    </row>
    <row r="401" spans="1:20" ht="15.75">
      <c r="A401" s="13">
        <v>53723</v>
      </c>
      <c r="B401" s="44">
        <v>31</v>
      </c>
      <c r="C401" s="35">
        <v>122.58</v>
      </c>
      <c r="D401" s="35">
        <v>297.94099999999997</v>
      </c>
      <c r="E401" s="41">
        <v>729.47900000000004</v>
      </c>
      <c r="F401" s="35">
        <v>1150</v>
      </c>
      <c r="G401" s="35">
        <v>100</v>
      </c>
      <c r="H401" s="43">
        <v>600</v>
      </c>
      <c r="I401" s="35">
        <v>695</v>
      </c>
      <c r="J401" s="35">
        <v>50</v>
      </c>
      <c r="K401" s="36"/>
      <c r="L401" s="36"/>
      <c r="M401" s="36"/>
      <c r="N401" s="36"/>
      <c r="O401" s="36"/>
      <c r="P401" s="36"/>
      <c r="Q401" s="36"/>
      <c r="R401" s="36"/>
      <c r="S401" s="36"/>
      <c r="T401" s="36"/>
    </row>
    <row r="402" spans="1:20" ht="15.75">
      <c r="A402" s="13">
        <v>53751</v>
      </c>
      <c r="B402" s="44">
        <v>28</v>
      </c>
      <c r="C402" s="35">
        <v>122.58</v>
      </c>
      <c r="D402" s="35">
        <v>297.94099999999997</v>
      </c>
      <c r="E402" s="41">
        <v>729.47900000000004</v>
      </c>
      <c r="F402" s="35">
        <v>1150</v>
      </c>
      <c r="G402" s="35">
        <v>100</v>
      </c>
      <c r="H402" s="43">
        <v>600</v>
      </c>
      <c r="I402" s="35">
        <v>695</v>
      </c>
      <c r="J402" s="35">
        <v>50</v>
      </c>
      <c r="K402" s="36"/>
      <c r="L402" s="36"/>
      <c r="M402" s="36"/>
      <c r="N402" s="36"/>
      <c r="O402" s="36"/>
      <c r="P402" s="36"/>
      <c r="Q402" s="36"/>
      <c r="R402" s="36"/>
      <c r="S402" s="36"/>
      <c r="T402" s="36"/>
    </row>
    <row r="403" spans="1:20" ht="15.75">
      <c r="A403" s="13">
        <v>53782</v>
      </c>
      <c r="B403" s="44">
        <v>31</v>
      </c>
      <c r="C403" s="35">
        <v>122.58</v>
      </c>
      <c r="D403" s="35">
        <v>297.94099999999997</v>
      </c>
      <c r="E403" s="41">
        <v>729.47900000000004</v>
      </c>
      <c r="F403" s="35">
        <v>1150</v>
      </c>
      <c r="G403" s="35">
        <v>100</v>
      </c>
      <c r="H403" s="43">
        <v>600</v>
      </c>
      <c r="I403" s="35">
        <v>695</v>
      </c>
      <c r="J403" s="35">
        <v>50</v>
      </c>
      <c r="K403" s="36"/>
      <c r="L403" s="36"/>
      <c r="M403" s="36"/>
      <c r="N403" s="36"/>
      <c r="O403" s="36"/>
      <c r="P403" s="36"/>
      <c r="Q403" s="36"/>
      <c r="R403" s="36"/>
      <c r="S403" s="36"/>
      <c r="T403" s="36"/>
    </row>
    <row r="404" spans="1:20" ht="15.75">
      <c r="A404" s="13">
        <v>53812</v>
      </c>
      <c r="B404" s="44">
        <v>30</v>
      </c>
      <c r="C404" s="35">
        <v>141.29300000000001</v>
      </c>
      <c r="D404" s="35">
        <v>267.99299999999999</v>
      </c>
      <c r="E404" s="41">
        <v>829.71400000000006</v>
      </c>
      <c r="F404" s="35">
        <v>1239</v>
      </c>
      <c r="G404" s="35">
        <v>100</v>
      </c>
      <c r="H404" s="43">
        <v>600</v>
      </c>
      <c r="I404" s="35">
        <v>695</v>
      </c>
      <c r="J404" s="35">
        <v>50</v>
      </c>
      <c r="K404" s="36"/>
      <c r="L404" s="36"/>
      <c r="M404" s="36"/>
      <c r="N404" s="36"/>
      <c r="O404" s="36"/>
      <c r="P404" s="36"/>
      <c r="Q404" s="36"/>
      <c r="R404" s="36"/>
      <c r="S404" s="36"/>
      <c r="T404" s="36"/>
    </row>
    <row r="405" spans="1:20" ht="15.75">
      <c r="A405" s="13">
        <v>53843</v>
      </c>
      <c r="B405" s="44">
        <v>31</v>
      </c>
      <c r="C405" s="35">
        <v>194.20500000000001</v>
      </c>
      <c r="D405" s="35">
        <v>267.46600000000001</v>
      </c>
      <c r="E405" s="41">
        <v>812.32899999999995</v>
      </c>
      <c r="F405" s="35">
        <v>1274</v>
      </c>
      <c r="G405" s="35">
        <v>75</v>
      </c>
      <c r="H405" s="43">
        <v>600</v>
      </c>
      <c r="I405" s="35">
        <v>695</v>
      </c>
      <c r="J405" s="35">
        <v>50</v>
      </c>
      <c r="K405" s="36"/>
      <c r="L405" s="36"/>
      <c r="M405" s="36"/>
      <c r="N405" s="36"/>
      <c r="O405" s="36"/>
      <c r="P405" s="36"/>
      <c r="Q405" s="36"/>
      <c r="R405" s="36"/>
      <c r="S405" s="36"/>
      <c r="T405" s="36"/>
    </row>
    <row r="406" spans="1:20" ht="15.75">
      <c r="A406" s="13">
        <v>53873</v>
      </c>
      <c r="B406" s="44">
        <v>30</v>
      </c>
      <c r="C406" s="35">
        <v>194.20500000000001</v>
      </c>
      <c r="D406" s="35">
        <v>267.46600000000001</v>
      </c>
      <c r="E406" s="41">
        <v>812.32899999999995</v>
      </c>
      <c r="F406" s="35">
        <v>1274</v>
      </c>
      <c r="G406" s="35">
        <v>50</v>
      </c>
      <c r="H406" s="43">
        <v>600</v>
      </c>
      <c r="I406" s="35">
        <v>695</v>
      </c>
      <c r="J406" s="35">
        <v>50</v>
      </c>
      <c r="K406" s="36"/>
      <c r="L406" s="36"/>
      <c r="M406" s="36"/>
      <c r="N406" s="36"/>
      <c r="O406" s="36"/>
      <c r="P406" s="36"/>
      <c r="Q406" s="36"/>
      <c r="R406" s="36"/>
      <c r="S406" s="36"/>
      <c r="T406" s="36"/>
    </row>
    <row r="407" spans="1:20" ht="15.75">
      <c r="A407" s="13">
        <v>53904</v>
      </c>
      <c r="B407" s="44">
        <v>31</v>
      </c>
      <c r="C407" s="35">
        <v>194.20500000000001</v>
      </c>
      <c r="D407" s="35">
        <v>267.46600000000001</v>
      </c>
      <c r="E407" s="41">
        <v>812.32899999999995</v>
      </c>
      <c r="F407" s="35">
        <v>1274</v>
      </c>
      <c r="G407" s="35">
        <v>50</v>
      </c>
      <c r="H407" s="43">
        <v>600</v>
      </c>
      <c r="I407" s="35">
        <v>695</v>
      </c>
      <c r="J407" s="35">
        <v>0</v>
      </c>
      <c r="K407" s="36"/>
      <c r="L407" s="36"/>
      <c r="M407" s="36"/>
      <c r="N407" s="36"/>
      <c r="O407" s="36"/>
      <c r="P407" s="36"/>
      <c r="Q407" s="36"/>
      <c r="R407" s="36"/>
      <c r="S407" s="36"/>
      <c r="T407" s="36"/>
    </row>
    <row r="408" spans="1:20" ht="15.75">
      <c r="A408" s="13">
        <v>53935</v>
      </c>
      <c r="B408" s="44">
        <v>31</v>
      </c>
      <c r="C408" s="35">
        <v>194.20500000000001</v>
      </c>
      <c r="D408" s="35">
        <v>267.46600000000001</v>
      </c>
      <c r="E408" s="41">
        <v>812.32899999999995</v>
      </c>
      <c r="F408" s="35">
        <v>1274</v>
      </c>
      <c r="G408" s="35">
        <v>50</v>
      </c>
      <c r="H408" s="43">
        <v>600</v>
      </c>
      <c r="I408" s="35">
        <v>695</v>
      </c>
      <c r="J408" s="35">
        <v>0</v>
      </c>
      <c r="K408" s="36"/>
      <c r="L408" s="36"/>
      <c r="M408" s="36"/>
      <c r="N408" s="36"/>
      <c r="O408" s="36"/>
      <c r="P408" s="36"/>
      <c r="Q408" s="36"/>
      <c r="R408" s="36"/>
      <c r="S408" s="36"/>
      <c r="T408" s="36"/>
    </row>
    <row r="409" spans="1:20" ht="15.75">
      <c r="A409" s="13">
        <v>53965</v>
      </c>
      <c r="B409" s="44">
        <v>30</v>
      </c>
      <c r="C409" s="35">
        <v>194.20500000000001</v>
      </c>
      <c r="D409" s="35">
        <v>267.46600000000001</v>
      </c>
      <c r="E409" s="41">
        <v>812.32899999999995</v>
      </c>
      <c r="F409" s="35">
        <v>1274</v>
      </c>
      <c r="G409" s="35">
        <v>50</v>
      </c>
      <c r="H409" s="43">
        <v>600</v>
      </c>
      <c r="I409" s="35">
        <v>695</v>
      </c>
      <c r="J409" s="35">
        <v>0</v>
      </c>
      <c r="K409" s="36"/>
      <c r="L409" s="36"/>
      <c r="M409" s="36"/>
      <c r="N409" s="36"/>
      <c r="O409" s="36"/>
      <c r="P409" s="36"/>
      <c r="Q409" s="36"/>
      <c r="R409" s="36"/>
      <c r="S409" s="36"/>
      <c r="T409" s="36"/>
    </row>
    <row r="410" spans="1:20" ht="15.75">
      <c r="A410" s="13">
        <v>53996</v>
      </c>
      <c r="B410" s="44">
        <v>31</v>
      </c>
      <c r="C410" s="35">
        <v>131.881</v>
      </c>
      <c r="D410" s="35">
        <v>277.16699999999997</v>
      </c>
      <c r="E410" s="41">
        <v>829.952</v>
      </c>
      <c r="F410" s="35">
        <v>1239</v>
      </c>
      <c r="G410" s="35">
        <v>75</v>
      </c>
      <c r="H410" s="43">
        <v>600</v>
      </c>
      <c r="I410" s="35">
        <v>695</v>
      </c>
      <c r="J410" s="35">
        <v>0</v>
      </c>
      <c r="K410" s="36"/>
      <c r="L410" s="36"/>
      <c r="M410" s="36"/>
      <c r="N410" s="36"/>
      <c r="O410" s="36"/>
      <c r="P410" s="36"/>
      <c r="Q410" s="36"/>
      <c r="R410" s="36"/>
      <c r="S410" s="36"/>
      <c r="T410" s="36"/>
    </row>
    <row r="411" spans="1:20" ht="15.75">
      <c r="A411" s="13">
        <v>54026</v>
      </c>
      <c r="B411" s="44">
        <v>30</v>
      </c>
      <c r="C411" s="35">
        <v>122.58</v>
      </c>
      <c r="D411" s="35">
        <v>297.94099999999997</v>
      </c>
      <c r="E411" s="41">
        <v>729.47900000000004</v>
      </c>
      <c r="F411" s="35">
        <v>1150</v>
      </c>
      <c r="G411" s="35">
        <v>100</v>
      </c>
      <c r="H411" s="43">
        <v>600</v>
      </c>
      <c r="I411" s="35">
        <v>695</v>
      </c>
      <c r="J411" s="35">
        <v>50</v>
      </c>
      <c r="K411" s="36"/>
      <c r="L411" s="36"/>
      <c r="M411" s="36"/>
      <c r="N411" s="36"/>
      <c r="O411" s="36"/>
      <c r="P411" s="36"/>
      <c r="Q411" s="36"/>
      <c r="R411" s="36"/>
      <c r="S411" s="36"/>
      <c r="T411" s="36"/>
    </row>
    <row r="412" spans="1:20" ht="15.75">
      <c r="A412" s="13">
        <v>54057</v>
      </c>
      <c r="B412" s="44">
        <v>31</v>
      </c>
      <c r="C412" s="35">
        <v>122.58</v>
      </c>
      <c r="D412" s="35">
        <v>297.94099999999997</v>
      </c>
      <c r="E412" s="41">
        <v>729.47900000000004</v>
      </c>
      <c r="F412" s="35">
        <v>1150</v>
      </c>
      <c r="G412" s="35">
        <v>100</v>
      </c>
      <c r="H412" s="43">
        <v>600</v>
      </c>
      <c r="I412" s="35">
        <v>695</v>
      </c>
      <c r="J412" s="35">
        <v>50</v>
      </c>
      <c r="K412" s="36"/>
      <c r="L412" s="36"/>
      <c r="M412" s="36"/>
      <c r="N412" s="36"/>
      <c r="O412" s="36"/>
      <c r="P412" s="36"/>
      <c r="Q412" s="36"/>
      <c r="R412" s="36"/>
      <c r="S412" s="36"/>
      <c r="T412" s="36"/>
    </row>
    <row r="413" spans="1:20" ht="15.75">
      <c r="A413" s="13">
        <v>54088</v>
      </c>
      <c r="B413" s="44">
        <v>31</v>
      </c>
      <c r="C413" s="35">
        <v>122.58</v>
      </c>
      <c r="D413" s="35">
        <v>297.94099999999997</v>
      </c>
      <c r="E413" s="41">
        <v>729.47900000000004</v>
      </c>
      <c r="F413" s="35">
        <v>1150</v>
      </c>
      <c r="G413" s="35">
        <v>100</v>
      </c>
      <c r="H413" s="43">
        <v>600</v>
      </c>
      <c r="I413" s="35">
        <v>695</v>
      </c>
      <c r="J413" s="35">
        <v>50</v>
      </c>
      <c r="K413" s="36"/>
      <c r="L413" s="36"/>
      <c r="M413" s="36"/>
      <c r="N413" s="36"/>
      <c r="O413" s="36"/>
      <c r="P413" s="36"/>
      <c r="Q413" s="36"/>
      <c r="R413" s="36"/>
      <c r="S413" s="36"/>
      <c r="T413" s="36"/>
    </row>
    <row r="414" spans="1:20" ht="15.75">
      <c r="A414" s="13">
        <v>54116</v>
      </c>
      <c r="B414" s="44">
        <v>29</v>
      </c>
      <c r="C414" s="35">
        <v>122.58</v>
      </c>
      <c r="D414" s="35">
        <v>297.94099999999997</v>
      </c>
      <c r="E414" s="41">
        <v>729.47900000000004</v>
      </c>
      <c r="F414" s="35">
        <v>1150</v>
      </c>
      <c r="G414" s="35">
        <v>100</v>
      </c>
      <c r="H414" s="43">
        <v>600</v>
      </c>
      <c r="I414" s="35">
        <v>695</v>
      </c>
      <c r="J414" s="35">
        <v>50</v>
      </c>
      <c r="K414" s="36"/>
      <c r="L414" s="36"/>
      <c r="M414" s="36"/>
      <c r="N414" s="36"/>
      <c r="O414" s="36"/>
      <c r="P414" s="36"/>
      <c r="Q414" s="36"/>
      <c r="R414" s="36"/>
      <c r="S414" s="36"/>
      <c r="T414" s="36"/>
    </row>
    <row r="415" spans="1:20" ht="15.75">
      <c r="A415" s="13">
        <v>54148</v>
      </c>
      <c r="B415" s="44">
        <v>31</v>
      </c>
      <c r="C415" s="35">
        <v>122.58</v>
      </c>
      <c r="D415" s="35">
        <v>297.94099999999997</v>
      </c>
      <c r="E415" s="41">
        <v>729.47900000000004</v>
      </c>
      <c r="F415" s="35">
        <v>1150</v>
      </c>
      <c r="G415" s="35">
        <v>100</v>
      </c>
      <c r="H415" s="43">
        <v>600</v>
      </c>
      <c r="I415" s="35">
        <v>695</v>
      </c>
      <c r="J415" s="35">
        <v>50</v>
      </c>
      <c r="K415" s="36"/>
      <c r="L415" s="36"/>
      <c r="M415" s="36"/>
      <c r="N415" s="36"/>
      <c r="O415" s="36"/>
      <c r="P415" s="36"/>
      <c r="Q415" s="36"/>
      <c r="R415" s="36"/>
      <c r="S415" s="36"/>
      <c r="T415" s="36"/>
    </row>
    <row r="416" spans="1:20" ht="15.75">
      <c r="A416" s="13">
        <v>54178</v>
      </c>
      <c r="B416" s="44">
        <v>30</v>
      </c>
      <c r="C416" s="35">
        <v>141.29300000000001</v>
      </c>
      <c r="D416" s="35">
        <v>267.99299999999999</v>
      </c>
      <c r="E416" s="41">
        <v>829.71400000000006</v>
      </c>
      <c r="F416" s="35">
        <v>1239</v>
      </c>
      <c r="G416" s="35">
        <v>100</v>
      </c>
      <c r="H416" s="43">
        <v>600</v>
      </c>
      <c r="I416" s="35">
        <v>695</v>
      </c>
      <c r="J416" s="35">
        <v>50</v>
      </c>
      <c r="K416" s="36"/>
      <c r="L416" s="36"/>
      <c r="M416" s="36"/>
      <c r="N416" s="36"/>
      <c r="O416" s="36"/>
      <c r="P416" s="36"/>
      <c r="Q416" s="36"/>
      <c r="R416" s="36"/>
      <c r="S416" s="36"/>
      <c r="T416" s="36"/>
    </row>
    <row r="417" spans="1:20" ht="15.75">
      <c r="A417" s="13">
        <v>54209</v>
      </c>
      <c r="B417" s="44">
        <v>31</v>
      </c>
      <c r="C417" s="35">
        <v>194.20500000000001</v>
      </c>
      <c r="D417" s="35">
        <v>267.46600000000001</v>
      </c>
      <c r="E417" s="41">
        <v>812.32899999999995</v>
      </c>
      <c r="F417" s="35">
        <v>1274</v>
      </c>
      <c r="G417" s="35">
        <v>75</v>
      </c>
      <c r="H417" s="43">
        <v>600</v>
      </c>
      <c r="I417" s="35">
        <v>695</v>
      </c>
      <c r="J417" s="35">
        <v>50</v>
      </c>
      <c r="K417" s="36"/>
      <c r="L417" s="36"/>
      <c r="M417" s="36"/>
      <c r="N417" s="36"/>
      <c r="O417" s="36"/>
      <c r="P417" s="36"/>
      <c r="Q417" s="36"/>
      <c r="R417" s="36"/>
      <c r="S417" s="36"/>
      <c r="T417" s="36"/>
    </row>
    <row r="418" spans="1:20" ht="15.75">
      <c r="A418" s="13">
        <v>54239</v>
      </c>
      <c r="B418" s="44">
        <v>30</v>
      </c>
      <c r="C418" s="35">
        <v>194.20500000000001</v>
      </c>
      <c r="D418" s="35">
        <v>267.46600000000001</v>
      </c>
      <c r="E418" s="41">
        <v>812.32899999999995</v>
      </c>
      <c r="F418" s="35">
        <v>1274</v>
      </c>
      <c r="G418" s="35">
        <v>50</v>
      </c>
      <c r="H418" s="43">
        <v>600</v>
      </c>
      <c r="I418" s="35">
        <v>695</v>
      </c>
      <c r="J418" s="35">
        <v>50</v>
      </c>
      <c r="K418" s="36"/>
      <c r="L418" s="36"/>
      <c r="M418" s="36"/>
      <c r="N418" s="36"/>
      <c r="O418" s="36"/>
      <c r="P418" s="36"/>
      <c r="Q418" s="36"/>
      <c r="R418" s="36"/>
      <c r="S418" s="36"/>
      <c r="T418" s="36"/>
    </row>
    <row r="419" spans="1:20" ht="15.75">
      <c r="A419" s="13">
        <v>54270</v>
      </c>
      <c r="B419" s="44">
        <v>31</v>
      </c>
      <c r="C419" s="35">
        <v>194.20500000000001</v>
      </c>
      <c r="D419" s="35">
        <v>267.46600000000001</v>
      </c>
      <c r="E419" s="41">
        <v>812.32899999999995</v>
      </c>
      <c r="F419" s="35">
        <v>1274</v>
      </c>
      <c r="G419" s="35">
        <v>50</v>
      </c>
      <c r="H419" s="43">
        <v>600</v>
      </c>
      <c r="I419" s="35">
        <v>695</v>
      </c>
      <c r="J419" s="35">
        <v>0</v>
      </c>
      <c r="K419" s="36"/>
      <c r="L419" s="36"/>
      <c r="M419" s="36"/>
      <c r="N419" s="36"/>
      <c r="O419" s="36"/>
      <c r="P419" s="36"/>
      <c r="Q419" s="36"/>
      <c r="R419" s="36"/>
      <c r="S419" s="36"/>
      <c r="T419" s="36"/>
    </row>
    <row r="420" spans="1:20" ht="15.75">
      <c r="A420" s="13">
        <v>54301</v>
      </c>
      <c r="B420" s="44">
        <v>31</v>
      </c>
      <c r="C420" s="35">
        <v>194.20500000000001</v>
      </c>
      <c r="D420" s="35">
        <v>267.46600000000001</v>
      </c>
      <c r="E420" s="41">
        <v>812.32899999999995</v>
      </c>
      <c r="F420" s="35">
        <v>1274</v>
      </c>
      <c r="G420" s="35">
        <v>50</v>
      </c>
      <c r="H420" s="43">
        <v>600</v>
      </c>
      <c r="I420" s="35">
        <v>695</v>
      </c>
      <c r="J420" s="35">
        <v>0</v>
      </c>
      <c r="K420" s="36"/>
      <c r="L420" s="36"/>
      <c r="M420" s="36"/>
      <c r="N420" s="36"/>
      <c r="O420" s="36"/>
      <c r="P420" s="36"/>
      <c r="Q420" s="36"/>
      <c r="R420" s="36"/>
      <c r="S420" s="36"/>
      <c r="T420" s="36"/>
    </row>
    <row r="421" spans="1:20" ht="15.75">
      <c r="A421" s="13">
        <v>54331</v>
      </c>
      <c r="B421" s="44">
        <v>30</v>
      </c>
      <c r="C421" s="35">
        <v>194.20500000000001</v>
      </c>
      <c r="D421" s="35">
        <v>267.46600000000001</v>
      </c>
      <c r="E421" s="41">
        <v>812.32899999999995</v>
      </c>
      <c r="F421" s="35">
        <v>1274</v>
      </c>
      <c r="G421" s="35">
        <v>50</v>
      </c>
      <c r="H421" s="43">
        <v>600</v>
      </c>
      <c r="I421" s="35">
        <v>695</v>
      </c>
      <c r="J421" s="35">
        <v>0</v>
      </c>
      <c r="K421" s="36"/>
      <c r="L421" s="36"/>
      <c r="M421" s="36"/>
      <c r="N421" s="36"/>
      <c r="O421" s="36"/>
      <c r="P421" s="36"/>
      <c r="Q421" s="36"/>
      <c r="R421" s="36"/>
      <c r="S421" s="36"/>
      <c r="T421" s="36"/>
    </row>
    <row r="422" spans="1:20" ht="15.75">
      <c r="A422" s="13">
        <v>54362</v>
      </c>
      <c r="B422" s="44">
        <v>31</v>
      </c>
      <c r="C422" s="35">
        <v>131.881</v>
      </c>
      <c r="D422" s="35">
        <v>277.16699999999997</v>
      </c>
      <c r="E422" s="41">
        <v>829.952</v>
      </c>
      <c r="F422" s="35">
        <v>1239</v>
      </c>
      <c r="G422" s="35">
        <v>75</v>
      </c>
      <c r="H422" s="43">
        <v>600</v>
      </c>
      <c r="I422" s="35">
        <v>695</v>
      </c>
      <c r="J422" s="35">
        <v>0</v>
      </c>
      <c r="K422" s="36"/>
      <c r="L422" s="36"/>
      <c r="M422" s="36"/>
      <c r="N422" s="36"/>
      <c r="O422" s="36"/>
      <c r="P422" s="36"/>
      <c r="Q422" s="36"/>
      <c r="R422" s="36"/>
      <c r="S422" s="36"/>
      <c r="T422" s="36"/>
    </row>
    <row r="423" spans="1:20" ht="15.75">
      <c r="A423" s="13">
        <v>54392</v>
      </c>
      <c r="B423" s="44">
        <v>30</v>
      </c>
      <c r="C423" s="35">
        <v>122.58</v>
      </c>
      <c r="D423" s="35">
        <v>297.94099999999997</v>
      </c>
      <c r="E423" s="41">
        <v>729.47900000000004</v>
      </c>
      <c r="F423" s="35">
        <v>1150</v>
      </c>
      <c r="G423" s="35">
        <v>100</v>
      </c>
      <c r="H423" s="43">
        <v>600</v>
      </c>
      <c r="I423" s="35">
        <v>695</v>
      </c>
      <c r="J423" s="35">
        <v>50</v>
      </c>
      <c r="K423" s="36"/>
      <c r="L423" s="36"/>
      <c r="M423" s="36"/>
      <c r="N423" s="36"/>
      <c r="O423" s="36"/>
      <c r="P423" s="36"/>
      <c r="Q423" s="36"/>
      <c r="R423" s="36"/>
      <c r="S423" s="36"/>
      <c r="T423" s="36"/>
    </row>
    <row r="424" spans="1:20" ht="15.75">
      <c r="A424" s="13">
        <v>54423</v>
      </c>
      <c r="B424" s="44">
        <v>31</v>
      </c>
      <c r="C424" s="35">
        <v>122.58</v>
      </c>
      <c r="D424" s="35">
        <v>297.94099999999997</v>
      </c>
      <c r="E424" s="41">
        <v>729.47900000000004</v>
      </c>
      <c r="F424" s="35">
        <v>1150</v>
      </c>
      <c r="G424" s="35">
        <v>100</v>
      </c>
      <c r="H424" s="43">
        <v>600</v>
      </c>
      <c r="I424" s="35">
        <v>695</v>
      </c>
      <c r="J424" s="35">
        <v>50</v>
      </c>
      <c r="K424" s="36"/>
      <c r="L424" s="36"/>
      <c r="M424" s="36"/>
      <c r="N424" s="36"/>
      <c r="O424" s="36"/>
      <c r="P424" s="36"/>
      <c r="Q424" s="36"/>
      <c r="R424" s="36"/>
      <c r="S424" s="36"/>
      <c r="T424" s="36"/>
    </row>
    <row r="425" spans="1:20" ht="15.75">
      <c r="A425" s="13">
        <v>54454</v>
      </c>
      <c r="B425" s="44">
        <v>31</v>
      </c>
      <c r="C425" s="35">
        <v>122.58</v>
      </c>
      <c r="D425" s="35">
        <v>297.94099999999997</v>
      </c>
      <c r="E425" s="41">
        <v>729.47900000000004</v>
      </c>
      <c r="F425" s="35">
        <v>1150</v>
      </c>
      <c r="G425" s="35">
        <v>100</v>
      </c>
      <c r="H425" s="43">
        <v>600</v>
      </c>
      <c r="I425" s="35">
        <v>695</v>
      </c>
      <c r="J425" s="35">
        <v>50</v>
      </c>
      <c r="K425" s="36"/>
      <c r="L425" s="36"/>
      <c r="M425" s="36"/>
      <c r="N425" s="36"/>
      <c r="O425" s="36"/>
      <c r="P425" s="36"/>
      <c r="Q425" s="36"/>
      <c r="R425" s="36"/>
      <c r="S425" s="36"/>
      <c r="T425" s="36"/>
    </row>
    <row r="426" spans="1:20" ht="15.75">
      <c r="A426" s="13">
        <v>54482</v>
      </c>
      <c r="B426" s="44">
        <v>28</v>
      </c>
      <c r="C426" s="35">
        <v>122.58</v>
      </c>
      <c r="D426" s="35">
        <v>297.94099999999997</v>
      </c>
      <c r="E426" s="41">
        <v>729.47900000000004</v>
      </c>
      <c r="F426" s="35">
        <v>1150</v>
      </c>
      <c r="G426" s="35">
        <v>100</v>
      </c>
      <c r="H426" s="43">
        <v>600</v>
      </c>
      <c r="I426" s="35">
        <v>695</v>
      </c>
      <c r="J426" s="35">
        <v>50</v>
      </c>
      <c r="K426" s="36"/>
      <c r="L426" s="36"/>
      <c r="M426" s="36"/>
      <c r="N426" s="36"/>
      <c r="O426" s="36"/>
      <c r="P426" s="36"/>
      <c r="Q426" s="36"/>
      <c r="R426" s="36"/>
      <c r="S426" s="36"/>
      <c r="T426" s="36"/>
    </row>
    <row r="427" spans="1:20" ht="15.75">
      <c r="A427" s="13">
        <v>54513</v>
      </c>
      <c r="B427" s="44">
        <v>31</v>
      </c>
      <c r="C427" s="35">
        <v>122.58</v>
      </c>
      <c r="D427" s="35">
        <v>297.94099999999997</v>
      </c>
      <c r="E427" s="41">
        <v>729.47900000000004</v>
      </c>
      <c r="F427" s="35">
        <v>1150</v>
      </c>
      <c r="G427" s="35">
        <v>100</v>
      </c>
      <c r="H427" s="43">
        <v>600</v>
      </c>
      <c r="I427" s="35">
        <v>695</v>
      </c>
      <c r="J427" s="35">
        <v>50</v>
      </c>
      <c r="K427" s="36"/>
      <c r="L427" s="36"/>
      <c r="M427" s="36"/>
      <c r="N427" s="36"/>
      <c r="O427" s="36"/>
      <c r="P427" s="36"/>
      <c r="Q427" s="36"/>
      <c r="R427" s="36"/>
      <c r="S427" s="36"/>
      <c r="T427" s="36"/>
    </row>
    <row r="428" spans="1:20" ht="15.75">
      <c r="A428" s="13">
        <v>54543</v>
      </c>
      <c r="B428" s="44">
        <v>30</v>
      </c>
      <c r="C428" s="35">
        <v>141.29300000000001</v>
      </c>
      <c r="D428" s="35">
        <v>267.99299999999999</v>
      </c>
      <c r="E428" s="41">
        <v>829.71400000000006</v>
      </c>
      <c r="F428" s="35">
        <v>1239</v>
      </c>
      <c r="G428" s="35">
        <v>100</v>
      </c>
      <c r="H428" s="43">
        <v>600</v>
      </c>
      <c r="I428" s="35">
        <v>695</v>
      </c>
      <c r="J428" s="35">
        <v>50</v>
      </c>
      <c r="K428" s="36"/>
      <c r="L428" s="36"/>
      <c r="M428" s="36"/>
      <c r="N428" s="36"/>
      <c r="O428" s="36"/>
      <c r="P428" s="36"/>
      <c r="Q428" s="36"/>
      <c r="R428" s="36"/>
      <c r="S428" s="36"/>
      <c r="T428" s="36"/>
    </row>
    <row r="429" spans="1:20" ht="15.75">
      <c r="A429" s="13">
        <v>54574</v>
      </c>
      <c r="B429" s="44">
        <v>31</v>
      </c>
      <c r="C429" s="35">
        <v>194.20500000000001</v>
      </c>
      <c r="D429" s="35">
        <v>267.46600000000001</v>
      </c>
      <c r="E429" s="41">
        <v>812.32899999999995</v>
      </c>
      <c r="F429" s="35">
        <v>1274</v>
      </c>
      <c r="G429" s="35">
        <v>75</v>
      </c>
      <c r="H429" s="43">
        <v>600</v>
      </c>
      <c r="I429" s="35">
        <v>695</v>
      </c>
      <c r="J429" s="35">
        <v>50</v>
      </c>
      <c r="K429" s="36"/>
      <c r="L429" s="36"/>
      <c r="M429" s="36"/>
      <c r="N429" s="36"/>
      <c r="O429" s="36"/>
      <c r="P429" s="36"/>
      <c r="Q429" s="36"/>
      <c r="R429" s="36"/>
      <c r="S429" s="36"/>
      <c r="T429" s="36"/>
    </row>
    <row r="430" spans="1:20" ht="15.75">
      <c r="A430" s="13">
        <v>54604</v>
      </c>
      <c r="B430" s="44">
        <v>30</v>
      </c>
      <c r="C430" s="35">
        <v>194.20500000000001</v>
      </c>
      <c r="D430" s="35">
        <v>267.46600000000001</v>
      </c>
      <c r="E430" s="41">
        <v>812.32899999999995</v>
      </c>
      <c r="F430" s="35">
        <v>1274</v>
      </c>
      <c r="G430" s="35">
        <v>50</v>
      </c>
      <c r="H430" s="43">
        <v>600</v>
      </c>
      <c r="I430" s="35">
        <v>695</v>
      </c>
      <c r="J430" s="35">
        <v>50</v>
      </c>
      <c r="K430" s="36"/>
      <c r="L430" s="36"/>
      <c r="M430" s="36"/>
      <c r="N430" s="36"/>
      <c r="O430" s="36"/>
      <c r="P430" s="36"/>
      <c r="Q430" s="36"/>
      <c r="R430" s="36"/>
      <c r="S430" s="36"/>
      <c r="T430" s="36"/>
    </row>
    <row r="431" spans="1:20" ht="15.75">
      <c r="A431" s="13">
        <v>54635</v>
      </c>
      <c r="B431" s="44">
        <v>31</v>
      </c>
      <c r="C431" s="35">
        <v>194.20500000000001</v>
      </c>
      <c r="D431" s="35">
        <v>267.46600000000001</v>
      </c>
      <c r="E431" s="41">
        <v>812.32899999999995</v>
      </c>
      <c r="F431" s="35">
        <v>1274</v>
      </c>
      <c r="G431" s="35">
        <v>50</v>
      </c>
      <c r="H431" s="43">
        <v>600</v>
      </c>
      <c r="I431" s="35">
        <v>695</v>
      </c>
      <c r="J431" s="35">
        <v>0</v>
      </c>
      <c r="K431" s="36"/>
      <c r="L431" s="36"/>
      <c r="M431" s="36"/>
      <c r="N431" s="36"/>
      <c r="O431" s="36"/>
      <c r="P431" s="36"/>
      <c r="Q431" s="36"/>
      <c r="R431" s="36"/>
      <c r="S431" s="36"/>
      <c r="T431" s="36"/>
    </row>
    <row r="432" spans="1:20" ht="15.75">
      <c r="A432" s="13">
        <v>54666</v>
      </c>
      <c r="B432" s="44">
        <v>31</v>
      </c>
      <c r="C432" s="35">
        <v>194.20500000000001</v>
      </c>
      <c r="D432" s="35">
        <v>267.46600000000001</v>
      </c>
      <c r="E432" s="41">
        <v>812.32899999999995</v>
      </c>
      <c r="F432" s="35">
        <v>1274</v>
      </c>
      <c r="G432" s="35">
        <v>50</v>
      </c>
      <c r="H432" s="43">
        <v>600</v>
      </c>
      <c r="I432" s="35">
        <v>695</v>
      </c>
      <c r="J432" s="35">
        <v>0</v>
      </c>
      <c r="K432" s="36"/>
      <c r="L432" s="36"/>
      <c r="M432" s="36"/>
      <c r="N432" s="36"/>
      <c r="O432" s="36"/>
      <c r="P432" s="36"/>
      <c r="Q432" s="36"/>
      <c r="R432" s="36"/>
      <c r="S432" s="36"/>
      <c r="T432" s="36"/>
    </row>
    <row r="433" spans="1:20" ht="15.75">
      <c r="A433" s="13">
        <v>54696</v>
      </c>
      <c r="B433" s="44">
        <v>30</v>
      </c>
      <c r="C433" s="35">
        <v>194.20500000000001</v>
      </c>
      <c r="D433" s="35">
        <v>267.46600000000001</v>
      </c>
      <c r="E433" s="41">
        <v>812.32899999999995</v>
      </c>
      <c r="F433" s="35">
        <v>1274</v>
      </c>
      <c r="G433" s="35">
        <v>50</v>
      </c>
      <c r="H433" s="43">
        <v>600</v>
      </c>
      <c r="I433" s="35">
        <v>695</v>
      </c>
      <c r="J433" s="35">
        <v>0</v>
      </c>
      <c r="K433" s="36"/>
      <c r="L433" s="36"/>
      <c r="M433" s="36"/>
      <c r="N433" s="36"/>
      <c r="O433" s="36"/>
      <c r="P433" s="36"/>
      <c r="Q433" s="36"/>
      <c r="R433" s="36"/>
      <c r="S433" s="36"/>
      <c r="T433" s="36"/>
    </row>
    <row r="434" spans="1:20" ht="15.75">
      <c r="A434" s="13">
        <v>54727</v>
      </c>
      <c r="B434" s="44">
        <v>31</v>
      </c>
      <c r="C434" s="35">
        <v>131.881</v>
      </c>
      <c r="D434" s="35">
        <v>277.16699999999997</v>
      </c>
      <c r="E434" s="41">
        <v>829.952</v>
      </c>
      <c r="F434" s="35">
        <v>1239</v>
      </c>
      <c r="G434" s="35">
        <v>75</v>
      </c>
      <c r="H434" s="43">
        <v>600</v>
      </c>
      <c r="I434" s="35">
        <v>695</v>
      </c>
      <c r="J434" s="35">
        <v>0</v>
      </c>
      <c r="K434" s="36"/>
      <c r="L434" s="36"/>
      <c r="M434" s="36"/>
      <c r="N434" s="36"/>
      <c r="O434" s="36"/>
      <c r="P434" s="36"/>
      <c r="Q434" s="36"/>
      <c r="R434" s="36"/>
      <c r="S434" s="36"/>
      <c r="T434" s="36"/>
    </row>
    <row r="435" spans="1:20" ht="15.75">
      <c r="A435" s="13">
        <v>54757</v>
      </c>
      <c r="B435" s="44">
        <v>30</v>
      </c>
      <c r="C435" s="35">
        <v>122.58</v>
      </c>
      <c r="D435" s="35">
        <v>297.94099999999997</v>
      </c>
      <c r="E435" s="41">
        <v>729.47900000000004</v>
      </c>
      <c r="F435" s="35">
        <v>1150</v>
      </c>
      <c r="G435" s="35">
        <v>100</v>
      </c>
      <c r="H435" s="43">
        <v>600</v>
      </c>
      <c r="I435" s="35">
        <v>695</v>
      </c>
      <c r="J435" s="35">
        <v>50</v>
      </c>
      <c r="K435" s="36"/>
      <c r="L435" s="36"/>
      <c r="M435" s="36"/>
      <c r="N435" s="36"/>
      <c r="O435" s="36"/>
      <c r="P435" s="36"/>
      <c r="Q435" s="36"/>
      <c r="R435" s="36"/>
      <c r="S435" s="36"/>
      <c r="T435" s="36"/>
    </row>
    <row r="436" spans="1:20" ht="15.75">
      <c r="A436" s="13">
        <v>54788</v>
      </c>
      <c r="B436" s="44">
        <v>31</v>
      </c>
      <c r="C436" s="35">
        <v>122.58</v>
      </c>
      <c r="D436" s="35">
        <v>297.94099999999997</v>
      </c>
      <c r="E436" s="41">
        <v>729.47900000000004</v>
      </c>
      <c r="F436" s="35">
        <v>1150</v>
      </c>
      <c r="G436" s="35">
        <v>100</v>
      </c>
      <c r="H436" s="43">
        <v>600</v>
      </c>
      <c r="I436" s="35">
        <v>695</v>
      </c>
      <c r="J436" s="35">
        <v>50</v>
      </c>
      <c r="K436" s="36"/>
      <c r="L436" s="36"/>
      <c r="M436" s="36"/>
      <c r="N436" s="36"/>
      <c r="O436" s="36"/>
      <c r="P436" s="36"/>
      <c r="Q436" s="36"/>
      <c r="R436" s="36"/>
      <c r="S436" s="36"/>
      <c r="T436" s="36"/>
    </row>
    <row r="437" spans="1:20" ht="15.75">
      <c r="A437" s="13">
        <v>54819</v>
      </c>
      <c r="B437" s="44">
        <v>31</v>
      </c>
      <c r="C437" s="35">
        <v>122.58</v>
      </c>
      <c r="D437" s="35">
        <v>297.94099999999997</v>
      </c>
      <c r="E437" s="41">
        <v>729.47900000000004</v>
      </c>
      <c r="F437" s="35">
        <v>1150</v>
      </c>
      <c r="G437" s="35">
        <v>100</v>
      </c>
      <c r="H437" s="43">
        <v>600</v>
      </c>
      <c r="I437" s="35">
        <v>695</v>
      </c>
      <c r="J437" s="35">
        <v>50</v>
      </c>
      <c r="K437" s="36"/>
      <c r="L437" s="36"/>
      <c r="M437" s="36"/>
      <c r="N437" s="36"/>
      <c r="O437" s="36"/>
      <c r="P437" s="36"/>
      <c r="Q437" s="36"/>
      <c r="R437" s="36"/>
      <c r="S437" s="36"/>
      <c r="T437" s="36"/>
    </row>
    <row r="438" spans="1:20" ht="15.75">
      <c r="A438" s="13">
        <v>54847</v>
      </c>
      <c r="B438" s="44">
        <v>28</v>
      </c>
      <c r="C438" s="35">
        <v>122.58</v>
      </c>
      <c r="D438" s="35">
        <v>297.94099999999997</v>
      </c>
      <c r="E438" s="41">
        <v>729.47900000000004</v>
      </c>
      <c r="F438" s="35">
        <v>1150</v>
      </c>
      <c r="G438" s="35">
        <v>100</v>
      </c>
      <c r="H438" s="43">
        <v>600</v>
      </c>
      <c r="I438" s="35">
        <v>695</v>
      </c>
      <c r="J438" s="35">
        <v>50</v>
      </c>
      <c r="K438" s="36"/>
      <c r="L438" s="36"/>
      <c r="M438" s="36"/>
      <c r="N438" s="36"/>
      <c r="O438" s="36"/>
      <c r="P438" s="36"/>
      <c r="Q438" s="36"/>
      <c r="R438" s="36"/>
      <c r="S438" s="36"/>
      <c r="T438" s="36"/>
    </row>
    <row r="439" spans="1:20" ht="15.75">
      <c r="A439" s="13">
        <v>54878</v>
      </c>
      <c r="B439" s="44">
        <v>31</v>
      </c>
      <c r="C439" s="35">
        <v>122.58</v>
      </c>
      <c r="D439" s="35">
        <v>297.94099999999997</v>
      </c>
      <c r="E439" s="41">
        <v>729.47900000000004</v>
      </c>
      <c r="F439" s="35">
        <v>1150</v>
      </c>
      <c r="G439" s="35">
        <v>100</v>
      </c>
      <c r="H439" s="43">
        <v>600</v>
      </c>
      <c r="I439" s="35">
        <v>695</v>
      </c>
      <c r="J439" s="35">
        <v>50</v>
      </c>
      <c r="K439" s="36"/>
      <c r="L439" s="36"/>
      <c r="M439" s="36"/>
      <c r="N439" s="36"/>
      <c r="O439" s="36"/>
      <c r="P439" s="36"/>
      <c r="Q439" s="36"/>
      <c r="R439" s="36"/>
      <c r="S439" s="36"/>
      <c r="T439" s="36"/>
    </row>
    <row r="440" spans="1:20" ht="15.75">
      <c r="A440" s="13">
        <v>54908</v>
      </c>
      <c r="B440" s="44">
        <v>30</v>
      </c>
      <c r="C440" s="35">
        <v>141.29300000000001</v>
      </c>
      <c r="D440" s="35">
        <v>267.99299999999999</v>
      </c>
      <c r="E440" s="41">
        <v>829.71400000000006</v>
      </c>
      <c r="F440" s="35">
        <v>1239</v>
      </c>
      <c r="G440" s="35">
        <v>100</v>
      </c>
      <c r="H440" s="43">
        <v>600</v>
      </c>
      <c r="I440" s="35">
        <v>695</v>
      </c>
      <c r="J440" s="35">
        <v>50</v>
      </c>
      <c r="K440" s="36"/>
      <c r="L440" s="36"/>
      <c r="M440" s="36"/>
      <c r="N440" s="36"/>
      <c r="O440" s="36"/>
      <c r="P440" s="36"/>
      <c r="Q440" s="36"/>
      <c r="R440" s="36"/>
      <c r="S440" s="36"/>
      <c r="T440" s="36"/>
    </row>
    <row r="441" spans="1:20" ht="15.75">
      <c r="A441" s="13">
        <v>54939</v>
      </c>
      <c r="B441" s="44">
        <v>31</v>
      </c>
      <c r="C441" s="35">
        <v>194.20500000000001</v>
      </c>
      <c r="D441" s="35">
        <v>267.46600000000001</v>
      </c>
      <c r="E441" s="41">
        <v>812.32899999999995</v>
      </c>
      <c r="F441" s="35">
        <v>1274</v>
      </c>
      <c r="G441" s="35">
        <v>75</v>
      </c>
      <c r="H441" s="43">
        <v>600</v>
      </c>
      <c r="I441" s="35">
        <v>695</v>
      </c>
      <c r="J441" s="35">
        <v>50</v>
      </c>
      <c r="K441" s="36"/>
      <c r="L441" s="36"/>
      <c r="M441" s="36"/>
      <c r="N441" s="36"/>
      <c r="O441" s="36"/>
      <c r="P441" s="36"/>
      <c r="Q441" s="36"/>
      <c r="R441" s="36"/>
      <c r="S441" s="36"/>
      <c r="T441" s="36"/>
    </row>
    <row r="442" spans="1:20" ht="15.75">
      <c r="A442" s="13">
        <v>54969</v>
      </c>
      <c r="B442" s="44">
        <v>30</v>
      </c>
      <c r="C442" s="35">
        <v>194.20500000000001</v>
      </c>
      <c r="D442" s="35">
        <v>267.46600000000001</v>
      </c>
      <c r="E442" s="41">
        <v>812.32899999999995</v>
      </c>
      <c r="F442" s="35">
        <v>1274</v>
      </c>
      <c r="G442" s="35">
        <v>50</v>
      </c>
      <c r="H442" s="43">
        <v>600</v>
      </c>
      <c r="I442" s="35">
        <v>695</v>
      </c>
      <c r="J442" s="35">
        <v>50</v>
      </c>
      <c r="K442" s="36"/>
      <c r="L442" s="36"/>
      <c r="M442" s="36"/>
      <c r="N442" s="36"/>
      <c r="O442" s="36"/>
      <c r="P442" s="36"/>
      <c r="Q442" s="36"/>
      <c r="R442" s="36"/>
      <c r="S442" s="36"/>
      <c r="T442" s="36"/>
    </row>
    <row r="443" spans="1:20" ht="15.75">
      <c r="A443" s="13">
        <v>55000</v>
      </c>
      <c r="B443" s="44">
        <v>31</v>
      </c>
      <c r="C443" s="35">
        <v>194.20500000000001</v>
      </c>
      <c r="D443" s="35">
        <v>267.46600000000001</v>
      </c>
      <c r="E443" s="41">
        <v>812.32899999999995</v>
      </c>
      <c r="F443" s="35">
        <v>1274</v>
      </c>
      <c r="G443" s="35">
        <v>50</v>
      </c>
      <c r="H443" s="43">
        <v>600</v>
      </c>
      <c r="I443" s="35">
        <v>695</v>
      </c>
      <c r="J443" s="35">
        <v>0</v>
      </c>
      <c r="K443" s="36"/>
      <c r="L443" s="36"/>
      <c r="M443" s="36"/>
      <c r="N443" s="36"/>
      <c r="O443" s="36"/>
      <c r="P443" s="36"/>
      <c r="Q443" s="36"/>
      <c r="R443" s="36"/>
      <c r="S443" s="36"/>
      <c r="T443" s="36"/>
    </row>
    <row r="444" spans="1:20" ht="15.75">
      <c r="A444" s="13">
        <v>55031</v>
      </c>
      <c r="B444" s="44">
        <v>31</v>
      </c>
      <c r="C444" s="35">
        <v>194.20500000000001</v>
      </c>
      <c r="D444" s="35">
        <v>267.46600000000001</v>
      </c>
      <c r="E444" s="41">
        <v>812.32899999999995</v>
      </c>
      <c r="F444" s="35">
        <v>1274</v>
      </c>
      <c r="G444" s="35">
        <v>50</v>
      </c>
      <c r="H444" s="43">
        <v>600</v>
      </c>
      <c r="I444" s="35">
        <v>695</v>
      </c>
      <c r="J444" s="35">
        <v>0</v>
      </c>
      <c r="K444" s="36"/>
      <c r="L444" s="36"/>
      <c r="M444" s="36"/>
      <c r="N444" s="36"/>
      <c r="O444" s="36"/>
      <c r="P444" s="36"/>
      <c r="Q444" s="36"/>
      <c r="R444" s="36"/>
      <c r="S444" s="36"/>
      <c r="T444" s="36"/>
    </row>
    <row r="445" spans="1:20" ht="15.75">
      <c r="A445" s="13">
        <v>55061</v>
      </c>
      <c r="B445" s="44">
        <v>30</v>
      </c>
      <c r="C445" s="35">
        <v>194.20500000000001</v>
      </c>
      <c r="D445" s="35">
        <v>267.46600000000001</v>
      </c>
      <c r="E445" s="41">
        <v>812.32899999999995</v>
      </c>
      <c r="F445" s="35">
        <v>1274</v>
      </c>
      <c r="G445" s="35">
        <v>50</v>
      </c>
      <c r="H445" s="43">
        <v>600</v>
      </c>
      <c r="I445" s="35">
        <v>695</v>
      </c>
      <c r="J445" s="35">
        <v>0</v>
      </c>
      <c r="K445" s="36"/>
      <c r="L445" s="36"/>
      <c r="M445" s="36"/>
      <c r="N445" s="36"/>
      <c r="O445" s="36"/>
      <c r="P445" s="36"/>
      <c r="Q445" s="36"/>
      <c r="R445" s="36"/>
      <c r="S445" s="36"/>
      <c r="T445" s="36"/>
    </row>
    <row r="446" spans="1:20" ht="15.75">
      <c r="A446" s="13">
        <v>55092</v>
      </c>
      <c r="B446" s="44">
        <v>31</v>
      </c>
      <c r="C446" s="35">
        <v>131.881</v>
      </c>
      <c r="D446" s="35">
        <v>277.16699999999997</v>
      </c>
      <c r="E446" s="41">
        <v>829.952</v>
      </c>
      <c r="F446" s="35">
        <v>1239</v>
      </c>
      <c r="G446" s="35">
        <v>75</v>
      </c>
      <c r="H446" s="43">
        <v>600</v>
      </c>
      <c r="I446" s="35">
        <v>695</v>
      </c>
      <c r="J446" s="35">
        <v>0</v>
      </c>
      <c r="K446" s="36"/>
      <c r="L446" s="36"/>
      <c r="M446" s="36"/>
      <c r="N446" s="36"/>
      <c r="O446" s="36"/>
      <c r="P446" s="36"/>
      <c r="Q446" s="36"/>
      <c r="R446" s="36"/>
      <c r="S446" s="36"/>
      <c r="T446" s="36"/>
    </row>
    <row r="447" spans="1:20" ht="15.75">
      <c r="A447" s="13">
        <v>55122</v>
      </c>
      <c r="B447" s="44">
        <v>30</v>
      </c>
      <c r="C447" s="35">
        <v>122.58</v>
      </c>
      <c r="D447" s="35">
        <v>297.94099999999997</v>
      </c>
      <c r="E447" s="41">
        <v>729.47900000000004</v>
      </c>
      <c r="F447" s="35">
        <v>1150</v>
      </c>
      <c r="G447" s="35">
        <v>100</v>
      </c>
      <c r="H447" s="43">
        <v>600</v>
      </c>
      <c r="I447" s="35">
        <v>695</v>
      </c>
      <c r="J447" s="35">
        <v>50</v>
      </c>
      <c r="K447" s="36"/>
      <c r="L447" s="36"/>
      <c r="M447" s="36"/>
      <c r="N447" s="36"/>
      <c r="O447" s="36"/>
      <c r="P447" s="36"/>
      <c r="Q447" s="36"/>
      <c r="R447" s="36"/>
      <c r="S447" s="36"/>
      <c r="T447" s="36"/>
    </row>
    <row r="448" spans="1:20" ht="15.75">
      <c r="A448" s="13">
        <v>55153</v>
      </c>
      <c r="B448" s="44">
        <v>31</v>
      </c>
      <c r="C448" s="35">
        <v>122.58</v>
      </c>
      <c r="D448" s="35">
        <v>297.94099999999997</v>
      </c>
      <c r="E448" s="41">
        <v>729.47900000000004</v>
      </c>
      <c r="F448" s="35">
        <v>1150</v>
      </c>
      <c r="G448" s="35">
        <v>100</v>
      </c>
      <c r="H448" s="43">
        <v>600</v>
      </c>
      <c r="I448" s="35">
        <v>695</v>
      </c>
      <c r="J448" s="35">
        <v>50</v>
      </c>
      <c r="K448" s="36"/>
      <c r="L448" s="36"/>
      <c r="M448" s="36"/>
      <c r="N448" s="36"/>
      <c r="O448" s="36"/>
      <c r="P448" s="36"/>
      <c r="Q448" s="36"/>
      <c r="R448" s="36"/>
      <c r="S448" s="36"/>
      <c r="T448" s="36"/>
    </row>
    <row r="449" spans="1:20" ht="15.75">
      <c r="A449" s="13">
        <v>55184</v>
      </c>
      <c r="B449" s="44">
        <v>31</v>
      </c>
      <c r="C449" s="35">
        <v>122.58</v>
      </c>
      <c r="D449" s="35">
        <v>297.94099999999997</v>
      </c>
      <c r="E449" s="41">
        <v>729.47900000000004</v>
      </c>
      <c r="F449" s="35">
        <v>1150</v>
      </c>
      <c r="G449" s="35">
        <v>100</v>
      </c>
      <c r="H449" s="43">
        <v>600</v>
      </c>
      <c r="I449" s="35">
        <v>695</v>
      </c>
      <c r="J449" s="35">
        <v>50</v>
      </c>
      <c r="K449" s="36"/>
      <c r="L449" s="36"/>
      <c r="M449" s="36"/>
      <c r="N449" s="36"/>
      <c r="O449" s="36"/>
      <c r="P449" s="36"/>
      <c r="Q449" s="36"/>
      <c r="R449" s="36"/>
      <c r="S449" s="36"/>
      <c r="T449" s="36"/>
    </row>
    <row r="450" spans="1:20" ht="15.75">
      <c r="A450" s="13">
        <v>55212</v>
      </c>
      <c r="B450" s="44">
        <v>28</v>
      </c>
      <c r="C450" s="35">
        <v>122.58</v>
      </c>
      <c r="D450" s="35">
        <v>297.94099999999997</v>
      </c>
      <c r="E450" s="41">
        <v>729.47900000000004</v>
      </c>
      <c r="F450" s="35">
        <v>1150</v>
      </c>
      <c r="G450" s="35">
        <v>100</v>
      </c>
      <c r="H450" s="43">
        <v>600</v>
      </c>
      <c r="I450" s="35">
        <v>695</v>
      </c>
      <c r="J450" s="35">
        <v>50</v>
      </c>
      <c r="K450" s="36"/>
      <c r="L450" s="36"/>
      <c r="M450" s="36"/>
      <c r="N450" s="36"/>
      <c r="O450" s="36"/>
      <c r="P450" s="36"/>
      <c r="Q450" s="36"/>
      <c r="R450" s="36"/>
      <c r="S450" s="36"/>
      <c r="T450" s="36"/>
    </row>
    <row r="451" spans="1:20" ht="15.75">
      <c r="A451" s="13">
        <v>55243</v>
      </c>
      <c r="B451" s="44">
        <v>31</v>
      </c>
      <c r="C451" s="35">
        <v>122.58</v>
      </c>
      <c r="D451" s="35">
        <v>297.94099999999997</v>
      </c>
      <c r="E451" s="41">
        <v>729.47900000000004</v>
      </c>
      <c r="F451" s="35">
        <v>1150</v>
      </c>
      <c r="G451" s="35">
        <v>100</v>
      </c>
      <c r="H451" s="43">
        <v>600</v>
      </c>
      <c r="I451" s="35">
        <v>695</v>
      </c>
      <c r="J451" s="35">
        <v>50</v>
      </c>
      <c r="K451" s="36"/>
      <c r="L451" s="36"/>
      <c r="M451" s="36"/>
      <c r="N451" s="36"/>
      <c r="O451" s="36"/>
      <c r="P451" s="36"/>
      <c r="Q451" s="36"/>
      <c r="R451" s="36"/>
      <c r="S451" s="36"/>
      <c r="T451" s="36"/>
    </row>
    <row r="452" spans="1:20" ht="15.75">
      <c r="A452" s="13">
        <v>55273</v>
      </c>
      <c r="B452" s="44">
        <v>30</v>
      </c>
      <c r="C452" s="35">
        <v>141.29300000000001</v>
      </c>
      <c r="D452" s="35">
        <v>267.99299999999999</v>
      </c>
      <c r="E452" s="41">
        <v>829.71400000000006</v>
      </c>
      <c r="F452" s="35">
        <v>1239</v>
      </c>
      <c r="G452" s="35">
        <v>100</v>
      </c>
      <c r="H452" s="43">
        <v>600</v>
      </c>
      <c r="I452" s="35">
        <v>695</v>
      </c>
      <c r="J452" s="35">
        <v>50</v>
      </c>
      <c r="K452" s="36"/>
      <c r="L452" s="36"/>
      <c r="M452" s="36"/>
      <c r="N452" s="36"/>
      <c r="O452" s="36"/>
      <c r="P452" s="36"/>
      <c r="Q452" s="36"/>
      <c r="R452" s="36"/>
      <c r="S452" s="36"/>
      <c r="T452" s="36"/>
    </row>
    <row r="453" spans="1:20" ht="15.75">
      <c r="A453" s="13">
        <v>55304</v>
      </c>
      <c r="B453" s="44">
        <v>31</v>
      </c>
      <c r="C453" s="35">
        <v>194.20500000000001</v>
      </c>
      <c r="D453" s="35">
        <v>267.46600000000001</v>
      </c>
      <c r="E453" s="41">
        <v>812.32899999999995</v>
      </c>
      <c r="F453" s="35">
        <v>1274</v>
      </c>
      <c r="G453" s="35">
        <v>75</v>
      </c>
      <c r="H453" s="43">
        <v>600</v>
      </c>
      <c r="I453" s="35">
        <v>695</v>
      </c>
      <c r="J453" s="35">
        <v>50</v>
      </c>
      <c r="K453" s="36"/>
      <c r="L453" s="36"/>
      <c r="M453" s="36"/>
      <c r="N453" s="36"/>
      <c r="O453" s="36"/>
      <c r="P453" s="36"/>
      <c r="Q453" s="36"/>
      <c r="R453" s="36"/>
      <c r="S453" s="36"/>
      <c r="T453" s="36"/>
    </row>
    <row r="454" spans="1:20" ht="15.75">
      <c r="A454" s="13">
        <v>55334</v>
      </c>
      <c r="B454" s="44">
        <v>30</v>
      </c>
      <c r="C454" s="35">
        <v>194.20500000000001</v>
      </c>
      <c r="D454" s="35">
        <v>267.46600000000001</v>
      </c>
      <c r="E454" s="41">
        <v>812.32899999999995</v>
      </c>
      <c r="F454" s="35">
        <v>1274</v>
      </c>
      <c r="G454" s="35">
        <v>50</v>
      </c>
      <c r="H454" s="43">
        <v>600</v>
      </c>
      <c r="I454" s="35">
        <v>695</v>
      </c>
      <c r="J454" s="35">
        <v>50</v>
      </c>
      <c r="K454" s="36"/>
      <c r="L454" s="36"/>
      <c r="M454" s="36"/>
      <c r="N454" s="36"/>
      <c r="O454" s="36"/>
      <c r="P454" s="36"/>
      <c r="Q454" s="36"/>
      <c r="R454" s="36"/>
      <c r="S454" s="36"/>
      <c r="T454" s="36"/>
    </row>
    <row r="455" spans="1:20" ht="15.75">
      <c r="A455" s="13">
        <v>55365</v>
      </c>
      <c r="B455" s="44">
        <v>31</v>
      </c>
      <c r="C455" s="35">
        <v>194.20500000000001</v>
      </c>
      <c r="D455" s="35">
        <v>267.46600000000001</v>
      </c>
      <c r="E455" s="41">
        <v>812.32899999999995</v>
      </c>
      <c r="F455" s="35">
        <v>1274</v>
      </c>
      <c r="G455" s="35">
        <v>50</v>
      </c>
      <c r="H455" s="43">
        <v>600</v>
      </c>
      <c r="I455" s="35">
        <v>695</v>
      </c>
      <c r="J455" s="35">
        <v>0</v>
      </c>
      <c r="K455" s="36"/>
      <c r="L455" s="36"/>
      <c r="M455" s="36"/>
      <c r="N455" s="36"/>
      <c r="O455" s="36"/>
      <c r="P455" s="36"/>
      <c r="Q455" s="36"/>
      <c r="R455" s="36"/>
      <c r="S455" s="36"/>
      <c r="T455" s="36"/>
    </row>
    <row r="456" spans="1:20" ht="15.75">
      <c r="A456" s="13">
        <v>55396</v>
      </c>
      <c r="B456" s="44">
        <v>31</v>
      </c>
      <c r="C456" s="35">
        <v>194.20500000000001</v>
      </c>
      <c r="D456" s="35">
        <v>267.46600000000001</v>
      </c>
      <c r="E456" s="41">
        <v>812.32899999999995</v>
      </c>
      <c r="F456" s="35">
        <v>1274</v>
      </c>
      <c r="G456" s="35">
        <v>50</v>
      </c>
      <c r="H456" s="43">
        <v>600</v>
      </c>
      <c r="I456" s="35">
        <v>695</v>
      </c>
      <c r="J456" s="35">
        <v>0</v>
      </c>
      <c r="K456" s="36"/>
      <c r="L456" s="36"/>
      <c r="M456" s="36"/>
      <c r="N456" s="36"/>
      <c r="O456" s="36"/>
      <c r="P456" s="36"/>
      <c r="Q456" s="36"/>
      <c r="R456" s="36"/>
      <c r="S456" s="36"/>
      <c r="T456" s="36"/>
    </row>
    <row r="457" spans="1:20" ht="15.75">
      <c r="A457" s="13">
        <v>55426</v>
      </c>
      <c r="B457" s="44">
        <v>30</v>
      </c>
      <c r="C457" s="35">
        <v>194.20500000000001</v>
      </c>
      <c r="D457" s="35">
        <v>267.46600000000001</v>
      </c>
      <c r="E457" s="41">
        <v>812.32899999999995</v>
      </c>
      <c r="F457" s="35">
        <v>1274</v>
      </c>
      <c r="G457" s="35">
        <v>50</v>
      </c>
      <c r="H457" s="43">
        <v>600</v>
      </c>
      <c r="I457" s="35">
        <v>695</v>
      </c>
      <c r="J457" s="35">
        <v>0</v>
      </c>
      <c r="K457" s="36"/>
      <c r="L457" s="36"/>
      <c r="M457" s="36"/>
      <c r="N457" s="36"/>
      <c r="O457" s="36"/>
      <c r="P457" s="36"/>
      <c r="Q457" s="36"/>
      <c r="R457" s="36"/>
      <c r="S457" s="36"/>
      <c r="T457" s="36"/>
    </row>
    <row r="458" spans="1:20" ht="15.75">
      <c r="A458" s="13">
        <v>55457</v>
      </c>
      <c r="B458" s="44">
        <v>31</v>
      </c>
      <c r="C458" s="35">
        <v>131.881</v>
      </c>
      <c r="D458" s="35">
        <v>277.16699999999997</v>
      </c>
      <c r="E458" s="41">
        <v>829.952</v>
      </c>
      <c r="F458" s="35">
        <v>1239</v>
      </c>
      <c r="G458" s="35">
        <v>75</v>
      </c>
      <c r="H458" s="43">
        <v>600</v>
      </c>
      <c r="I458" s="35">
        <v>695</v>
      </c>
      <c r="J458" s="35">
        <v>0</v>
      </c>
      <c r="K458" s="36"/>
      <c r="L458" s="36"/>
      <c r="M458" s="36"/>
      <c r="N458" s="36"/>
      <c r="O458" s="36"/>
      <c r="P458" s="36"/>
      <c r="Q458" s="36"/>
      <c r="R458" s="36"/>
      <c r="S458" s="36"/>
      <c r="T458" s="36"/>
    </row>
    <row r="459" spans="1:20" ht="15.75">
      <c r="A459" s="13">
        <v>55487</v>
      </c>
      <c r="B459" s="44">
        <v>30</v>
      </c>
      <c r="C459" s="35">
        <v>122.58</v>
      </c>
      <c r="D459" s="35">
        <v>297.94099999999997</v>
      </c>
      <c r="E459" s="41">
        <v>729.47900000000004</v>
      </c>
      <c r="F459" s="35">
        <v>1150</v>
      </c>
      <c r="G459" s="35">
        <v>100</v>
      </c>
      <c r="H459" s="43">
        <v>600</v>
      </c>
      <c r="I459" s="35">
        <v>695</v>
      </c>
      <c r="J459" s="35">
        <v>50</v>
      </c>
      <c r="K459" s="36"/>
      <c r="L459" s="36"/>
      <c r="M459" s="36"/>
      <c r="N459" s="36"/>
      <c r="O459" s="36"/>
      <c r="P459" s="36"/>
      <c r="Q459" s="36"/>
      <c r="R459" s="36"/>
      <c r="S459" s="36"/>
      <c r="T459" s="36"/>
    </row>
    <row r="460" spans="1:20" ht="15.75">
      <c r="A460" s="13">
        <v>55518</v>
      </c>
      <c r="B460" s="44">
        <v>31</v>
      </c>
      <c r="C460" s="35">
        <v>122.58</v>
      </c>
      <c r="D460" s="35">
        <v>297.94099999999997</v>
      </c>
      <c r="E460" s="41">
        <v>729.47900000000004</v>
      </c>
      <c r="F460" s="35">
        <v>1150</v>
      </c>
      <c r="G460" s="35">
        <v>100</v>
      </c>
      <c r="H460" s="43">
        <v>600</v>
      </c>
      <c r="I460" s="35">
        <v>695</v>
      </c>
      <c r="J460" s="35">
        <v>50</v>
      </c>
      <c r="K460" s="36"/>
      <c r="L460" s="36"/>
      <c r="M460" s="36"/>
      <c r="N460" s="36"/>
      <c r="O460" s="36"/>
      <c r="P460" s="36"/>
      <c r="Q460" s="36"/>
      <c r="R460" s="36"/>
      <c r="S460" s="36"/>
      <c r="T460" s="36"/>
    </row>
    <row r="461" spans="1:20" ht="15.75">
      <c r="A461" s="13">
        <v>55549</v>
      </c>
      <c r="B461" s="44">
        <v>31</v>
      </c>
      <c r="C461" s="35">
        <v>122.58</v>
      </c>
      <c r="D461" s="35">
        <v>297.94099999999997</v>
      </c>
      <c r="E461" s="41">
        <v>729.47900000000004</v>
      </c>
      <c r="F461" s="35">
        <v>1150</v>
      </c>
      <c r="G461" s="35">
        <v>100</v>
      </c>
      <c r="H461" s="43">
        <v>600</v>
      </c>
      <c r="I461" s="35">
        <v>695</v>
      </c>
      <c r="J461" s="35">
        <v>50</v>
      </c>
      <c r="K461" s="36"/>
      <c r="L461" s="36"/>
      <c r="M461" s="36"/>
      <c r="N461" s="36"/>
      <c r="O461" s="36"/>
      <c r="P461" s="36"/>
      <c r="Q461" s="36"/>
      <c r="R461" s="36"/>
      <c r="S461" s="36"/>
      <c r="T461" s="36"/>
    </row>
    <row r="462" spans="1:20" ht="15.75">
      <c r="A462" s="13">
        <v>55577</v>
      </c>
      <c r="B462" s="44">
        <v>29</v>
      </c>
      <c r="C462" s="35">
        <v>122.58</v>
      </c>
      <c r="D462" s="35">
        <v>297.94099999999997</v>
      </c>
      <c r="E462" s="41">
        <v>729.47900000000004</v>
      </c>
      <c r="F462" s="35">
        <v>1150</v>
      </c>
      <c r="G462" s="35">
        <v>100</v>
      </c>
      <c r="H462" s="43">
        <v>600</v>
      </c>
      <c r="I462" s="35">
        <v>695</v>
      </c>
      <c r="J462" s="35">
        <v>50</v>
      </c>
      <c r="K462" s="36"/>
      <c r="L462" s="36"/>
      <c r="M462" s="36"/>
      <c r="N462" s="36"/>
      <c r="O462" s="36"/>
      <c r="P462" s="36"/>
      <c r="Q462" s="36"/>
      <c r="R462" s="36"/>
      <c r="S462" s="36"/>
      <c r="T462" s="36"/>
    </row>
    <row r="463" spans="1:20" ht="15.75">
      <c r="A463" s="13">
        <v>55609</v>
      </c>
      <c r="B463" s="44">
        <v>31</v>
      </c>
      <c r="C463" s="35">
        <v>122.58</v>
      </c>
      <c r="D463" s="35">
        <v>297.94099999999997</v>
      </c>
      <c r="E463" s="41">
        <v>729.47900000000004</v>
      </c>
      <c r="F463" s="35">
        <v>1150</v>
      </c>
      <c r="G463" s="35">
        <v>100</v>
      </c>
      <c r="H463" s="43">
        <v>600</v>
      </c>
      <c r="I463" s="35">
        <v>695</v>
      </c>
      <c r="J463" s="35">
        <v>50</v>
      </c>
      <c r="K463" s="36"/>
      <c r="L463" s="36"/>
      <c r="M463" s="36"/>
      <c r="N463" s="36"/>
      <c r="O463" s="36"/>
      <c r="P463" s="36"/>
      <c r="Q463" s="36"/>
      <c r="R463" s="36"/>
      <c r="S463" s="36"/>
      <c r="T463" s="36"/>
    </row>
    <row r="464" spans="1:20" ht="15.75">
      <c r="A464" s="13">
        <v>55639</v>
      </c>
      <c r="B464" s="44">
        <v>30</v>
      </c>
      <c r="C464" s="35">
        <v>141.29300000000001</v>
      </c>
      <c r="D464" s="35">
        <v>267.99299999999999</v>
      </c>
      <c r="E464" s="41">
        <v>829.71400000000006</v>
      </c>
      <c r="F464" s="35">
        <v>1239</v>
      </c>
      <c r="G464" s="35">
        <v>100</v>
      </c>
      <c r="H464" s="43">
        <v>600</v>
      </c>
      <c r="I464" s="35">
        <v>695</v>
      </c>
      <c r="J464" s="35">
        <v>50</v>
      </c>
      <c r="K464" s="36"/>
      <c r="L464" s="36"/>
      <c r="M464" s="36"/>
      <c r="N464" s="36"/>
      <c r="O464" s="36"/>
      <c r="P464" s="36"/>
      <c r="Q464" s="36"/>
      <c r="R464" s="36"/>
      <c r="S464" s="36"/>
      <c r="T464" s="36"/>
    </row>
    <row r="465" spans="1:20" ht="15.75">
      <c r="A465" s="13">
        <v>55670</v>
      </c>
      <c r="B465" s="44">
        <v>31</v>
      </c>
      <c r="C465" s="35">
        <v>194.20500000000001</v>
      </c>
      <c r="D465" s="35">
        <v>267.46600000000001</v>
      </c>
      <c r="E465" s="41">
        <v>812.32899999999995</v>
      </c>
      <c r="F465" s="35">
        <v>1274</v>
      </c>
      <c r="G465" s="35">
        <v>75</v>
      </c>
      <c r="H465" s="43">
        <v>600</v>
      </c>
      <c r="I465" s="35">
        <v>695</v>
      </c>
      <c r="J465" s="35">
        <v>50</v>
      </c>
      <c r="K465" s="36"/>
      <c r="L465" s="36"/>
      <c r="M465" s="36"/>
      <c r="N465" s="36"/>
      <c r="O465" s="36"/>
      <c r="P465" s="36"/>
      <c r="Q465" s="36"/>
      <c r="R465" s="36"/>
      <c r="S465" s="36"/>
      <c r="T465" s="36"/>
    </row>
    <row r="466" spans="1:20" ht="15.75">
      <c r="A466" s="13">
        <v>55700</v>
      </c>
      <c r="B466" s="44">
        <v>30</v>
      </c>
      <c r="C466" s="35">
        <v>194.20500000000001</v>
      </c>
      <c r="D466" s="35">
        <v>267.46600000000001</v>
      </c>
      <c r="E466" s="41">
        <v>812.32899999999995</v>
      </c>
      <c r="F466" s="35">
        <v>1274</v>
      </c>
      <c r="G466" s="35">
        <v>50</v>
      </c>
      <c r="H466" s="43">
        <v>600</v>
      </c>
      <c r="I466" s="35">
        <v>695</v>
      </c>
      <c r="J466" s="35">
        <v>50</v>
      </c>
      <c r="K466" s="36"/>
      <c r="L466" s="36"/>
      <c r="M466" s="36"/>
      <c r="N466" s="36"/>
      <c r="O466" s="36"/>
      <c r="P466" s="36"/>
      <c r="Q466" s="36"/>
      <c r="R466" s="36"/>
      <c r="S466" s="36"/>
      <c r="T466" s="36"/>
    </row>
    <row r="467" spans="1:20" ht="15.75">
      <c r="A467" s="13">
        <v>55731</v>
      </c>
      <c r="B467" s="44">
        <v>31</v>
      </c>
      <c r="C467" s="35">
        <v>194.20500000000001</v>
      </c>
      <c r="D467" s="35">
        <v>267.46600000000001</v>
      </c>
      <c r="E467" s="41">
        <v>812.32899999999995</v>
      </c>
      <c r="F467" s="35">
        <v>1274</v>
      </c>
      <c r="G467" s="35">
        <v>50</v>
      </c>
      <c r="H467" s="43">
        <v>600</v>
      </c>
      <c r="I467" s="35">
        <v>695</v>
      </c>
      <c r="J467" s="35">
        <v>0</v>
      </c>
      <c r="K467" s="36"/>
      <c r="L467" s="36"/>
      <c r="M467" s="36"/>
      <c r="N467" s="36"/>
      <c r="O467" s="36"/>
      <c r="P467" s="36"/>
      <c r="Q467" s="36"/>
      <c r="R467" s="36"/>
      <c r="S467" s="36"/>
      <c r="T467" s="36"/>
    </row>
    <row r="468" spans="1:20" ht="15.75">
      <c r="A468" s="13">
        <v>55762</v>
      </c>
      <c r="B468" s="44">
        <v>31</v>
      </c>
      <c r="C468" s="35">
        <v>194.20500000000001</v>
      </c>
      <c r="D468" s="35">
        <v>267.46600000000001</v>
      </c>
      <c r="E468" s="41">
        <v>812.32899999999995</v>
      </c>
      <c r="F468" s="35">
        <v>1274</v>
      </c>
      <c r="G468" s="35">
        <v>50</v>
      </c>
      <c r="H468" s="43">
        <v>600</v>
      </c>
      <c r="I468" s="35">
        <v>695</v>
      </c>
      <c r="J468" s="35">
        <v>0</v>
      </c>
      <c r="K468" s="36"/>
      <c r="L468" s="36"/>
      <c r="M468" s="36"/>
      <c r="N468" s="36"/>
      <c r="O468" s="36"/>
      <c r="P468" s="36"/>
      <c r="Q468" s="36"/>
      <c r="R468" s="36"/>
      <c r="S468" s="36"/>
      <c r="T468" s="36"/>
    </row>
    <row r="469" spans="1:20" ht="15.75">
      <c r="A469" s="13">
        <v>55792</v>
      </c>
      <c r="B469" s="44">
        <v>30</v>
      </c>
      <c r="C469" s="35">
        <v>194.20500000000001</v>
      </c>
      <c r="D469" s="35">
        <v>267.46600000000001</v>
      </c>
      <c r="E469" s="41">
        <v>812.32899999999995</v>
      </c>
      <c r="F469" s="35">
        <v>1274</v>
      </c>
      <c r="G469" s="35">
        <v>50</v>
      </c>
      <c r="H469" s="43">
        <v>600</v>
      </c>
      <c r="I469" s="35">
        <v>695</v>
      </c>
      <c r="J469" s="35">
        <v>0</v>
      </c>
      <c r="K469" s="36"/>
      <c r="L469" s="36"/>
      <c r="M469" s="36"/>
      <c r="N469" s="36"/>
      <c r="O469" s="36"/>
      <c r="P469" s="36"/>
      <c r="Q469" s="36"/>
      <c r="R469" s="36"/>
      <c r="S469" s="36"/>
      <c r="T469" s="36"/>
    </row>
    <row r="470" spans="1:20" ht="15.75">
      <c r="A470" s="13">
        <v>55823</v>
      </c>
      <c r="B470" s="44">
        <v>31</v>
      </c>
      <c r="C470" s="35">
        <v>131.881</v>
      </c>
      <c r="D470" s="35">
        <v>277.16699999999997</v>
      </c>
      <c r="E470" s="41">
        <v>829.952</v>
      </c>
      <c r="F470" s="35">
        <v>1239</v>
      </c>
      <c r="G470" s="35">
        <v>75</v>
      </c>
      <c r="H470" s="43">
        <v>600</v>
      </c>
      <c r="I470" s="35">
        <v>695</v>
      </c>
      <c r="J470" s="35">
        <v>0</v>
      </c>
      <c r="K470" s="36"/>
      <c r="L470" s="36"/>
      <c r="M470" s="36"/>
      <c r="N470" s="36"/>
      <c r="O470" s="36"/>
      <c r="P470" s="36"/>
      <c r="Q470" s="36"/>
      <c r="R470" s="36"/>
      <c r="S470" s="36"/>
      <c r="T470" s="36"/>
    </row>
    <row r="471" spans="1:20" ht="15.75">
      <c r="A471" s="13">
        <v>55853</v>
      </c>
      <c r="B471" s="44">
        <v>30</v>
      </c>
      <c r="C471" s="35">
        <v>122.58</v>
      </c>
      <c r="D471" s="35">
        <v>297.94099999999997</v>
      </c>
      <c r="E471" s="41">
        <v>729.47900000000004</v>
      </c>
      <c r="F471" s="35">
        <v>1150</v>
      </c>
      <c r="G471" s="35">
        <v>100</v>
      </c>
      <c r="H471" s="43">
        <v>600</v>
      </c>
      <c r="I471" s="35">
        <v>695</v>
      </c>
      <c r="J471" s="35">
        <v>50</v>
      </c>
      <c r="K471" s="36"/>
      <c r="L471" s="36"/>
      <c r="M471" s="36"/>
      <c r="N471" s="36"/>
      <c r="O471" s="36"/>
      <c r="P471" s="36"/>
      <c r="Q471" s="36"/>
      <c r="R471" s="36"/>
      <c r="S471" s="36"/>
      <c r="T471" s="36"/>
    </row>
    <row r="472" spans="1:20" ht="15.75">
      <c r="A472" s="13">
        <v>55884</v>
      </c>
      <c r="B472" s="44">
        <v>31</v>
      </c>
      <c r="C472" s="35">
        <v>122.58</v>
      </c>
      <c r="D472" s="35">
        <v>297.94099999999997</v>
      </c>
      <c r="E472" s="41">
        <v>729.47900000000004</v>
      </c>
      <c r="F472" s="35">
        <v>1150</v>
      </c>
      <c r="G472" s="35">
        <v>100</v>
      </c>
      <c r="H472" s="43">
        <v>600</v>
      </c>
      <c r="I472" s="35">
        <v>695</v>
      </c>
      <c r="J472" s="35">
        <v>50</v>
      </c>
      <c r="K472" s="36"/>
      <c r="L472" s="36"/>
      <c r="M472" s="36"/>
      <c r="N472" s="36"/>
      <c r="O472" s="36"/>
      <c r="P472" s="36"/>
      <c r="Q472" s="36"/>
      <c r="R472" s="36"/>
      <c r="S472" s="36"/>
      <c r="T472" s="36"/>
    </row>
    <row r="473" spans="1:20" ht="15.75">
      <c r="A473" s="13">
        <v>55915</v>
      </c>
      <c r="B473" s="44">
        <v>31</v>
      </c>
      <c r="C473" s="35">
        <v>122.58</v>
      </c>
      <c r="D473" s="35">
        <v>297.94099999999997</v>
      </c>
      <c r="E473" s="41">
        <v>729.47900000000004</v>
      </c>
      <c r="F473" s="35">
        <v>1150</v>
      </c>
      <c r="G473" s="35">
        <v>100</v>
      </c>
      <c r="H473" s="43">
        <v>600</v>
      </c>
      <c r="I473" s="35">
        <v>695</v>
      </c>
      <c r="J473" s="35">
        <v>50</v>
      </c>
      <c r="K473" s="36"/>
      <c r="L473" s="36"/>
      <c r="M473" s="36"/>
      <c r="N473" s="36"/>
      <c r="O473" s="36"/>
      <c r="P473" s="36"/>
      <c r="Q473" s="36"/>
      <c r="R473" s="36"/>
      <c r="S473" s="36"/>
      <c r="T473" s="36"/>
    </row>
    <row r="474" spans="1:20" ht="15.75">
      <c r="A474" s="13">
        <v>55943</v>
      </c>
      <c r="B474" s="44">
        <v>28</v>
      </c>
      <c r="C474" s="35">
        <v>122.58</v>
      </c>
      <c r="D474" s="35">
        <v>297.94099999999997</v>
      </c>
      <c r="E474" s="41">
        <v>729.47900000000004</v>
      </c>
      <c r="F474" s="35">
        <v>1150</v>
      </c>
      <c r="G474" s="35">
        <v>100</v>
      </c>
      <c r="H474" s="43">
        <v>600</v>
      </c>
      <c r="I474" s="35">
        <v>695</v>
      </c>
      <c r="J474" s="35">
        <v>50</v>
      </c>
      <c r="K474" s="36"/>
      <c r="L474" s="36"/>
      <c r="M474" s="36"/>
      <c r="N474" s="36"/>
      <c r="O474" s="36"/>
      <c r="P474" s="36"/>
      <c r="Q474" s="36"/>
      <c r="R474" s="36"/>
      <c r="S474" s="36"/>
      <c r="T474" s="36"/>
    </row>
    <row r="475" spans="1:20" ht="15.75">
      <c r="A475" s="13">
        <v>55974</v>
      </c>
      <c r="B475" s="44">
        <v>31</v>
      </c>
      <c r="C475" s="35">
        <v>122.58</v>
      </c>
      <c r="D475" s="35">
        <v>297.94099999999997</v>
      </c>
      <c r="E475" s="41">
        <v>729.47900000000004</v>
      </c>
      <c r="F475" s="35">
        <v>1150</v>
      </c>
      <c r="G475" s="35">
        <v>100</v>
      </c>
      <c r="H475" s="43">
        <v>600</v>
      </c>
      <c r="I475" s="35">
        <v>695</v>
      </c>
      <c r="J475" s="35">
        <v>50</v>
      </c>
      <c r="K475" s="36"/>
      <c r="L475" s="36"/>
      <c r="M475" s="36"/>
      <c r="N475" s="36"/>
      <c r="O475" s="36"/>
      <c r="P475" s="36"/>
      <c r="Q475" s="36"/>
      <c r="R475" s="36"/>
      <c r="S475" s="36"/>
      <c r="T475" s="36"/>
    </row>
    <row r="476" spans="1:20" ht="15.75">
      <c r="A476" s="13">
        <v>56004</v>
      </c>
      <c r="B476" s="44">
        <v>30</v>
      </c>
      <c r="C476" s="35">
        <v>141.29300000000001</v>
      </c>
      <c r="D476" s="35">
        <v>267.99299999999999</v>
      </c>
      <c r="E476" s="41">
        <v>829.71400000000006</v>
      </c>
      <c r="F476" s="35">
        <v>1239</v>
      </c>
      <c r="G476" s="35">
        <v>100</v>
      </c>
      <c r="H476" s="43">
        <v>600</v>
      </c>
      <c r="I476" s="35">
        <v>695</v>
      </c>
      <c r="J476" s="35">
        <v>50</v>
      </c>
      <c r="K476" s="36"/>
      <c r="L476" s="36"/>
      <c r="M476" s="36"/>
      <c r="N476" s="36"/>
      <c r="O476" s="36"/>
      <c r="P476" s="36"/>
      <c r="Q476" s="36"/>
      <c r="R476" s="36"/>
      <c r="S476" s="36"/>
      <c r="T476" s="36"/>
    </row>
    <row r="477" spans="1:20" ht="15.75">
      <c r="A477" s="13">
        <v>56035</v>
      </c>
      <c r="B477" s="44">
        <v>31</v>
      </c>
      <c r="C477" s="35">
        <v>194.20500000000001</v>
      </c>
      <c r="D477" s="35">
        <v>267.46600000000001</v>
      </c>
      <c r="E477" s="41">
        <v>812.32899999999995</v>
      </c>
      <c r="F477" s="35">
        <v>1274</v>
      </c>
      <c r="G477" s="35">
        <v>75</v>
      </c>
      <c r="H477" s="43">
        <v>600</v>
      </c>
      <c r="I477" s="35">
        <v>695</v>
      </c>
      <c r="J477" s="35">
        <v>50</v>
      </c>
      <c r="K477" s="36"/>
      <c r="L477" s="36"/>
      <c r="M477" s="36"/>
      <c r="N477" s="36"/>
      <c r="O477" s="36"/>
      <c r="P477" s="36"/>
      <c r="Q477" s="36"/>
      <c r="R477" s="36"/>
      <c r="S477" s="36"/>
      <c r="T477" s="36"/>
    </row>
    <row r="478" spans="1:20" ht="15.75">
      <c r="A478" s="13">
        <v>56065</v>
      </c>
      <c r="B478" s="44">
        <v>30</v>
      </c>
      <c r="C478" s="35">
        <v>194.20500000000001</v>
      </c>
      <c r="D478" s="35">
        <v>267.46600000000001</v>
      </c>
      <c r="E478" s="41">
        <v>812.32899999999995</v>
      </c>
      <c r="F478" s="35">
        <v>1274</v>
      </c>
      <c r="G478" s="35">
        <v>50</v>
      </c>
      <c r="H478" s="43">
        <v>600</v>
      </c>
      <c r="I478" s="35">
        <v>695</v>
      </c>
      <c r="J478" s="35">
        <v>50</v>
      </c>
      <c r="K478" s="36"/>
      <c r="L478" s="36"/>
      <c r="M478" s="36"/>
      <c r="N478" s="36"/>
      <c r="O478" s="36"/>
      <c r="P478" s="36"/>
      <c r="Q478" s="36"/>
      <c r="R478" s="36"/>
      <c r="S478" s="36"/>
      <c r="T478" s="36"/>
    </row>
    <row r="479" spans="1:20" ht="15.75">
      <c r="A479" s="13">
        <v>56096</v>
      </c>
      <c r="B479" s="44">
        <v>31</v>
      </c>
      <c r="C479" s="35">
        <v>194.20500000000001</v>
      </c>
      <c r="D479" s="35">
        <v>267.46600000000001</v>
      </c>
      <c r="E479" s="41">
        <v>812.32899999999995</v>
      </c>
      <c r="F479" s="35">
        <v>1274</v>
      </c>
      <c r="G479" s="35">
        <v>50</v>
      </c>
      <c r="H479" s="43">
        <v>600</v>
      </c>
      <c r="I479" s="35">
        <v>695</v>
      </c>
      <c r="J479" s="35">
        <v>0</v>
      </c>
      <c r="K479" s="36"/>
      <c r="L479" s="36"/>
      <c r="M479" s="36"/>
      <c r="N479" s="36"/>
      <c r="O479" s="36"/>
      <c r="P479" s="36"/>
      <c r="Q479" s="36"/>
      <c r="R479" s="36"/>
      <c r="S479" s="36"/>
      <c r="T479" s="36"/>
    </row>
    <row r="480" spans="1:20" ht="15.75">
      <c r="A480" s="13">
        <v>56127</v>
      </c>
      <c r="B480" s="44">
        <v>31</v>
      </c>
      <c r="C480" s="35">
        <v>194.20500000000001</v>
      </c>
      <c r="D480" s="35">
        <v>267.46600000000001</v>
      </c>
      <c r="E480" s="41">
        <v>812.32899999999995</v>
      </c>
      <c r="F480" s="35">
        <v>1274</v>
      </c>
      <c r="G480" s="35">
        <v>50</v>
      </c>
      <c r="H480" s="43">
        <v>600</v>
      </c>
      <c r="I480" s="35">
        <v>695</v>
      </c>
      <c r="J480" s="35">
        <v>0</v>
      </c>
      <c r="K480" s="36"/>
      <c r="L480" s="36"/>
      <c r="M480" s="36"/>
      <c r="N480" s="36"/>
      <c r="O480" s="36"/>
      <c r="P480" s="36"/>
      <c r="Q480" s="36"/>
      <c r="R480" s="36"/>
      <c r="S480" s="36"/>
      <c r="T480" s="36"/>
    </row>
    <row r="481" spans="1:20" ht="15.75">
      <c r="A481" s="13">
        <v>56157</v>
      </c>
      <c r="B481" s="44">
        <v>30</v>
      </c>
      <c r="C481" s="35">
        <v>194.20500000000001</v>
      </c>
      <c r="D481" s="35">
        <v>267.46600000000001</v>
      </c>
      <c r="E481" s="41">
        <v>812.32899999999995</v>
      </c>
      <c r="F481" s="35">
        <v>1274</v>
      </c>
      <c r="G481" s="35">
        <v>50</v>
      </c>
      <c r="H481" s="43">
        <v>600</v>
      </c>
      <c r="I481" s="35">
        <v>695</v>
      </c>
      <c r="J481" s="35">
        <v>0</v>
      </c>
      <c r="K481" s="36"/>
      <c r="L481" s="36"/>
      <c r="M481" s="36"/>
      <c r="N481" s="36"/>
      <c r="O481" s="36"/>
      <c r="P481" s="36"/>
      <c r="Q481" s="36"/>
      <c r="R481" s="36"/>
      <c r="S481" s="36"/>
      <c r="T481" s="36"/>
    </row>
    <row r="482" spans="1:20" ht="15.75">
      <c r="A482" s="13">
        <v>56188</v>
      </c>
      <c r="B482" s="44">
        <v>31</v>
      </c>
      <c r="C482" s="35">
        <v>131.881</v>
      </c>
      <c r="D482" s="35">
        <v>277.16699999999997</v>
      </c>
      <c r="E482" s="41">
        <v>829.952</v>
      </c>
      <c r="F482" s="35">
        <v>1239</v>
      </c>
      <c r="G482" s="35">
        <v>75</v>
      </c>
      <c r="H482" s="43">
        <v>600</v>
      </c>
      <c r="I482" s="35">
        <v>695</v>
      </c>
      <c r="J482" s="35">
        <v>0</v>
      </c>
      <c r="K482" s="36"/>
      <c r="L482" s="36"/>
      <c r="M482" s="36"/>
      <c r="N482" s="36"/>
      <c r="O482" s="36"/>
      <c r="P482" s="36"/>
      <c r="Q482" s="36"/>
      <c r="R482" s="36"/>
      <c r="S482" s="36"/>
      <c r="T482" s="36"/>
    </row>
    <row r="483" spans="1:20" ht="15.75">
      <c r="A483" s="13">
        <v>56218</v>
      </c>
      <c r="B483" s="44">
        <v>30</v>
      </c>
      <c r="C483" s="35">
        <v>122.58</v>
      </c>
      <c r="D483" s="35">
        <v>297.94099999999997</v>
      </c>
      <c r="E483" s="41">
        <v>729.47900000000004</v>
      </c>
      <c r="F483" s="35">
        <v>1150</v>
      </c>
      <c r="G483" s="35">
        <v>100</v>
      </c>
      <c r="H483" s="43">
        <v>600</v>
      </c>
      <c r="I483" s="35">
        <v>695</v>
      </c>
      <c r="J483" s="35">
        <v>50</v>
      </c>
      <c r="K483" s="36"/>
      <c r="L483" s="36"/>
      <c r="M483" s="36"/>
      <c r="N483" s="36"/>
      <c r="O483" s="36"/>
      <c r="P483" s="36"/>
      <c r="Q483" s="36"/>
      <c r="R483" s="36"/>
      <c r="S483" s="36"/>
      <c r="T483" s="36"/>
    </row>
    <row r="484" spans="1:20" ht="15.75">
      <c r="A484" s="13">
        <v>56249</v>
      </c>
      <c r="B484" s="44">
        <v>31</v>
      </c>
      <c r="C484" s="35">
        <v>122.58</v>
      </c>
      <c r="D484" s="35">
        <v>297.94099999999997</v>
      </c>
      <c r="E484" s="41">
        <v>729.47900000000004</v>
      </c>
      <c r="F484" s="35">
        <v>1150</v>
      </c>
      <c r="G484" s="35">
        <v>100</v>
      </c>
      <c r="H484" s="43">
        <v>600</v>
      </c>
      <c r="I484" s="35">
        <v>695</v>
      </c>
      <c r="J484" s="35">
        <v>50</v>
      </c>
      <c r="K484" s="36"/>
      <c r="L484" s="36"/>
      <c r="M484" s="36"/>
      <c r="N484" s="36"/>
      <c r="O484" s="36"/>
      <c r="P484" s="36"/>
      <c r="Q484" s="36"/>
      <c r="R484" s="36"/>
      <c r="S484" s="36"/>
      <c r="T484" s="36"/>
    </row>
    <row r="485" spans="1:20" ht="15.75">
      <c r="A485" s="13">
        <v>56280</v>
      </c>
      <c r="B485" s="44">
        <v>31</v>
      </c>
      <c r="C485" s="35">
        <v>122.58</v>
      </c>
      <c r="D485" s="35">
        <v>297.94099999999997</v>
      </c>
      <c r="E485" s="41">
        <v>729.47900000000004</v>
      </c>
      <c r="F485" s="35">
        <v>1150</v>
      </c>
      <c r="G485" s="35">
        <v>100</v>
      </c>
      <c r="H485" s="43">
        <v>600</v>
      </c>
      <c r="I485" s="35">
        <v>695</v>
      </c>
      <c r="J485" s="35">
        <v>50</v>
      </c>
      <c r="K485" s="36"/>
      <c r="L485" s="36"/>
      <c r="M485" s="36"/>
      <c r="N485" s="36"/>
      <c r="O485" s="36"/>
      <c r="P485" s="36"/>
      <c r="Q485" s="36"/>
      <c r="R485" s="36"/>
      <c r="S485" s="36"/>
      <c r="T485" s="36"/>
    </row>
    <row r="486" spans="1:20" ht="15.75">
      <c r="A486" s="13">
        <v>56308</v>
      </c>
      <c r="B486" s="44">
        <v>28</v>
      </c>
      <c r="C486" s="35">
        <v>122.58</v>
      </c>
      <c r="D486" s="35">
        <v>297.94099999999997</v>
      </c>
      <c r="E486" s="41">
        <v>729.47900000000004</v>
      </c>
      <c r="F486" s="35">
        <v>1150</v>
      </c>
      <c r="G486" s="35">
        <v>100</v>
      </c>
      <c r="H486" s="43">
        <v>600</v>
      </c>
      <c r="I486" s="35">
        <v>695</v>
      </c>
      <c r="J486" s="35">
        <v>50</v>
      </c>
      <c r="K486" s="36"/>
      <c r="L486" s="36"/>
      <c r="M486" s="36"/>
      <c r="N486" s="36"/>
      <c r="O486" s="36"/>
      <c r="P486" s="36"/>
      <c r="Q486" s="36"/>
      <c r="R486" s="36"/>
      <c r="S486" s="36"/>
      <c r="T486" s="36"/>
    </row>
    <row r="487" spans="1:20" ht="15.75">
      <c r="A487" s="13">
        <v>56339</v>
      </c>
      <c r="B487" s="44">
        <v>31</v>
      </c>
      <c r="C487" s="35">
        <v>122.58</v>
      </c>
      <c r="D487" s="35">
        <v>297.94099999999997</v>
      </c>
      <c r="E487" s="41">
        <v>729.47900000000004</v>
      </c>
      <c r="F487" s="35">
        <v>1150</v>
      </c>
      <c r="G487" s="35">
        <v>100</v>
      </c>
      <c r="H487" s="43">
        <v>600</v>
      </c>
      <c r="I487" s="35">
        <v>695</v>
      </c>
      <c r="J487" s="35">
        <v>50</v>
      </c>
      <c r="K487" s="36"/>
      <c r="L487" s="36"/>
      <c r="M487" s="36"/>
      <c r="N487" s="36"/>
      <c r="O487" s="36"/>
      <c r="P487" s="36"/>
      <c r="Q487" s="36"/>
      <c r="R487" s="36"/>
      <c r="S487" s="36"/>
      <c r="T487" s="36"/>
    </row>
    <row r="488" spans="1:20" ht="15.75">
      <c r="A488" s="13">
        <v>56369</v>
      </c>
      <c r="B488" s="44">
        <v>30</v>
      </c>
      <c r="C488" s="35">
        <v>141.29300000000001</v>
      </c>
      <c r="D488" s="35">
        <v>267.99299999999999</v>
      </c>
      <c r="E488" s="41">
        <v>829.71400000000006</v>
      </c>
      <c r="F488" s="35">
        <v>1239</v>
      </c>
      <c r="G488" s="35">
        <v>100</v>
      </c>
      <c r="H488" s="43">
        <v>600</v>
      </c>
      <c r="I488" s="35">
        <v>695</v>
      </c>
      <c r="J488" s="35">
        <v>50</v>
      </c>
      <c r="K488" s="36"/>
      <c r="L488" s="36"/>
      <c r="M488" s="36"/>
      <c r="N488" s="36"/>
      <c r="O488" s="36"/>
      <c r="P488" s="36"/>
      <c r="Q488" s="36"/>
      <c r="R488" s="36"/>
      <c r="S488" s="36"/>
      <c r="T488" s="36"/>
    </row>
    <row r="489" spans="1:20" ht="15.75">
      <c r="A489" s="13">
        <v>56400</v>
      </c>
      <c r="B489" s="44">
        <v>31</v>
      </c>
      <c r="C489" s="35">
        <v>194.20500000000001</v>
      </c>
      <c r="D489" s="35">
        <v>267.46600000000001</v>
      </c>
      <c r="E489" s="41">
        <v>812.32899999999995</v>
      </c>
      <c r="F489" s="35">
        <v>1274</v>
      </c>
      <c r="G489" s="35">
        <v>75</v>
      </c>
      <c r="H489" s="43">
        <v>600</v>
      </c>
      <c r="I489" s="35">
        <v>695</v>
      </c>
      <c r="J489" s="35">
        <v>50</v>
      </c>
      <c r="K489" s="36"/>
      <c r="L489" s="36"/>
      <c r="M489" s="36"/>
      <c r="N489" s="36"/>
      <c r="O489" s="36"/>
      <c r="P489" s="36"/>
      <c r="Q489" s="36"/>
      <c r="R489" s="36"/>
      <c r="S489" s="36"/>
      <c r="T489" s="36"/>
    </row>
    <row r="490" spans="1:20" ht="15.75">
      <c r="A490" s="13">
        <v>56430</v>
      </c>
      <c r="B490" s="44">
        <v>30</v>
      </c>
      <c r="C490" s="35">
        <v>194.20500000000001</v>
      </c>
      <c r="D490" s="35">
        <v>267.46600000000001</v>
      </c>
      <c r="E490" s="41">
        <v>812.32899999999995</v>
      </c>
      <c r="F490" s="35">
        <v>1274</v>
      </c>
      <c r="G490" s="35">
        <v>50</v>
      </c>
      <c r="H490" s="43">
        <v>600</v>
      </c>
      <c r="I490" s="35">
        <v>695</v>
      </c>
      <c r="J490" s="35">
        <v>50</v>
      </c>
      <c r="K490" s="36"/>
      <c r="L490" s="36"/>
      <c r="M490" s="36"/>
      <c r="N490" s="36"/>
      <c r="O490" s="36"/>
      <c r="P490" s="36"/>
      <c r="Q490" s="36"/>
      <c r="R490" s="36"/>
      <c r="S490" s="36"/>
      <c r="T490" s="36"/>
    </row>
    <row r="491" spans="1:20" ht="15.75">
      <c r="A491" s="13">
        <v>56461</v>
      </c>
      <c r="B491" s="44">
        <v>31</v>
      </c>
      <c r="C491" s="35">
        <v>194.20500000000001</v>
      </c>
      <c r="D491" s="35">
        <v>267.46600000000001</v>
      </c>
      <c r="E491" s="41">
        <v>812.32899999999995</v>
      </c>
      <c r="F491" s="35">
        <v>1274</v>
      </c>
      <c r="G491" s="35">
        <v>50</v>
      </c>
      <c r="H491" s="43">
        <v>600</v>
      </c>
      <c r="I491" s="35">
        <v>695</v>
      </c>
      <c r="J491" s="35">
        <v>0</v>
      </c>
      <c r="K491" s="36"/>
      <c r="L491" s="36"/>
      <c r="M491" s="36"/>
      <c r="N491" s="36"/>
      <c r="O491" s="36"/>
      <c r="P491" s="36"/>
      <c r="Q491" s="36"/>
      <c r="R491" s="36"/>
      <c r="S491" s="36"/>
      <c r="T491" s="36"/>
    </row>
    <row r="492" spans="1:20" ht="15.75">
      <c r="A492" s="13">
        <v>56492</v>
      </c>
      <c r="B492" s="44">
        <v>31</v>
      </c>
      <c r="C492" s="35">
        <v>194.20500000000001</v>
      </c>
      <c r="D492" s="35">
        <v>267.46600000000001</v>
      </c>
      <c r="E492" s="41">
        <v>812.32899999999995</v>
      </c>
      <c r="F492" s="35">
        <v>1274</v>
      </c>
      <c r="G492" s="35">
        <v>50</v>
      </c>
      <c r="H492" s="43">
        <v>600</v>
      </c>
      <c r="I492" s="35">
        <v>695</v>
      </c>
      <c r="J492" s="35">
        <v>0</v>
      </c>
      <c r="K492" s="36"/>
      <c r="L492" s="36"/>
      <c r="M492" s="36"/>
      <c r="N492" s="36"/>
      <c r="O492" s="36"/>
      <c r="P492" s="36"/>
      <c r="Q492" s="36"/>
      <c r="R492" s="36"/>
      <c r="S492" s="36"/>
      <c r="T492" s="36"/>
    </row>
    <row r="493" spans="1:20" ht="15.75">
      <c r="A493" s="13">
        <v>56522</v>
      </c>
      <c r="B493" s="44">
        <v>30</v>
      </c>
      <c r="C493" s="35">
        <v>194.20500000000001</v>
      </c>
      <c r="D493" s="35">
        <v>267.46600000000001</v>
      </c>
      <c r="E493" s="41">
        <v>812.32899999999995</v>
      </c>
      <c r="F493" s="35">
        <v>1274</v>
      </c>
      <c r="G493" s="35">
        <v>50</v>
      </c>
      <c r="H493" s="43">
        <v>600</v>
      </c>
      <c r="I493" s="35">
        <v>695</v>
      </c>
      <c r="J493" s="35">
        <v>0</v>
      </c>
      <c r="K493" s="36"/>
      <c r="L493" s="36"/>
      <c r="M493" s="36"/>
      <c r="N493" s="36"/>
      <c r="O493" s="36"/>
      <c r="P493" s="36"/>
      <c r="Q493" s="36"/>
      <c r="R493" s="36"/>
      <c r="S493" s="36"/>
      <c r="T493" s="36"/>
    </row>
    <row r="494" spans="1:20" ht="15.75">
      <c r="A494" s="13">
        <v>56553</v>
      </c>
      <c r="B494" s="44">
        <v>31</v>
      </c>
      <c r="C494" s="35">
        <v>131.881</v>
      </c>
      <c r="D494" s="35">
        <v>277.16699999999997</v>
      </c>
      <c r="E494" s="41">
        <v>829.952</v>
      </c>
      <c r="F494" s="35">
        <v>1239</v>
      </c>
      <c r="G494" s="35">
        <v>75</v>
      </c>
      <c r="H494" s="43">
        <v>600</v>
      </c>
      <c r="I494" s="35">
        <v>695</v>
      </c>
      <c r="J494" s="35">
        <v>0</v>
      </c>
      <c r="K494" s="36"/>
      <c r="L494" s="36"/>
      <c r="M494" s="36"/>
      <c r="N494" s="36"/>
      <c r="O494" s="36"/>
      <c r="P494" s="36"/>
      <c r="Q494" s="36"/>
      <c r="R494" s="36"/>
      <c r="S494" s="36"/>
      <c r="T494" s="36"/>
    </row>
    <row r="495" spans="1:20" ht="15.75">
      <c r="A495" s="13">
        <v>56583</v>
      </c>
      <c r="B495" s="44">
        <v>30</v>
      </c>
      <c r="C495" s="35">
        <v>122.58</v>
      </c>
      <c r="D495" s="35">
        <v>297.94099999999997</v>
      </c>
      <c r="E495" s="41">
        <v>729.47900000000004</v>
      </c>
      <c r="F495" s="35">
        <v>1150</v>
      </c>
      <c r="G495" s="35">
        <v>100</v>
      </c>
      <c r="H495" s="43">
        <v>600</v>
      </c>
      <c r="I495" s="35">
        <v>695</v>
      </c>
      <c r="J495" s="35">
        <v>50</v>
      </c>
      <c r="K495" s="36"/>
      <c r="L495" s="36"/>
      <c r="M495" s="36"/>
      <c r="N495" s="36"/>
      <c r="O495" s="36"/>
      <c r="P495" s="36"/>
      <c r="Q495" s="36"/>
      <c r="R495" s="36"/>
      <c r="S495" s="36"/>
      <c r="T495" s="36"/>
    </row>
    <row r="496" spans="1:20" ht="15.75">
      <c r="A496" s="13">
        <v>56614</v>
      </c>
      <c r="B496" s="44">
        <v>31</v>
      </c>
      <c r="C496" s="35">
        <v>122.58</v>
      </c>
      <c r="D496" s="35">
        <v>297.94099999999997</v>
      </c>
      <c r="E496" s="41">
        <v>729.47900000000004</v>
      </c>
      <c r="F496" s="35">
        <v>1150</v>
      </c>
      <c r="G496" s="35">
        <v>100</v>
      </c>
      <c r="H496" s="43">
        <v>600</v>
      </c>
      <c r="I496" s="35">
        <v>695</v>
      </c>
      <c r="J496" s="35">
        <v>50</v>
      </c>
      <c r="K496" s="36"/>
      <c r="L496" s="36"/>
      <c r="M496" s="36"/>
      <c r="N496" s="36"/>
      <c r="O496" s="36"/>
      <c r="P496" s="36"/>
      <c r="Q496" s="36"/>
      <c r="R496" s="36"/>
      <c r="S496" s="36"/>
      <c r="T496" s="36"/>
    </row>
    <row r="497" spans="1:20" ht="15.75">
      <c r="A497" s="13">
        <v>56645</v>
      </c>
      <c r="B497" s="44">
        <v>31</v>
      </c>
      <c r="C497" s="35">
        <v>122.58</v>
      </c>
      <c r="D497" s="35">
        <v>297.94099999999997</v>
      </c>
      <c r="E497" s="41">
        <v>729.47900000000004</v>
      </c>
      <c r="F497" s="35">
        <v>1150</v>
      </c>
      <c r="G497" s="35">
        <v>100</v>
      </c>
      <c r="H497" s="43">
        <v>600</v>
      </c>
      <c r="I497" s="35">
        <v>695</v>
      </c>
      <c r="J497" s="35">
        <v>50</v>
      </c>
      <c r="K497" s="36"/>
      <c r="L497" s="36"/>
      <c r="M497" s="36"/>
      <c r="N497" s="36"/>
      <c r="O497" s="36"/>
      <c r="P497" s="36"/>
      <c r="Q497" s="36"/>
      <c r="R497" s="36"/>
      <c r="S497" s="36"/>
      <c r="T497" s="36"/>
    </row>
    <row r="498" spans="1:20" ht="15.75">
      <c r="A498" s="13">
        <v>56673</v>
      </c>
      <c r="B498" s="44">
        <v>28</v>
      </c>
      <c r="C498" s="35">
        <v>122.58</v>
      </c>
      <c r="D498" s="35">
        <v>297.94099999999997</v>
      </c>
      <c r="E498" s="41">
        <v>729.47900000000004</v>
      </c>
      <c r="F498" s="35">
        <v>1150</v>
      </c>
      <c r="G498" s="35">
        <v>100</v>
      </c>
      <c r="H498" s="43">
        <v>600</v>
      </c>
      <c r="I498" s="35">
        <v>695</v>
      </c>
      <c r="J498" s="35">
        <v>50</v>
      </c>
      <c r="K498" s="36"/>
      <c r="L498" s="36"/>
      <c r="M498" s="36"/>
      <c r="N498" s="36"/>
      <c r="O498" s="36"/>
      <c r="P498" s="36"/>
      <c r="Q498" s="36"/>
      <c r="R498" s="36"/>
      <c r="S498" s="36"/>
      <c r="T498" s="36"/>
    </row>
    <row r="499" spans="1:20" ht="15.75">
      <c r="A499" s="13">
        <v>56704</v>
      </c>
      <c r="B499" s="44">
        <v>31</v>
      </c>
      <c r="C499" s="35">
        <v>122.58</v>
      </c>
      <c r="D499" s="35">
        <v>297.94099999999997</v>
      </c>
      <c r="E499" s="41">
        <v>729.47900000000004</v>
      </c>
      <c r="F499" s="35">
        <v>1150</v>
      </c>
      <c r="G499" s="35">
        <v>100</v>
      </c>
      <c r="H499" s="43">
        <v>600</v>
      </c>
      <c r="I499" s="35">
        <v>695</v>
      </c>
      <c r="J499" s="35">
        <v>50</v>
      </c>
      <c r="K499" s="36"/>
      <c r="L499" s="36"/>
      <c r="M499" s="36"/>
      <c r="N499" s="36"/>
      <c r="O499" s="36"/>
      <c r="P499" s="36"/>
      <c r="Q499" s="36"/>
      <c r="R499" s="36"/>
      <c r="S499" s="36"/>
      <c r="T499" s="36"/>
    </row>
    <row r="500" spans="1:20" ht="15.75">
      <c r="A500" s="13">
        <v>56734</v>
      </c>
      <c r="B500" s="44">
        <v>30</v>
      </c>
      <c r="C500" s="35">
        <v>141.29300000000001</v>
      </c>
      <c r="D500" s="35">
        <v>267.99299999999999</v>
      </c>
      <c r="E500" s="41">
        <v>829.71400000000006</v>
      </c>
      <c r="F500" s="35">
        <v>1239</v>
      </c>
      <c r="G500" s="35">
        <v>100</v>
      </c>
      <c r="H500" s="43">
        <v>600</v>
      </c>
      <c r="I500" s="35">
        <v>695</v>
      </c>
      <c r="J500" s="35">
        <v>50</v>
      </c>
      <c r="K500" s="36"/>
      <c r="L500" s="36"/>
      <c r="M500" s="36"/>
      <c r="N500" s="36"/>
      <c r="O500" s="36"/>
      <c r="P500" s="36"/>
      <c r="Q500" s="36"/>
      <c r="R500" s="36"/>
      <c r="S500" s="36"/>
      <c r="T500" s="36"/>
    </row>
    <row r="501" spans="1:20" ht="15.75">
      <c r="A501" s="13">
        <v>56765</v>
      </c>
      <c r="B501" s="44">
        <v>31</v>
      </c>
      <c r="C501" s="35">
        <v>194.20500000000001</v>
      </c>
      <c r="D501" s="35">
        <v>267.46600000000001</v>
      </c>
      <c r="E501" s="41">
        <v>812.32899999999995</v>
      </c>
      <c r="F501" s="35">
        <v>1274</v>
      </c>
      <c r="G501" s="35">
        <v>75</v>
      </c>
      <c r="H501" s="43">
        <v>600</v>
      </c>
      <c r="I501" s="35">
        <v>695</v>
      </c>
      <c r="J501" s="35">
        <v>50</v>
      </c>
      <c r="K501" s="36"/>
      <c r="L501" s="36"/>
      <c r="M501" s="36"/>
      <c r="N501" s="36"/>
      <c r="O501" s="36"/>
      <c r="P501" s="36"/>
      <c r="Q501" s="36"/>
      <c r="R501" s="36"/>
      <c r="S501" s="36"/>
      <c r="T501" s="36"/>
    </row>
    <row r="502" spans="1:20" ht="15.75">
      <c r="A502" s="13">
        <v>56795</v>
      </c>
      <c r="B502" s="44">
        <v>30</v>
      </c>
      <c r="C502" s="35">
        <v>194.20500000000001</v>
      </c>
      <c r="D502" s="35">
        <v>267.46600000000001</v>
      </c>
      <c r="E502" s="41">
        <v>812.32899999999995</v>
      </c>
      <c r="F502" s="35">
        <v>1274</v>
      </c>
      <c r="G502" s="35">
        <v>50</v>
      </c>
      <c r="H502" s="43">
        <v>600</v>
      </c>
      <c r="I502" s="35">
        <v>695</v>
      </c>
      <c r="J502" s="35">
        <v>50</v>
      </c>
      <c r="K502" s="36"/>
      <c r="L502" s="36"/>
      <c r="M502" s="36"/>
      <c r="N502" s="36"/>
      <c r="O502" s="36"/>
      <c r="P502" s="36"/>
      <c r="Q502" s="36"/>
      <c r="R502" s="36"/>
      <c r="S502" s="36"/>
      <c r="T502" s="36"/>
    </row>
    <row r="503" spans="1:20" ht="15.75">
      <c r="A503" s="13">
        <v>56826</v>
      </c>
      <c r="B503" s="44">
        <v>31</v>
      </c>
      <c r="C503" s="35">
        <v>194.20500000000001</v>
      </c>
      <c r="D503" s="35">
        <v>267.46600000000001</v>
      </c>
      <c r="E503" s="41">
        <v>812.32899999999995</v>
      </c>
      <c r="F503" s="35">
        <v>1274</v>
      </c>
      <c r="G503" s="35">
        <v>50</v>
      </c>
      <c r="H503" s="43">
        <v>600</v>
      </c>
      <c r="I503" s="35">
        <v>695</v>
      </c>
      <c r="J503" s="35">
        <v>0</v>
      </c>
      <c r="K503" s="36"/>
      <c r="L503" s="36"/>
      <c r="M503" s="36"/>
      <c r="N503" s="36"/>
      <c r="O503" s="36"/>
      <c r="P503" s="36"/>
      <c r="Q503" s="36"/>
      <c r="R503" s="36"/>
      <c r="S503" s="36"/>
      <c r="T503" s="36"/>
    </row>
    <row r="504" spans="1:20" ht="15.75">
      <c r="A504" s="13">
        <v>56857</v>
      </c>
      <c r="B504" s="44">
        <v>31</v>
      </c>
      <c r="C504" s="35">
        <v>194.20500000000001</v>
      </c>
      <c r="D504" s="35">
        <v>267.46600000000001</v>
      </c>
      <c r="E504" s="41">
        <v>812.32899999999995</v>
      </c>
      <c r="F504" s="35">
        <v>1274</v>
      </c>
      <c r="G504" s="35">
        <v>50</v>
      </c>
      <c r="H504" s="43">
        <v>600</v>
      </c>
      <c r="I504" s="35">
        <v>695</v>
      </c>
      <c r="J504" s="35">
        <v>0</v>
      </c>
      <c r="K504" s="36"/>
      <c r="L504" s="36"/>
      <c r="M504" s="36"/>
      <c r="N504" s="36"/>
      <c r="O504" s="36"/>
      <c r="P504" s="36"/>
      <c r="Q504" s="36"/>
      <c r="R504" s="36"/>
      <c r="S504" s="36"/>
      <c r="T504" s="36"/>
    </row>
    <row r="505" spans="1:20" ht="15.75">
      <c r="A505" s="13">
        <v>56887</v>
      </c>
      <c r="B505" s="44">
        <v>30</v>
      </c>
      <c r="C505" s="35">
        <v>194.20500000000001</v>
      </c>
      <c r="D505" s="35">
        <v>267.46600000000001</v>
      </c>
      <c r="E505" s="41">
        <v>812.32899999999995</v>
      </c>
      <c r="F505" s="35">
        <v>1274</v>
      </c>
      <c r="G505" s="35">
        <v>50</v>
      </c>
      <c r="H505" s="43">
        <v>600</v>
      </c>
      <c r="I505" s="35">
        <v>695</v>
      </c>
      <c r="J505" s="35">
        <v>0</v>
      </c>
      <c r="K505" s="36"/>
      <c r="L505" s="36"/>
      <c r="M505" s="36"/>
      <c r="N505" s="36"/>
      <c r="O505" s="36"/>
      <c r="P505" s="36"/>
      <c r="Q505" s="36"/>
      <c r="R505" s="36"/>
      <c r="S505" s="36"/>
      <c r="T505" s="36"/>
    </row>
    <row r="506" spans="1:20" ht="15.75">
      <c r="A506" s="13">
        <v>56918</v>
      </c>
      <c r="B506" s="44">
        <v>31</v>
      </c>
      <c r="C506" s="35">
        <v>131.881</v>
      </c>
      <c r="D506" s="35">
        <v>277.16699999999997</v>
      </c>
      <c r="E506" s="41">
        <v>829.952</v>
      </c>
      <c r="F506" s="35">
        <v>1239</v>
      </c>
      <c r="G506" s="35">
        <v>75</v>
      </c>
      <c r="H506" s="43">
        <v>600</v>
      </c>
      <c r="I506" s="35">
        <v>695</v>
      </c>
      <c r="J506" s="35">
        <v>0</v>
      </c>
      <c r="K506" s="36"/>
      <c r="L506" s="36"/>
      <c r="M506" s="36"/>
      <c r="N506" s="36"/>
      <c r="O506" s="36"/>
      <c r="P506" s="36"/>
      <c r="Q506" s="36"/>
      <c r="R506" s="36"/>
      <c r="S506" s="36"/>
      <c r="T506" s="36"/>
    </row>
    <row r="507" spans="1:20" ht="15.75">
      <c r="A507" s="13">
        <v>56948</v>
      </c>
      <c r="B507" s="44">
        <v>30</v>
      </c>
      <c r="C507" s="35">
        <v>122.58</v>
      </c>
      <c r="D507" s="35">
        <v>297.94099999999997</v>
      </c>
      <c r="E507" s="41">
        <v>729.47900000000004</v>
      </c>
      <c r="F507" s="35">
        <v>1150</v>
      </c>
      <c r="G507" s="35">
        <v>100</v>
      </c>
      <c r="H507" s="43">
        <v>600</v>
      </c>
      <c r="I507" s="35">
        <v>695</v>
      </c>
      <c r="J507" s="35">
        <v>50</v>
      </c>
      <c r="K507" s="36"/>
      <c r="L507" s="36"/>
      <c r="M507" s="36"/>
      <c r="N507" s="36"/>
      <c r="O507" s="36"/>
      <c r="P507" s="36"/>
      <c r="Q507" s="36"/>
      <c r="R507" s="36"/>
      <c r="S507" s="36"/>
      <c r="T507" s="36"/>
    </row>
    <row r="508" spans="1:20" ht="15.75">
      <c r="A508" s="13">
        <v>56979</v>
      </c>
      <c r="B508" s="44">
        <v>31</v>
      </c>
      <c r="C508" s="35">
        <v>122.58</v>
      </c>
      <c r="D508" s="35">
        <v>297.94099999999997</v>
      </c>
      <c r="E508" s="41">
        <v>729.47900000000004</v>
      </c>
      <c r="F508" s="35">
        <v>1150</v>
      </c>
      <c r="G508" s="35">
        <v>100</v>
      </c>
      <c r="H508" s="43">
        <v>600</v>
      </c>
      <c r="I508" s="35">
        <v>695</v>
      </c>
      <c r="J508" s="35">
        <v>50</v>
      </c>
      <c r="K508" s="36"/>
      <c r="L508" s="36"/>
      <c r="M508" s="36"/>
      <c r="N508" s="36"/>
      <c r="O508" s="36"/>
      <c r="P508" s="36"/>
      <c r="Q508" s="36"/>
      <c r="R508" s="36"/>
      <c r="S508" s="36"/>
      <c r="T508" s="36"/>
    </row>
    <row r="509" spans="1:20" ht="15.75">
      <c r="A509" s="13">
        <v>57010</v>
      </c>
      <c r="B509" s="44">
        <v>31</v>
      </c>
      <c r="C509" s="35">
        <v>122.58</v>
      </c>
      <c r="D509" s="35">
        <v>297.94099999999997</v>
      </c>
      <c r="E509" s="41">
        <v>729.47900000000004</v>
      </c>
      <c r="F509" s="35">
        <v>1150</v>
      </c>
      <c r="G509" s="35">
        <v>100</v>
      </c>
      <c r="H509" s="43">
        <v>600</v>
      </c>
      <c r="I509" s="35">
        <v>695</v>
      </c>
      <c r="J509" s="35">
        <v>50</v>
      </c>
      <c r="K509" s="36"/>
      <c r="L509" s="36"/>
      <c r="M509" s="36"/>
      <c r="N509" s="36"/>
      <c r="O509" s="36"/>
      <c r="P509" s="36"/>
      <c r="Q509" s="36"/>
      <c r="R509" s="36"/>
      <c r="S509" s="36"/>
      <c r="T509" s="36"/>
    </row>
    <row r="510" spans="1:20" ht="15.75">
      <c r="A510" s="13">
        <v>57038</v>
      </c>
      <c r="B510" s="44">
        <v>29</v>
      </c>
      <c r="C510" s="35">
        <v>122.58</v>
      </c>
      <c r="D510" s="35">
        <v>297.94099999999997</v>
      </c>
      <c r="E510" s="41">
        <v>729.47900000000004</v>
      </c>
      <c r="F510" s="35">
        <v>1150</v>
      </c>
      <c r="G510" s="35">
        <v>100</v>
      </c>
      <c r="H510" s="43">
        <v>600</v>
      </c>
      <c r="I510" s="35">
        <v>695</v>
      </c>
      <c r="J510" s="35">
        <v>50</v>
      </c>
      <c r="K510" s="36"/>
      <c r="L510" s="36"/>
      <c r="M510" s="36"/>
      <c r="N510" s="36"/>
      <c r="O510" s="36"/>
      <c r="P510" s="36"/>
      <c r="Q510" s="36"/>
      <c r="R510" s="36"/>
      <c r="S510" s="36"/>
      <c r="T510" s="36"/>
    </row>
    <row r="511" spans="1:20" ht="15.75">
      <c r="A511" s="13">
        <v>57070</v>
      </c>
      <c r="B511" s="44">
        <v>31</v>
      </c>
      <c r="C511" s="35">
        <v>122.58</v>
      </c>
      <c r="D511" s="35">
        <v>297.94099999999997</v>
      </c>
      <c r="E511" s="41">
        <v>729.47900000000004</v>
      </c>
      <c r="F511" s="35">
        <v>1150</v>
      </c>
      <c r="G511" s="35">
        <v>100</v>
      </c>
      <c r="H511" s="43">
        <v>600</v>
      </c>
      <c r="I511" s="35">
        <v>695</v>
      </c>
      <c r="J511" s="35">
        <v>50</v>
      </c>
      <c r="K511" s="36"/>
      <c r="L511" s="36"/>
      <c r="M511" s="36"/>
      <c r="N511" s="36"/>
      <c r="O511" s="36"/>
      <c r="P511" s="36"/>
      <c r="Q511" s="36"/>
      <c r="R511" s="36"/>
      <c r="S511" s="36"/>
      <c r="T511" s="36"/>
    </row>
    <row r="512" spans="1:20" ht="15.75">
      <c r="A512" s="13">
        <v>57100</v>
      </c>
      <c r="B512" s="44">
        <v>30</v>
      </c>
      <c r="C512" s="35">
        <v>141.29300000000001</v>
      </c>
      <c r="D512" s="35">
        <v>267.99299999999999</v>
      </c>
      <c r="E512" s="41">
        <v>829.71400000000006</v>
      </c>
      <c r="F512" s="35">
        <v>1239</v>
      </c>
      <c r="G512" s="35">
        <v>100</v>
      </c>
      <c r="H512" s="43">
        <v>600</v>
      </c>
      <c r="I512" s="35">
        <v>695</v>
      </c>
      <c r="J512" s="35">
        <v>50</v>
      </c>
      <c r="K512" s="36"/>
      <c r="L512" s="36"/>
      <c r="M512" s="36"/>
      <c r="N512" s="36"/>
      <c r="O512" s="36"/>
      <c r="P512" s="36"/>
      <c r="Q512" s="36"/>
      <c r="R512" s="36"/>
      <c r="S512" s="36"/>
      <c r="T512" s="36"/>
    </row>
    <row r="513" spans="1:20" ht="15.75">
      <c r="A513" s="13">
        <v>57131</v>
      </c>
      <c r="B513" s="44">
        <v>31</v>
      </c>
      <c r="C513" s="35">
        <v>194.20500000000001</v>
      </c>
      <c r="D513" s="35">
        <v>267.46600000000001</v>
      </c>
      <c r="E513" s="41">
        <v>812.32899999999995</v>
      </c>
      <c r="F513" s="35">
        <v>1274</v>
      </c>
      <c r="G513" s="35">
        <v>75</v>
      </c>
      <c r="H513" s="43">
        <v>600</v>
      </c>
      <c r="I513" s="35">
        <v>695</v>
      </c>
      <c r="J513" s="35">
        <v>50</v>
      </c>
      <c r="K513" s="36"/>
      <c r="L513" s="36"/>
      <c r="M513" s="36"/>
      <c r="N513" s="36"/>
      <c r="O513" s="36"/>
      <c r="P513" s="36"/>
      <c r="Q513" s="36"/>
      <c r="R513" s="36"/>
      <c r="S513" s="36"/>
      <c r="T513" s="36"/>
    </row>
    <row r="514" spans="1:20" ht="15.75">
      <c r="A514" s="13">
        <v>57161</v>
      </c>
      <c r="B514" s="44">
        <v>30</v>
      </c>
      <c r="C514" s="35">
        <v>194.20500000000001</v>
      </c>
      <c r="D514" s="35">
        <v>267.46600000000001</v>
      </c>
      <c r="E514" s="41">
        <v>812.32899999999995</v>
      </c>
      <c r="F514" s="35">
        <v>1274</v>
      </c>
      <c r="G514" s="35">
        <v>50</v>
      </c>
      <c r="H514" s="43">
        <v>600</v>
      </c>
      <c r="I514" s="35">
        <v>695</v>
      </c>
      <c r="J514" s="35">
        <v>50</v>
      </c>
      <c r="K514" s="36"/>
      <c r="L514" s="36"/>
      <c r="M514" s="36"/>
      <c r="N514" s="36"/>
      <c r="O514" s="36"/>
      <c r="P514" s="36"/>
      <c r="Q514" s="36"/>
      <c r="R514" s="36"/>
      <c r="S514" s="36"/>
      <c r="T514" s="36"/>
    </row>
    <row r="515" spans="1:20" ht="15.75">
      <c r="A515" s="13">
        <v>57192</v>
      </c>
      <c r="B515" s="44">
        <v>31</v>
      </c>
      <c r="C515" s="35">
        <v>194.20500000000001</v>
      </c>
      <c r="D515" s="35">
        <v>267.46600000000001</v>
      </c>
      <c r="E515" s="41">
        <v>812.32899999999995</v>
      </c>
      <c r="F515" s="35">
        <v>1274</v>
      </c>
      <c r="G515" s="35">
        <v>50</v>
      </c>
      <c r="H515" s="43">
        <v>600</v>
      </c>
      <c r="I515" s="35">
        <v>695</v>
      </c>
      <c r="J515" s="35">
        <v>0</v>
      </c>
      <c r="K515" s="36"/>
      <c r="L515" s="36"/>
      <c r="M515" s="36"/>
      <c r="N515" s="36"/>
      <c r="O515" s="36"/>
      <c r="P515" s="36"/>
      <c r="Q515" s="36"/>
      <c r="R515" s="36"/>
      <c r="S515" s="36"/>
      <c r="T515" s="36"/>
    </row>
    <row r="516" spans="1:20" ht="15.75">
      <c r="A516" s="13">
        <v>57223</v>
      </c>
      <c r="B516" s="44">
        <v>31</v>
      </c>
      <c r="C516" s="35">
        <v>194.20500000000001</v>
      </c>
      <c r="D516" s="35">
        <v>267.46600000000001</v>
      </c>
      <c r="E516" s="41">
        <v>812.32899999999995</v>
      </c>
      <c r="F516" s="35">
        <v>1274</v>
      </c>
      <c r="G516" s="35">
        <v>50</v>
      </c>
      <c r="H516" s="43">
        <v>600</v>
      </c>
      <c r="I516" s="35">
        <v>695</v>
      </c>
      <c r="J516" s="35">
        <v>0</v>
      </c>
      <c r="K516" s="36"/>
      <c r="L516" s="36"/>
      <c r="M516" s="36"/>
      <c r="N516" s="36"/>
      <c r="O516" s="36"/>
      <c r="P516" s="36"/>
      <c r="Q516" s="36"/>
      <c r="R516" s="36"/>
      <c r="S516" s="36"/>
      <c r="T516" s="36"/>
    </row>
    <row r="517" spans="1:20" ht="15.75">
      <c r="A517" s="13">
        <v>57253</v>
      </c>
      <c r="B517" s="44">
        <v>30</v>
      </c>
      <c r="C517" s="35">
        <v>194.20500000000001</v>
      </c>
      <c r="D517" s="35">
        <v>267.46600000000001</v>
      </c>
      <c r="E517" s="41">
        <v>812.32899999999995</v>
      </c>
      <c r="F517" s="35">
        <v>1274</v>
      </c>
      <c r="G517" s="35">
        <v>50</v>
      </c>
      <c r="H517" s="43">
        <v>600</v>
      </c>
      <c r="I517" s="35">
        <v>695</v>
      </c>
      <c r="J517" s="35">
        <v>0</v>
      </c>
      <c r="K517" s="36"/>
      <c r="L517" s="36"/>
      <c r="M517" s="36"/>
      <c r="N517" s="36"/>
      <c r="O517" s="36"/>
      <c r="P517" s="36"/>
      <c r="Q517" s="36"/>
      <c r="R517" s="36"/>
      <c r="S517" s="36"/>
      <c r="T517" s="36"/>
    </row>
    <row r="518" spans="1:20" ht="15.75">
      <c r="A518" s="13">
        <v>57284</v>
      </c>
      <c r="B518" s="44">
        <v>31</v>
      </c>
      <c r="C518" s="35">
        <v>131.881</v>
      </c>
      <c r="D518" s="35">
        <v>277.16699999999997</v>
      </c>
      <c r="E518" s="41">
        <v>829.952</v>
      </c>
      <c r="F518" s="35">
        <v>1239</v>
      </c>
      <c r="G518" s="35">
        <v>75</v>
      </c>
      <c r="H518" s="43">
        <v>600</v>
      </c>
      <c r="I518" s="35">
        <v>695</v>
      </c>
      <c r="J518" s="35">
        <v>0</v>
      </c>
      <c r="K518" s="36"/>
      <c r="L518" s="36"/>
      <c r="M518" s="36"/>
      <c r="N518" s="36"/>
      <c r="O518" s="36"/>
      <c r="P518" s="36"/>
      <c r="Q518" s="36"/>
      <c r="R518" s="36"/>
      <c r="S518" s="36"/>
      <c r="T518" s="36"/>
    </row>
    <row r="519" spans="1:20" ht="15.75">
      <c r="A519" s="13">
        <v>57314</v>
      </c>
      <c r="B519" s="44">
        <v>30</v>
      </c>
      <c r="C519" s="35">
        <v>122.58</v>
      </c>
      <c r="D519" s="35">
        <v>297.94099999999997</v>
      </c>
      <c r="E519" s="41">
        <v>729.47900000000004</v>
      </c>
      <c r="F519" s="35">
        <v>1150</v>
      </c>
      <c r="G519" s="35">
        <v>100</v>
      </c>
      <c r="H519" s="43">
        <v>600</v>
      </c>
      <c r="I519" s="35">
        <v>695</v>
      </c>
      <c r="J519" s="35">
        <v>50</v>
      </c>
      <c r="K519" s="36"/>
      <c r="L519" s="36"/>
      <c r="M519" s="36"/>
      <c r="N519" s="36"/>
      <c r="O519" s="36"/>
      <c r="P519" s="36"/>
      <c r="Q519" s="36"/>
      <c r="R519" s="36"/>
      <c r="S519" s="36"/>
      <c r="T519" s="36"/>
    </row>
    <row r="520" spans="1:20" ht="15.75">
      <c r="A520" s="13">
        <v>57345</v>
      </c>
      <c r="B520" s="44">
        <v>31</v>
      </c>
      <c r="C520" s="35">
        <v>122.58</v>
      </c>
      <c r="D520" s="35">
        <v>297.94099999999997</v>
      </c>
      <c r="E520" s="41">
        <v>729.47900000000004</v>
      </c>
      <c r="F520" s="35">
        <v>1150</v>
      </c>
      <c r="G520" s="35">
        <v>100</v>
      </c>
      <c r="H520" s="43">
        <v>600</v>
      </c>
      <c r="I520" s="35">
        <v>695</v>
      </c>
      <c r="J520" s="35">
        <v>50</v>
      </c>
      <c r="K520" s="36"/>
      <c r="L520" s="36"/>
      <c r="M520" s="36"/>
      <c r="N520" s="36"/>
      <c r="O520" s="36"/>
      <c r="P520" s="36"/>
      <c r="Q520" s="36"/>
      <c r="R520" s="36"/>
      <c r="S520" s="36"/>
      <c r="T520" s="36"/>
    </row>
    <row r="521" spans="1:20" ht="15.75">
      <c r="A521" s="13">
        <v>57376</v>
      </c>
      <c r="B521" s="44">
        <v>31</v>
      </c>
      <c r="C521" s="35">
        <v>122.58</v>
      </c>
      <c r="D521" s="35">
        <v>297.94099999999997</v>
      </c>
      <c r="E521" s="41">
        <v>729.47900000000004</v>
      </c>
      <c r="F521" s="35">
        <v>1150</v>
      </c>
      <c r="G521" s="35">
        <v>100</v>
      </c>
      <c r="H521" s="43">
        <v>600</v>
      </c>
      <c r="I521" s="35">
        <v>695</v>
      </c>
      <c r="J521" s="35">
        <v>50</v>
      </c>
      <c r="K521" s="36"/>
      <c r="L521" s="36"/>
      <c r="M521" s="36"/>
      <c r="N521" s="36"/>
      <c r="O521" s="36"/>
      <c r="P521" s="36"/>
      <c r="Q521" s="36"/>
      <c r="R521" s="36"/>
      <c r="S521" s="36"/>
      <c r="T521" s="36"/>
    </row>
    <row r="522" spans="1:20" ht="15.75">
      <c r="A522" s="13">
        <v>57404</v>
      </c>
      <c r="B522" s="44">
        <v>28</v>
      </c>
      <c r="C522" s="35">
        <v>122.58</v>
      </c>
      <c r="D522" s="35">
        <v>297.94099999999997</v>
      </c>
      <c r="E522" s="41">
        <v>729.47900000000004</v>
      </c>
      <c r="F522" s="35">
        <v>1150</v>
      </c>
      <c r="G522" s="35">
        <v>100</v>
      </c>
      <c r="H522" s="43">
        <v>600</v>
      </c>
      <c r="I522" s="35">
        <v>695</v>
      </c>
      <c r="J522" s="35">
        <v>50</v>
      </c>
      <c r="K522" s="36"/>
      <c r="L522" s="36"/>
      <c r="M522" s="36"/>
      <c r="N522" s="36"/>
      <c r="O522" s="36"/>
      <c r="P522" s="36"/>
      <c r="Q522" s="36"/>
      <c r="R522" s="36"/>
      <c r="S522" s="36"/>
      <c r="T522" s="36"/>
    </row>
    <row r="523" spans="1:20" ht="15.75">
      <c r="A523" s="13">
        <v>57435</v>
      </c>
      <c r="B523" s="44">
        <v>31</v>
      </c>
      <c r="C523" s="35">
        <v>122.58</v>
      </c>
      <c r="D523" s="35">
        <v>297.94099999999997</v>
      </c>
      <c r="E523" s="41">
        <v>729.47900000000004</v>
      </c>
      <c r="F523" s="35">
        <v>1150</v>
      </c>
      <c r="G523" s="35">
        <v>100</v>
      </c>
      <c r="H523" s="43">
        <v>600</v>
      </c>
      <c r="I523" s="35">
        <v>695</v>
      </c>
      <c r="J523" s="35">
        <v>50</v>
      </c>
      <c r="K523" s="36"/>
      <c r="L523" s="36"/>
      <c r="M523" s="36"/>
      <c r="N523" s="36"/>
      <c r="O523" s="36"/>
      <c r="P523" s="36"/>
      <c r="Q523" s="36"/>
      <c r="R523" s="36"/>
      <c r="S523" s="36"/>
      <c r="T523" s="36"/>
    </row>
    <row r="524" spans="1:20" ht="15.75">
      <c r="A524" s="13">
        <v>57465</v>
      </c>
      <c r="B524" s="44">
        <v>30</v>
      </c>
      <c r="C524" s="35">
        <v>141.29300000000001</v>
      </c>
      <c r="D524" s="35">
        <v>267.99299999999999</v>
      </c>
      <c r="E524" s="41">
        <v>829.71400000000006</v>
      </c>
      <c r="F524" s="35">
        <v>1239</v>
      </c>
      <c r="G524" s="35">
        <v>100</v>
      </c>
      <c r="H524" s="43">
        <v>600</v>
      </c>
      <c r="I524" s="35">
        <v>695</v>
      </c>
      <c r="J524" s="35">
        <v>50</v>
      </c>
      <c r="K524" s="36"/>
      <c r="L524" s="36"/>
      <c r="M524" s="36"/>
      <c r="N524" s="36"/>
      <c r="O524" s="36"/>
      <c r="P524" s="36"/>
      <c r="Q524" s="36"/>
      <c r="R524" s="36"/>
      <c r="S524" s="36"/>
      <c r="T524" s="36"/>
    </row>
    <row r="525" spans="1:20" ht="15.75">
      <c r="A525" s="13">
        <v>57496</v>
      </c>
      <c r="B525" s="44">
        <v>31</v>
      </c>
      <c r="C525" s="35">
        <v>194.20500000000001</v>
      </c>
      <c r="D525" s="35">
        <v>267.46600000000001</v>
      </c>
      <c r="E525" s="41">
        <v>812.32899999999995</v>
      </c>
      <c r="F525" s="35">
        <v>1274</v>
      </c>
      <c r="G525" s="35">
        <v>75</v>
      </c>
      <c r="H525" s="43">
        <v>600</v>
      </c>
      <c r="I525" s="35">
        <v>695</v>
      </c>
      <c r="J525" s="35">
        <v>50</v>
      </c>
      <c r="K525" s="36"/>
      <c r="L525" s="36"/>
      <c r="M525" s="36"/>
      <c r="N525" s="36"/>
      <c r="O525" s="36"/>
      <c r="P525" s="36"/>
      <c r="Q525" s="36"/>
      <c r="R525" s="36"/>
      <c r="S525" s="36"/>
      <c r="T525" s="36"/>
    </row>
    <row r="526" spans="1:20" ht="15.75">
      <c r="A526" s="13">
        <v>57526</v>
      </c>
      <c r="B526" s="44">
        <v>30</v>
      </c>
      <c r="C526" s="35">
        <v>194.20500000000001</v>
      </c>
      <c r="D526" s="35">
        <v>267.46600000000001</v>
      </c>
      <c r="E526" s="41">
        <v>812.32899999999995</v>
      </c>
      <c r="F526" s="35">
        <v>1274</v>
      </c>
      <c r="G526" s="35">
        <v>50</v>
      </c>
      <c r="H526" s="43">
        <v>600</v>
      </c>
      <c r="I526" s="35">
        <v>695</v>
      </c>
      <c r="J526" s="35">
        <v>50</v>
      </c>
      <c r="K526" s="36"/>
      <c r="L526" s="36"/>
      <c r="M526" s="36"/>
      <c r="N526" s="36"/>
      <c r="O526" s="36"/>
      <c r="P526" s="36"/>
      <c r="Q526" s="36"/>
      <c r="R526" s="36"/>
      <c r="S526" s="36"/>
      <c r="T526" s="36"/>
    </row>
    <row r="527" spans="1:20" ht="15.75">
      <c r="A527" s="13">
        <v>57557</v>
      </c>
      <c r="B527" s="44">
        <v>31</v>
      </c>
      <c r="C527" s="35">
        <v>194.20500000000001</v>
      </c>
      <c r="D527" s="35">
        <v>267.46600000000001</v>
      </c>
      <c r="E527" s="41">
        <v>812.32899999999995</v>
      </c>
      <c r="F527" s="35">
        <v>1274</v>
      </c>
      <c r="G527" s="35">
        <v>50</v>
      </c>
      <c r="H527" s="43">
        <v>600</v>
      </c>
      <c r="I527" s="35">
        <v>695</v>
      </c>
      <c r="J527" s="35">
        <v>0</v>
      </c>
      <c r="K527" s="36"/>
      <c r="L527" s="36"/>
      <c r="M527" s="36"/>
      <c r="N527" s="36"/>
      <c r="O527" s="36"/>
      <c r="P527" s="36"/>
      <c r="Q527" s="36"/>
      <c r="R527" s="36"/>
      <c r="S527" s="36"/>
      <c r="T527" s="36"/>
    </row>
    <row r="528" spans="1:20" ht="15.75">
      <c r="A528" s="13">
        <v>57588</v>
      </c>
      <c r="B528" s="44">
        <v>31</v>
      </c>
      <c r="C528" s="35">
        <v>194.20500000000001</v>
      </c>
      <c r="D528" s="35">
        <v>267.46600000000001</v>
      </c>
      <c r="E528" s="41">
        <v>812.32899999999995</v>
      </c>
      <c r="F528" s="35">
        <v>1274</v>
      </c>
      <c r="G528" s="35">
        <v>50</v>
      </c>
      <c r="H528" s="43">
        <v>600</v>
      </c>
      <c r="I528" s="35">
        <v>695</v>
      </c>
      <c r="J528" s="35">
        <v>0</v>
      </c>
      <c r="K528" s="36"/>
      <c r="L528" s="36"/>
      <c r="M528" s="36"/>
      <c r="N528" s="36"/>
      <c r="O528" s="36"/>
      <c r="P528" s="36"/>
      <c r="Q528" s="36"/>
      <c r="R528" s="36"/>
      <c r="S528" s="36"/>
      <c r="T528" s="36"/>
    </row>
    <row r="529" spans="1:20" ht="15.75">
      <c r="A529" s="13">
        <v>57618</v>
      </c>
      <c r="B529" s="44">
        <v>30</v>
      </c>
      <c r="C529" s="35">
        <v>194.20500000000001</v>
      </c>
      <c r="D529" s="35">
        <v>267.46600000000001</v>
      </c>
      <c r="E529" s="41">
        <v>812.32899999999995</v>
      </c>
      <c r="F529" s="35">
        <v>1274</v>
      </c>
      <c r="G529" s="35">
        <v>50</v>
      </c>
      <c r="H529" s="43">
        <v>600</v>
      </c>
      <c r="I529" s="35">
        <v>695</v>
      </c>
      <c r="J529" s="35">
        <v>0</v>
      </c>
      <c r="K529" s="36"/>
      <c r="L529" s="36"/>
      <c r="M529" s="36"/>
      <c r="N529" s="36"/>
      <c r="O529" s="36"/>
      <c r="P529" s="36"/>
      <c r="Q529" s="36"/>
      <c r="R529" s="36"/>
      <c r="S529" s="36"/>
      <c r="T529" s="36"/>
    </row>
    <row r="530" spans="1:20" ht="15.75">
      <c r="A530" s="13">
        <v>57649</v>
      </c>
      <c r="B530" s="44">
        <v>31</v>
      </c>
      <c r="C530" s="35">
        <v>131.881</v>
      </c>
      <c r="D530" s="35">
        <v>277.16699999999997</v>
      </c>
      <c r="E530" s="41">
        <v>829.952</v>
      </c>
      <c r="F530" s="35">
        <v>1239</v>
      </c>
      <c r="G530" s="35">
        <v>75</v>
      </c>
      <c r="H530" s="43">
        <v>600</v>
      </c>
      <c r="I530" s="35">
        <v>695</v>
      </c>
      <c r="J530" s="35">
        <v>0</v>
      </c>
      <c r="K530" s="36"/>
      <c r="L530" s="36"/>
      <c r="M530" s="36"/>
      <c r="N530" s="36"/>
      <c r="O530" s="36"/>
      <c r="P530" s="36"/>
      <c r="Q530" s="36"/>
      <c r="R530" s="36"/>
      <c r="S530" s="36"/>
      <c r="T530" s="36"/>
    </row>
    <row r="531" spans="1:20" ht="15.75">
      <c r="A531" s="13">
        <v>57679</v>
      </c>
      <c r="B531" s="44">
        <v>30</v>
      </c>
      <c r="C531" s="35">
        <v>122.58</v>
      </c>
      <c r="D531" s="35">
        <v>297.94099999999997</v>
      </c>
      <c r="E531" s="41">
        <v>729.47900000000004</v>
      </c>
      <c r="F531" s="35">
        <v>1150</v>
      </c>
      <c r="G531" s="35">
        <v>100</v>
      </c>
      <c r="H531" s="43">
        <v>600</v>
      </c>
      <c r="I531" s="35">
        <v>695</v>
      </c>
      <c r="J531" s="35">
        <v>50</v>
      </c>
      <c r="K531" s="36"/>
      <c r="L531" s="36"/>
      <c r="M531" s="36"/>
      <c r="N531" s="36"/>
      <c r="O531" s="36"/>
      <c r="P531" s="36"/>
      <c r="Q531" s="36"/>
      <c r="R531" s="36"/>
      <c r="S531" s="36"/>
      <c r="T531" s="36"/>
    </row>
    <row r="532" spans="1:20" ht="15.75">
      <c r="A532" s="13">
        <v>57710</v>
      </c>
      <c r="B532" s="44">
        <v>31</v>
      </c>
      <c r="C532" s="35">
        <v>122.58</v>
      </c>
      <c r="D532" s="35">
        <v>297.94099999999997</v>
      </c>
      <c r="E532" s="41">
        <v>729.47900000000004</v>
      </c>
      <c r="F532" s="35">
        <v>1150</v>
      </c>
      <c r="G532" s="35">
        <v>100</v>
      </c>
      <c r="H532" s="43">
        <v>600</v>
      </c>
      <c r="I532" s="35">
        <v>695</v>
      </c>
      <c r="J532" s="35">
        <v>50</v>
      </c>
      <c r="K532" s="36"/>
      <c r="L532" s="36"/>
      <c r="M532" s="36"/>
      <c r="N532" s="36"/>
      <c r="O532" s="36"/>
      <c r="P532" s="36"/>
      <c r="Q532" s="36"/>
      <c r="R532" s="36"/>
      <c r="S532" s="36"/>
      <c r="T532" s="36"/>
    </row>
    <row r="533" spans="1:20" ht="15.75">
      <c r="A533" s="13">
        <v>57741</v>
      </c>
      <c r="B533" s="44">
        <v>31</v>
      </c>
      <c r="C533" s="35">
        <v>122.58</v>
      </c>
      <c r="D533" s="35">
        <v>297.94099999999997</v>
      </c>
      <c r="E533" s="41">
        <v>729.47900000000004</v>
      </c>
      <c r="F533" s="35">
        <v>1150</v>
      </c>
      <c r="G533" s="35">
        <v>100</v>
      </c>
      <c r="H533" s="43">
        <v>600</v>
      </c>
      <c r="I533" s="35">
        <v>695</v>
      </c>
      <c r="J533" s="35">
        <v>50</v>
      </c>
      <c r="K533" s="36"/>
      <c r="L533" s="36"/>
      <c r="M533" s="36"/>
      <c r="N533" s="36"/>
      <c r="O533" s="36"/>
      <c r="P533" s="36"/>
      <c r="Q533" s="36"/>
      <c r="R533" s="36"/>
      <c r="S533" s="36"/>
      <c r="T533" s="36"/>
    </row>
    <row r="534" spans="1:20" ht="15.75">
      <c r="A534" s="13">
        <v>57769</v>
      </c>
      <c r="B534" s="44">
        <v>28</v>
      </c>
      <c r="C534" s="35">
        <v>122.58</v>
      </c>
      <c r="D534" s="35">
        <v>297.94099999999997</v>
      </c>
      <c r="E534" s="41">
        <v>729.47900000000004</v>
      </c>
      <c r="F534" s="35">
        <v>1150</v>
      </c>
      <c r="G534" s="35">
        <v>100</v>
      </c>
      <c r="H534" s="43">
        <v>600</v>
      </c>
      <c r="I534" s="35">
        <v>695</v>
      </c>
      <c r="J534" s="35">
        <v>50</v>
      </c>
      <c r="K534" s="36"/>
      <c r="L534" s="36"/>
      <c r="M534" s="36"/>
      <c r="N534" s="36"/>
      <c r="O534" s="36"/>
      <c r="P534" s="36"/>
      <c r="Q534" s="36"/>
      <c r="R534" s="36"/>
      <c r="S534" s="36"/>
      <c r="T534" s="36"/>
    </row>
    <row r="535" spans="1:20" ht="15.75">
      <c r="A535" s="13">
        <v>57800</v>
      </c>
      <c r="B535" s="44">
        <v>31</v>
      </c>
      <c r="C535" s="35">
        <v>122.58</v>
      </c>
      <c r="D535" s="35">
        <v>297.94099999999997</v>
      </c>
      <c r="E535" s="41">
        <v>729.47900000000004</v>
      </c>
      <c r="F535" s="35">
        <v>1150</v>
      </c>
      <c r="G535" s="35">
        <v>100</v>
      </c>
      <c r="H535" s="43">
        <v>600</v>
      </c>
      <c r="I535" s="35">
        <v>695</v>
      </c>
      <c r="J535" s="35">
        <v>50</v>
      </c>
      <c r="K535" s="36"/>
      <c r="L535" s="36"/>
      <c r="M535" s="36"/>
      <c r="N535" s="36"/>
      <c r="O535" s="36"/>
      <c r="P535" s="36"/>
      <c r="Q535" s="36"/>
      <c r="R535" s="36"/>
      <c r="S535" s="36"/>
      <c r="T535" s="36"/>
    </row>
    <row r="536" spans="1:20" ht="15.75">
      <c r="A536" s="13">
        <v>57830</v>
      </c>
      <c r="B536" s="44">
        <v>30</v>
      </c>
      <c r="C536" s="35">
        <v>141.29300000000001</v>
      </c>
      <c r="D536" s="35">
        <v>267.99299999999999</v>
      </c>
      <c r="E536" s="41">
        <v>829.71400000000006</v>
      </c>
      <c r="F536" s="35">
        <v>1239</v>
      </c>
      <c r="G536" s="35">
        <v>100</v>
      </c>
      <c r="H536" s="43">
        <v>600</v>
      </c>
      <c r="I536" s="35">
        <v>695</v>
      </c>
      <c r="J536" s="35">
        <v>50</v>
      </c>
      <c r="K536" s="36"/>
      <c r="L536" s="36"/>
      <c r="M536" s="36"/>
      <c r="N536" s="36"/>
      <c r="O536" s="36"/>
      <c r="P536" s="36"/>
      <c r="Q536" s="36"/>
      <c r="R536" s="36"/>
      <c r="S536" s="36"/>
      <c r="T536" s="36"/>
    </row>
    <row r="537" spans="1:20" ht="15.75">
      <c r="A537" s="13">
        <v>57861</v>
      </c>
      <c r="B537" s="44">
        <v>31</v>
      </c>
      <c r="C537" s="35">
        <v>194.20500000000001</v>
      </c>
      <c r="D537" s="35">
        <v>267.46600000000001</v>
      </c>
      <c r="E537" s="41">
        <v>812.32899999999995</v>
      </c>
      <c r="F537" s="35">
        <v>1274</v>
      </c>
      <c r="G537" s="35">
        <v>75</v>
      </c>
      <c r="H537" s="43">
        <v>600</v>
      </c>
      <c r="I537" s="35">
        <v>695</v>
      </c>
      <c r="J537" s="35">
        <v>50</v>
      </c>
      <c r="K537" s="36"/>
      <c r="L537" s="36"/>
      <c r="M537" s="36"/>
      <c r="N537" s="36"/>
      <c r="O537" s="36"/>
      <c r="P537" s="36"/>
      <c r="Q537" s="36"/>
      <c r="R537" s="36"/>
      <c r="S537" s="36"/>
      <c r="T537" s="36"/>
    </row>
    <row r="538" spans="1:20" ht="15.75">
      <c r="A538" s="13">
        <v>57891</v>
      </c>
      <c r="B538" s="44">
        <v>30</v>
      </c>
      <c r="C538" s="35">
        <v>194.20500000000001</v>
      </c>
      <c r="D538" s="35">
        <v>267.46600000000001</v>
      </c>
      <c r="E538" s="41">
        <v>812.32899999999995</v>
      </c>
      <c r="F538" s="35">
        <v>1274</v>
      </c>
      <c r="G538" s="35">
        <v>50</v>
      </c>
      <c r="H538" s="43">
        <v>600</v>
      </c>
      <c r="I538" s="35">
        <v>695</v>
      </c>
      <c r="J538" s="35">
        <v>50</v>
      </c>
      <c r="K538" s="36"/>
      <c r="L538" s="36"/>
      <c r="M538" s="36"/>
      <c r="N538" s="36"/>
      <c r="O538" s="36"/>
      <c r="P538" s="36"/>
      <c r="Q538" s="36"/>
      <c r="R538" s="36"/>
      <c r="S538" s="36"/>
      <c r="T538" s="36"/>
    </row>
    <row r="539" spans="1:20" ht="15.75">
      <c r="A539" s="13">
        <v>57922</v>
      </c>
      <c r="B539" s="44">
        <v>31</v>
      </c>
      <c r="C539" s="35">
        <v>194.20500000000001</v>
      </c>
      <c r="D539" s="35">
        <v>267.46600000000001</v>
      </c>
      <c r="E539" s="41">
        <v>812.32899999999995</v>
      </c>
      <c r="F539" s="35">
        <v>1274</v>
      </c>
      <c r="G539" s="35">
        <v>50</v>
      </c>
      <c r="H539" s="43">
        <v>600</v>
      </c>
      <c r="I539" s="35">
        <v>695</v>
      </c>
      <c r="J539" s="35">
        <v>0</v>
      </c>
      <c r="K539" s="36"/>
      <c r="L539" s="36"/>
      <c r="M539" s="36"/>
      <c r="N539" s="36"/>
      <c r="O539" s="36"/>
      <c r="P539" s="36"/>
      <c r="Q539" s="36"/>
      <c r="R539" s="36"/>
      <c r="S539" s="36"/>
      <c r="T539" s="36"/>
    </row>
    <row r="540" spans="1:20" ht="15.75">
      <c r="A540" s="13">
        <v>57953</v>
      </c>
      <c r="B540" s="44">
        <v>31</v>
      </c>
      <c r="C540" s="35">
        <v>194.20500000000001</v>
      </c>
      <c r="D540" s="35">
        <v>267.46600000000001</v>
      </c>
      <c r="E540" s="41">
        <v>812.32899999999995</v>
      </c>
      <c r="F540" s="35">
        <v>1274</v>
      </c>
      <c r="G540" s="35">
        <v>50</v>
      </c>
      <c r="H540" s="43">
        <v>600</v>
      </c>
      <c r="I540" s="35">
        <v>695</v>
      </c>
      <c r="J540" s="35">
        <v>0</v>
      </c>
      <c r="K540" s="36"/>
      <c r="L540" s="36"/>
      <c r="M540" s="36"/>
      <c r="N540" s="36"/>
      <c r="O540" s="36"/>
      <c r="P540" s="36"/>
      <c r="Q540" s="36"/>
      <c r="R540" s="36"/>
      <c r="S540" s="36"/>
      <c r="T540" s="36"/>
    </row>
    <row r="541" spans="1:20" ht="15.75">
      <c r="A541" s="13">
        <v>57983</v>
      </c>
      <c r="B541" s="44">
        <v>30</v>
      </c>
      <c r="C541" s="35">
        <v>194.20500000000001</v>
      </c>
      <c r="D541" s="35">
        <v>267.46600000000001</v>
      </c>
      <c r="E541" s="41">
        <v>812.32899999999995</v>
      </c>
      <c r="F541" s="35">
        <v>1274</v>
      </c>
      <c r="G541" s="35">
        <v>50</v>
      </c>
      <c r="H541" s="43">
        <v>600</v>
      </c>
      <c r="I541" s="35">
        <v>695</v>
      </c>
      <c r="J541" s="35">
        <v>0</v>
      </c>
      <c r="K541" s="36"/>
      <c r="L541" s="36"/>
      <c r="M541" s="36"/>
      <c r="N541" s="36"/>
      <c r="O541" s="36"/>
      <c r="P541" s="36"/>
      <c r="Q541" s="36"/>
      <c r="R541" s="36"/>
      <c r="S541" s="36"/>
      <c r="T541" s="36"/>
    </row>
    <row r="542" spans="1:20" ht="15.75">
      <c r="A542" s="13">
        <v>58014</v>
      </c>
      <c r="B542" s="44">
        <v>31</v>
      </c>
      <c r="C542" s="35">
        <v>131.881</v>
      </c>
      <c r="D542" s="35">
        <v>277.16699999999997</v>
      </c>
      <c r="E542" s="41">
        <v>829.952</v>
      </c>
      <c r="F542" s="35">
        <v>1239</v>
      </c>
      <c r="G542" s="35">
        <v>75</v>
      </c>
      <c r="H542" s="43">
        <v>600</v>
      </c>
      <c r="I542" s="35">
        <v>695</v>
      </c>
      <c r="J542" s="35">
        <v>0</v>
      </c>
      <c r="K542" s="36"/>
      <c r="L542" s="36"/>
      <c r="M542" s="36"/>
      <c r="N542" s="36"/>
      <c r="O542" s="36"/>
      <c r="P542" s="36"/>
      <c r="Q542" s="36"/>
      <c r="R542" s="36"/>
      <c r="S542" s="36"/>
      <c r="T542" s="36"/>
    </row>
    <row r="543" spans="1:20" ht="15.75">
      <c r="A543" s="13">
        <v>58044</v>
      </c>
      <c r="B543" s="44">
        <v>30</v>
      </c>
      <c r="C543" s="35">
        <v>122.58</v>
      </c>
      <c r="D543" s="35">
        <v>297.94099999999997</v>
      </c>
      <c r="E543" s="41">
        <v>729.47900000000004</v>
      </c>
      <c r="F543" s="35">
        <v>1150</v>
      </c>
      <c r="G543" s="35">
        <v>100</v>
      </c>
      <c r="H543" s="43">
        <v>600</v>
      </c>
      <c r="I543" s="35">
        <v>695</v>
      </c>
      <c r="J543" s="35">
        <v>50</v>
      </c>
      <c r="K543" s="36"/>
      <c r="L543" s="36"/>
      <c r="M543" s="36"/>
      <c r="N543" s="36"/>
      <c r="O543" s="36"/>
      <c r="P543" s="36"/>
      <c r="Q543" s="36"/>
      <c r="R543" s="36"/>
      <c r="S543" s="36"/>
      <c r="T543" s="36"/>
    </row>
    <row r="544" spans="1:20" ht="15.75">
      <c r="A544" s="13">
        <v>58075</v>
      </c>
      <c r="B544" s="44">
        <v>31</v>
      </c>
      <c r="C544" s="35">
        <v>122.58</v>
      </c>
      <c r="D544" s="35">
        <v>297.94099999999997</v>
      </c>
      <c r="E544" s="41">
        <v>729.47900000000004</v>
      </c>
      <c r="F544" s="35">
        <v>1150</v>
      </c>
      <c r="G544" s="35">
        <v>100</v>
      </c>
      <c r="H544" s="43">
        <v>600</v>
      </c>
      <c r="I544" s="35">
        <v>695</v>
      </c>
      <c r="J544" s="35">
        <v>50</v>
      </c>
      <c r="K544" s="36"/>
      <c r="L544" s="36"/>
      <c r="M544" s="36"/>
      <c r="N544" s="36"/>
      <c r="O544" s="36"/>
      <c r="P544" s="36"/>
      <c r="Q544" s="36"/>
      <c r="R544" s="36"/>
      <c r="S544" s="36"/>
      <c r="T544" s="36"/>
    </row>
    <row r="545" spans="1:20" ht="15.75">
      <c r="A545" s="13">
        <v>58106</v>
      </c>
      <c r="B545" s="44">
        <v>31</v>
      </c>
      <c r="C545" s="35">
        <v>122.58</v>
      </c>
      <c r="D545" s="35">
        <v>297.94099999999997</v>
      </c>
      <c r="E545" s="41">
        <v>729.47900000000004</v>
      </c>
      <c r="F545" s="35">
        <v>1150</v>
      </c>
      <c r="G545" s="35">
        <v>100</v>
      </c>
      <c r="H545" s="43">
        <v>600</v>
      </c>
      <c r="I545" s="35">
        <v>695</v>
      </c>
      <c r="J545" s="35">
        <v>50</v>
      </c>
      <c r="K545" s="36"/>
      <c r="L545" s="36"/>
      <c r="M545" s="36"/>
      <c r="N545" s="36"/>
      <c r="O545" s="36"/>
      <c r="P545" s="36"/>
      <c r="Q545" s="36"/>
      <c r="R545" s="36"/>
      <c r="S545" s="36"/>
      <c r="T545" s="36"/>
    </row>
    <row r="546" spans="1:20" ht="15.75">
      <c r="A546" s="13">
        <v>58134</v>
      </c>
      <c r="B546" s="44">
        <v>28</v>
      </c>
      <c r="C546" s="35">
        <v>122.58</v>
      </c>
      <c r="D546" s="35">
        <v>297.94099999999997</v>
      </c>
      <c r="E546" s="41">
        <v>729.47900000000004</v>
      </c>
      <c r="F546" s="35">
        <v>1150</v>
      </c>
      <c r="G546" s="35">
        <v>100</v>
      </c>
      <c r="H546" s="43">
        <v>600</v>
      </c>
      <c r="I546" s="35">
        <v>695</v>
      </c>
      <c r="J546" s="35">
        <v>50</v>
      </c>
      <c r="K546" s="36"/>
      <c r="L546" s="36"/>
      <c r="M546" s="36"/>
      <c r="N546" s="36"/>
      <c r="O546" s="36"/>
      <c r="P546" s="36"/>
      <c r="Q546" s="36"/>
      <c r="R546" s="36"/>
      <c r="S546" s="36"/>
      <c r="T546" s="36"/>
    </row>
    <row r="547" spans="1:20" ht="15.75">
      <c r="A547" s="13">
        <v>58165</v>
      </c>
      <c r="B547" s="44">
        <v>31</v>
      </c>
      <c r="C547" s="35">
        <v>122.58</v>
      </c>
      <c r="D547" s="35">
        <v>297.94099999999997</v>
      </c>
      <c r="E547" s="41">
        <v>729.47900000000004</v>
      </c>
      <c r="F547" s="35">
        <v>1150</v>
      </c>
      <c r="G547" s="35">
        <v>100</v>
      </c>
      <c r="H547" s="43">
        <v>600</v>
      </c>
      <c r="I547" s="35">
        <v>695</v>
      </c>
      <c r="J547" s="35">
        <v>50</v>
      </c>
      <c r="K547" s="36"/>
      <c r="L547" s="36"/>
      <c r="M547" s="36"/>
      <c r="N547" s="36"/>
      <c r="O547" s="36"/>
      <c r="P547" s="36"/>
      <c r="Q547" s="36"/>
      <c r="R547" s="36"/>
      <c r="S547" s="36"/>
      <c r="T547" s="36"/>
    </row>
    <row r="548" spans="1:20" ht="15.75">
      <c r="A548" s="13">
        <v>58195</v>
      </c>
      <c r="B548" s="44">
        <v>30</v>
      </c>
      <c r="C548" s="35">
        <v>141.29300000000001</v>
      </c>
      <c r="D548" s="35">
        <v>267.99299999999999</v>
      </c>
      <c r="E548" s="41">
        <v>829.71400000000006</v>
      </c>
      <c r="F548" s="35">
        <v>1239</v>
      </c>
      <c r="G548" s="35">
        <v>100</v>
      </c>
      <c r="H548" s="43">
        <v>600</v>
      </c>
      <c r="I548" s="35">
        <v>695</v>
      </c>
      <c r="J548" s="35">
        <v>50</v>
      </c>
      <c r="K548" s="36"/>
      <c r="L548" s="36"/>
      <c r="M548" s="36"/>
      <c r="N548" s="36"/>
      <c r="O548" s="36"/>
      <c r="P548" s="36"/>
      <c r="Q548" s="36"/>
      <c r="R548" s="36"/>
      <c r="S548" s="36"/>
      <c r="T548" s="36"/>
    </row>
    <row r="549" spans="1:20" ht="15.75">
      <c r="A549" s="13">
        <v>58226</v>
      </c>
      <c r="B549" s="44">
        <v>31</v>
      </c>
      <c r="C549" s="35">
        <v>194.20500000000001</v>
      </c>
      <c r="D549" s="35">
        <v>267.46600000000001</v>
      </c>
      <c r="E549" s="41">
        <v>812.32899999999995</v>
      </c>
      <c r="F549" s="35">
        <v>1274</v>
      </c>
      <c r="G549" s="35">
        <v>75</v>
      </c>
      <c r="H549" s="43">
        <v>600</v>
      </c>
      <c r="I549" s="35">
        <v>695</v>
      </c>
      <c r="J549" s="35">
        <v>50</v>
      </c>
      <c r="K549" s="36"/>
      <c r="L549" s="36"/>
      <c r="M549" s="36"/>
      <c r="N549" s="36"/>
      <c r="O549" s="36"/>
      <c r="P549" s="36"/>
      <c r="Q549" s="36"/>
      <c r="R549" s="36"/>
      <c r="S549" s="36"/>
      <c r="T549" s="36"/>
    </row>
    <row r="550" spans="1:20" ht="15.75">
      <c r="A550" s="13">
        <v>58256</v>
      </c>
      <c r="B550" s="44">
        <v>30</v>
      </c>
      <c r="C550" s="35">
        <v>194.20500000000001</v>
      </c>
      <c r="D550" s="35">
        <v>267.46600000000001</v>
      </c>
      <c r="E550" s="41">
        <v>812.32899999999995</v>
      </c>
      <c r="F550" s="35">
        <v>1274</v>
      </c>
      <c r="G550" s="35">
        <v>50</v>
      </c>
      <c r="H550" s="43">
        <v>600</v>
      </c>
      <c r="I550" s="35">
        <v>695</v>
      </c>
      <c r="J550" s="35">
        <v>50</v>
      </c>
      <c r="K550" s="36"/>
      <c r="L550" s="36"/>
      <c r="M550" s="36"/>
      <c r="N550" s="36"/>
      <c r="O550" s="36"/>
      <c r="P550" s="36"/>
      <c r="Q550" s="36"/>
      <c r="R550" s="36"/>
      <c r="S550" s="36"/>
      <c r="T550" s="36"/>
    </row>
    <row r="551" spans="1:20" ht="15.75">
      <c r="A551" s="13">
        <v>58287</v>
      </c>
      <c r="B551" s="44">
        <v>31</v>
      </c>
      <c r="C551" s="35">
        <v>194.20500000000001</v>
      </c>
      <c r="D551" s="35">
        <v>267.46600000000001</v>
      </c>
      <c r="E551" s="41">
        <v>812.32899999999995</v>
      </c>
      <c r="F551" s="35">
        <v>1274</v>
      </c>
      <c r="G551" s="35">
        <v>50</v>
      </c>
      <c r="H551" s="43">
        <v>600</v>
      </c>
      <c r="I551" s="35">
        <v>695</v>
      </c>
      <c r="J551" s="35">
        <v>0</v>
      </c>
      <c r="K551" s="36"/>
      <c r="L551" s="36"/>
      <c r="M551" s="36"/>
      <c r="N551" s="36"/>
      <c r="O551" s="36"/>
      <c r="P551" s="36"/>
      <c r="Q551" s="36"/>
      <c r="R551" s="36"/>
      <c r="S551" s="36"/>
      <c r="T551" s="36"/>
    </row>
    <row r="552" spans="1:20" ht="15.75">
      <c r="A552" s="13">
        <v>58318</v>
      </c>
      <c r="B552" s="44">
        <v>31</v>
      </c>
      <c r="C552" s="35">
        <v>194.20500000000001</v>
      </c>
      <c r="D552" s="35">
        <v>267.46600000000001</v>
      </c>
      <c r="E552" s="41">
        <v>812.32899999999995</v>
      </c>
      <c r="F552" s="35">
        <v>1274</v>
      </c>
      <c r="G552" s="35">
        <v>50</v>
      </c>
      <c r="H552" s="43">
        <v>600</v>
      </c>
      <c r="I552" s="35">
        <v>695</v>
      </c>
      <c r="J552" s="35">
        <v>0</v>
      </c>
      <c r="K552" s="36"/>
      <c r="L552" s="36"/>
      <c r="M552" s="36"/>
      <c r="N552" s="36"/>
      <c r="O552" s="36"/>
      <c r="P552" s="36"/>
      <c r="Q552" s="36"/>
      <c r="R552" s="36"/>
      <c r="S552" s="36"/>
      <c r="T552" s="36"/>
    </row>
    <row r="553" spans="1:20" ht="15.75">
      <c r="A553" s="13">
        <v>58348</v>
      </c>
      <c r="B553" s="44">
        <v>30</v>
      </c>
      <c r="C553" s="35">
        <v>194.20500000000001</v>
      </c>
      <c r="D553" s="35">
        <v>267.46600000000001</v>
      </c>
      <c r="E553" s="41">
        <v>812.32899999999995</v>
      </c>
      <c r="F553" s="35">
        <v>1274</v>
      </c>
      <c r="G553" s="35">
        <v>50</v>
      </c>
      <c r="H553" s="43">
        <v>600</v>
      </c>
      <c r="I553" s="35">
        <v>695</v>
      </c>
      <c r="J553" s="35">
        <v>0</v>
      </c>
      <c r="K553" s="36"/>
      <c r="L553" s="36"/>
      <c r="M553" s="36"/>
      <c r="N553" s="36"/>
      <c r="O553" s="36"/>
      <c r="P553" s="36"/>
      <c r="Q553" s="36"/>
      <c r="R553" s="36"/>
      <c r="S553" s="36"/>
      <c r="T553" s="36"/>
    </row>
    <row r="554" spans="1:20" ht="15.75">
      <c r="A554" s="13">
        <v>58379</v>
      </c>
      <c r="B554" s="44">
        <v>31</v>
      </c>
      <c r="C554" s="35">
        <v>131.881</v>
      </c>
      <c r="D554" s="35">
        <v>277.16699999999997</v>
      </c>
      <c r="E554" s="41">
        <v>829.952</v>
      </c>
      <c r="F554" s="35">
        <v>1239</v>
      </c>
      <c r="G554" s="35">
        <v>75</v>
      </c>
      <c r="H554" s="43">
        <v>600</v>
      </c>
      <c r="I554" s="35">
        <v>695</v>
      </c>
      <c r="J554" s="35">
        <v>0</v>
      </c>
      <c r="K554" s="36"/>
      <c r="L554" s="36"/>
      <c r="M554" s="36"/>
      <c r="N554" s="36"/>
      <c r="O554" s="36"/>
      <c r="P554" s="36"/>
      <c r="Q554" s="36"/>
      <c r="R554" s="36"/>
      <c r="S554" s="36"/>
      <c r="T554" s="36"/>
    </row>
    <row r="555" spans="1:20" ht="15.75">
      <c r="A555" s="13">
        <v>58409</v>
      </c>
      <c r="B555" s="44">
        <v>30</v>
      </c>
      <c r="C555" s="35">
        <v>122.58</v>
      </c>
      <c r="D555" s="35">
        <v>297.94099999999997</v>
      </c>
      <c r="E555" s="41">
        <v>729.47900000000004</v>
      </c>
      <c r="F555" s="35">
        <v>1150</v>
      </c>
      <c r="G555" s="35">
        <v>100</v>
      </c>
      <c r="H555" s="43">
        <v>600</v>
      </c>
      <c r="I555" s="35">
        <v>695</v>
      </c>
      <c r="J555" s="35">
        <v>50</v>
      </c>
      <c r="K555" s="36"/>
      <c r="L555" s="36"/>
      <c r="M555" s="36"/>
      <c r="N555" s="36"/>
      <c r="O555" s="36"/>
      <c r="P555" s="36"/>
      <c r="Q555" s="36"/>
      <c r="R555" s="36"/>
      <c r="S555" s="36"/>
      <c r="T555" s="36"/>
    </row>
    <row r="556" spans="1:20" ht="15.75">
      <c r="A556" s="13">
        <v>58440</v>
      </c>
      <c r="B556" s="44">
        <v>31</v>
      </c>
      <c r="C556" s="35">
        <v>122.58</v>
      </c>
      <c r="D556" s="35">
        <v>297.94099999999997</v>
      </c>
      <c r="E556" s="41">
        <v>729.47900000000004</v>
      </c>
      <c r="F556" s="35">
        <v>1150</v>
      </c>
      <c r="G556" s="35">
        <v>100</v>
      </c>
      <c r="H556" s="43">
        <v>600</v>
      </c>
      <c r="I556" s="35">
        <v>695</v>
      </c>
      <c r="J556" s="35">
        <v>50</v>
      </c>
      <c r="K556" s="36"/>
      <c r="L556" s="36"/>
      <c r="M556" s="36"/>
      <c r="N556" s="36"/>
      <c r="O556" s="36"/>
      <c r="P556" s="36"/>
      <c r="Q556" s="36"/>
      <c r="R556" s="36"/>
      <c r="S556" s="36"/>
      <c r="T556" s="36"/>
    </row>
    <row r="557" spans="1:20" ht="15.75">
      <c r="A557" s="13">
        <v>58471</v>
      </c>
      <c r="B557" s="44">
        <v>31</v>
      </c>
      <c r="C557" s="35">
        <v>122.58</v>
      </c>
      <c r="D557" s="35">
        <v>297.94099999999997</v>
      </c>
      <c r="E557" s="41">
        <v>729.47900000000004</v>
      </c>
      <c r="F557" s="35">
        <v>1150</v>
      </c>
      <c r="G557" s="35">
        <v>100</v>
      </c>
      <c r="H557" s="43">
        <v>600</v>
      </c>
      <c r="I557" s="35">
        <v>695</v>
      </c>
      <c r="J557" s="35">
        <v>50</v>
      </c>
      <c r="K557" s="36"/>
      <c r="L557" s="36"/>
      <c r="M557" s="36"/>
      <c r="N557" s="36"/>
      <c r="O557" s="36"/>
      <c r="P557" s="36"/>
      <c r="Q557" s="36"/>
      <c r="R557" s="36"/>
      <c r="S557" s="36"/>
      <c r="T557" s="36"/>
    </row>
    <row r="558" spans="1:20" ht="15.75">
      <c r="A558" s="13">
        <v>58499</v>
      </c>
      <c r="B558" s="44">
        <v>29</v>
      </c>
      <c r="C558" s="35">
        <v>122.58</v>
      </c>
      <c r="D558" s="35">
        <v>297.94099999999997</v>
      </c>
      <c r="E558" s="41">
        <v>729.47900000000004</v>
      </c>
      <c r="F558" s="35">
        <v>1150</v>
      </c>
      <c r="G558" s="35">
        <v>100</v>
      </c>
      <c r="H558" s="43">
        <v>600</v>
      </c>
      <c r="I558" s="35">
        <v>695</v>
      </c>
      <c r="J558" s="35">
        <v>50</v>
      </c>
      <c r="K558" s="36"/>
      <c r="L558" s="36"/>
      <c r="M558" s="36"/>
      <c r="N558" s="36"/>
      <c r="O558" s="36"/>
      <c r="P558" s="36"/>
      <c r="Q558" s="36"/>
      <c r="R558" s="36"/>
      <c r="S558" s="36"/>
      <c r="T558" s="36"/>
    </row>
    <row r="559" spans="1:20" ht="15.75">
      <c r="A559" s="13">
        <v>58531</v>
      </c>
      <c r="B559" s="44">
        <v>31</v>
      </c>
      <c r="C559" s="35">
        <v>122.58</v>
      </c>
      <c r="D559" s="35">
        <v>297.94099999999997</v>
      </c>
      <c r="E559" s="41">
        <v>729.47900000000004</v>
      </c>
      <c r="F559" s="35">
        <v>1150</v>
      </c>
      <c r="G559" s="35">
        <v>100</v>
      </c>
      <c r="H559" s="43">
        <v>600</v>
      </c>
      <c r="I559" s="35">
        <v>695</v>
      </c>
      <c r="J559" s="35">
        <v>50</v>
      </c>
      <c r="K559" s="36"/>
      <c r="L559" s="36"/>
      <c r="M559" s="36"/>
      <c r="N559" s="36"/>
      <c r="O559" s="36"/>
      <c r="P559" s="36"/>
      <c r="Q559" s="36"/>
      <c r="R559" s="36"/>
      <c r="S559" s="36"/>
      <c r="T559" s="36"/>
    </row>
    <row r="560" spans="1:20" ht="15.75">
      <c r="A560" s="13">
        <v>58561</v>
      </c>
      <c r="B560" s="44">
        <v>30</v>
      </c>
      <c r="C560" s="35">
        <v>141.29300000000001</v>
      </c>
      <c r="D560" s="35">
        <v>267.99299999999999</v>
      </c>
      <c r="E560" s="41">
        <v>829.71400000000006</v>
      </c>
      <c r="F560" s="35">
        <v>1239</v>
      </c>
      <c r="G560" s="35">
        <v>100</v>
      </c>
      <c r="H560" s="43">
        <v>600</v>
      </c>
      <c r="I560" s="35">
        <v>695</v>
      </c>
      <c r="J560" s="35">
        <v>50</v>
      </c>
      <c r="K560" s="36"/>
      <c r="L560" s="36"/>
      <c r="M560" s="36"/>
      <c r="N560" s="36"/>
      <c r="O560" s="36"/>
      <c r="P560" s="36"/>
      <c r="Q560" s="36"/>
      <c r="R560" s="36"/>
      <c r="S560" s="36"/>
      <c r="T560" s="36"/>
    </row>
    <row r="561" spans="1:20" ht="15.75">
      <c r="A561" s="13">
        <v>58592</v>
      </c>
      <c r="B561" s="44">
        <v>31</v>
      </c>
      <c r="C561" s="35">
        <v>194.20500000000001</v>
      </c>
      <c r="D561" s="35">
        <v>267.46600000000001</v>
      </c>
      <c r="E561" s="41">
        <v>812.32899999999995</v>
      </c>
      <c r="F561" s="35">
        <v>1274</v>
      </c>
      <c r="G561" s="35">
        <v>75</v>
      </c>
      <c r="H561" s="43">
        <v>600</v>
      </c>
      <c r="I561" s="35">
        <v>695</v>
      </c>
      <c r="J561" s="35">
        <v>50</v>
      </c>
      <c r="K561" s="36"/>
      <c r="L561" s="36"/>
      <c r="M561" s="36"/>
      <c r="N561" s="36"/>
      <c r="O561" s="36"/>
      <c r="P561" s="36"/>
      <c r="Q561" s="36"/>
      <c r="R561" s="36"/>
      <c r="S561" s="36"/>
      <c r="T561" s="36"/>
    </row>
    <row r="562" spans="1:20" ht="15.75">
      <c r="A562" s="13">
        <v>58622</v>
      </c>
      <c r="B562" s="44">
        <v>30</v>
      </c>
      <c r="C562" s="35">
        <v>194.20500000000001</v>
      </c>
      <c r="D562" s="35">
        <v>267.46600000000001</v>
      </c>
      <c r="E562" s="41">
        <v>812.32899999999995</v>
      </c>
      <c r="F562" s="35">
        <v>1274</v>
      </c>
      <c r="G562" s="35">
        <v>50</v>
      </c>
      <c r="H562" s="43">
        <v>600</v>
      </c>
      <c r="I562" s="35">
        <v>695</v>
      </c>
      <c r="J562" s="35">
        <v>50</v>
      </c>
      <c r="K562" s="36"/>
      <c r="L562" s="36"/>
      <c r="M562" s="36"/>
      <c r="N562" s="36"/>
      <c r="O562" s="36"/>
      <c r="P562" s="36"/>
      <c r="Q562" s="36"/>
      <c r="R562" s="36"/>
      <c r="S562" s="36"/>
      <c r="T562" s="36"/>
    </row>
    <row r="563" spans="1:20" ht="15.75">
      <c r="A563" s="13">
        <v>58653</v>
      </c>
      <c r="B563" s="44">
        <v>31</v>
      </c>
      <c r="C563" s="35">
        <v>194.20500000000001</v>
      </c>
      <c r="D563" s="35">
        <v>267.46600000000001</v>
      </c>
      <c r="E563" s="41">
        <v>812.32899999999995</v>
      </c>
      <c r="F563" s="35">
        <v>1274</v>
      </c>
      <c r="G563" s="35">
        <v>50</v>
      </c>
      <c r="H563" s="43">
        <v>600</v>
      </c>
      <c r="I563" s="35">
        <v>695</v>
      </c>
      <c r="J563" s="35">
        <v>0</v>
      </c>
      <c r="K563" s="36"/>
      <c r="L563" s="36"/>
      <c r="M563" s="36"/>
      <c r="N563" s="36"/>
      <c r="O563" s="36"/>
      <c r="P563" s="36"/>
      <c r="Q563" s="36"/>
      <c r="R563" s="36"/>
      <c r="S563" s="36"/>
      <c r="T563" s="36"/>
    </row>
    <row r="564" spans="1:20" ht="15.75">
      <c r="A564" s="13">
        <v>58684</v>
      </c>
      <c r="B564" s="44">
        <v>31</v>
      </c>
      <c r="C564" s="35">
        <v>194.20500000000001</v>
      </c>
      <c r="D564" s="35">
        <v>267.46600000000001</v>
      </c>
      <c r="E564" s="41">
        <v>812.32899999999995</v>
      </c>
      <c r="F564" s="35">
        <v>1274</v>
      </c>
      <c r="G564" s="35">
        <v>50</v>
      </c>
      <c r="H564" s="43">
        <v>600</v>
      </c>
      <c r="I564" s="35">
        <v>695</v>
      </c>
      <c r="J564" s="35">
        <v>0</v>
      </c>
      <c r="K564" s="36"/>
      <c r="L564" s="36"/>
      <c r="M564" s="36"/>
      <c r="N564" s="36"/>
      <c r="O564" s="36"/>
      <c r="P564" s="36"/>
      <c r="Q564" s="36"/>
      <c r="R564" s="36"/>
      <c r="S564" s="36"/>
      <c r="T564" s="36"/>
    </row>
    <row r="565" spans="1:20" ht="15.75">
      <c r="A565" s="13">
        <v>58714</v>
      </c>
      <c r="B565" s="44">
        <v>30</v>
      </c>
      <c r="C565" s="35">
        <v>194.20500000000001</v>
      </c>
      <c r="D565" s="35">
        <v>267.46600000000001</v>
      </c>
      <c r="E565" s="41">
        <v>812.32899999999995</v>
      </c>
      <c r="F565" s="35">
        <v>1274</v>
      </c>
      <c r="G565" s="35">
        <v>50</v>
      </c>
      <c r="H565" s="43">
        <v>600</v>
      </c>
      <c r="I565" s="35">
        <v>695</v>
      </c>
      <c r="J565" s="35">
        <v>0</v>
      </c>
      <c r="K565" s="36"/>
      <c r="L565" s="36"/>
      <c r="M565" s="36"/>
      <c r="N565" s="36"/>
      <c r="O565" s="36"/>
      <c r="P565" s="36"/>
      <c r="Q565" s="36"/>
      <c r="R565" s="36"/>
      <c r="S565" s="36"/>
      <c r="T565" s="36"/>
    </row>
    <row r="566" spans="1:20" ht="15.75">
      <c r="A566" s="13">
        <v>58745</v>
      </c>
      <c r="B566" s="44">
        <v>31</v>
      </c>
      <c r="C566" s="35">
        <v>131.881</v>
      </c>
      <c r="D566" s="35">
        <v>277.16699999999997</v>
      </c>
      <c r="E566" s="41">
        <v>829.952</v>
      </c>
      <c r="F566" s="35">
        <v>1239</v>
      </c>
      <c r="G566" s="35">
        <v>75</v>
      </c>
      <c r="H566" s="43">
        <v>600</v>
      </c>
      <c r="I566" s="35">
        <v>695</v>
      </c>
      <c r="J566" s="35">
        <v>0</v>
      </c>
      <c r="K566" s="36"/>
      <c r="L566" s="36"/>
      <c r="M566" s="36"/>
      <c r="N566" s="36"/>
      <c r="O566" s="36"/>
      <c r="P566" s="36"/>
      <c r="Q566" s="36"/>
      <c r="R566" s="36"/>
      <c r="S566" s="36"/>
      <c r="T566" s="36"/>
    </row>
    <row r="567" spans="1:20" ht="15.75">
      <c r="A567" s="13">
        <v>58775</v>
      </c>
      <c r="B567" s="44">
        <v>30</v>
      </c>
      <c r="C567" s="35">
        <v>122.58</v>
      </c>
      <c r="D567" s="35">
        <v>297.94099999999997</v>
      </c>
      <c r="E567" s="41">
        <v>729.47900000000004</v>
      </c>
      <c r="F567" s="35">
        <v>1150</v>
      </c>
      <c r="G567" s="35">
        <v>100</v>
      </c>
      <c r="H567" s="43">
        <v>600</v>
      </c>
      <c r="I567" s="35">
        <v>695</v>
      </c>
      <c r="J567" s="35">
        <v>50</v>
      </c>
      <c r="K567" s="36"/>
      <c r="L567" s="36"/>
      <c r="M567" s="36"/>
      <c r="N567" s="36"/>
      <c r="O567" s="36"/>
      <c r="P567" s="36"/>
      <c r="Q567" s="36"/>
      <c r="R567" s="36"/>
      <c r="S567" s="36"/>
      <c r="T567" s="36"/>
    </row>
    <row r="568" spans="1:20" ht="15.75">
      <c r="A568" s="13">
        <v>58806</v>
      </c>
      <c r="B568" s="44">
        <v>31</v>
      </c>
      <c r="C568" s="35">
        <v>122.58</v>
      </c>
      <c r="D568" s="35">
        <v>297.94099999999997</v>
      </c>
      <c r="E568" s="41">
        <v>729.47900000000004</v>
      </c>
      <c r="F568" s="35">
        <v>1150</v>
      </c>
      <c r="G568" s="35">
        <v>100</v>
      </c>
      <c r="H568" s="43">
        <v>600</v>
      </c>
      <c r="I568" s="35">
        <v>695</v>
      </c>
      <c r="J568" s="35">
        <v>50</v>
      </c>
      <c r="K568" s="36"/>
      <c r="L568" s="36"/>
      <c r="M568" s="36"/>
      <c r="N568" s="36"/>
      <c r="O568" s="36"/>
      <c r="P568" s="36"/>
      <c r="Q568" s="36"/>
      <c r="R568" s="36"/>
      <c r="S568" s="36"/>
      <c r="T568" s="36"/>
    </row>
    <row r="569" spans="1:20" ht="15.75">
      <c r="A569" s="13">
        <v>58837</v>
      </c>
      <c r="B569" s="44">
        <v>31</v>
      </c>
      <c r="C569" s="35">
        <v>122.58</v>
      </c>
      <c r="D569" s="35">
        <v>297.94099999999997</v>
      </c>
      <c r="E569" s="41">
        <v>729.47900000000004</v>
      </c>
      <c r="F569" s="35">
        <v>1150</v>
      </c>
      <c r="G569" s="35">
        <v>100</v>
      </c>
      <c r="H569" s="43">
        <v>600</v>
      </c>
      <c r="I569" s="35">
        <v>695</v>
      </c>
      <c r="J569" s="35">
        <v>50</v>
      </c>
      <c r="K569" s="36"/>
      <c r="L569" s="36"/>
      <c r="M569" s="36"/>
      <c r="N569" s="36"/>
      <c r="O569" s="36"/>
      <c r="P569" s="36"/>
      <c r="Q569" s="36"/>
      <c r="R569" s="36"/>
      <c r="S569" s="36"/>
      <c r="T569" s="36"/>
    </row>
    <row r="570" spans="1:20" ht="15.75">
      <c r="A570" s="13">
        <v>58865</v>
      </c>
      <c r="B570" s="44">
        <v>28</v>
      </c>
      <c r="C570" s="35">
        <v>122.58</v>
      </c>
      <c r="D570" s="35">
        <v>297.94099999999997</v>
      </c>
      <c r="E570" s="41">
        <v>729.47900000000004</v>
      </c>
      <c r="F570" s="35">
        <v>1150</v>
      </c>
      <c r="G570" s="35">
        <v>100</v>
      </c>
      <c r="H570" s="43">
        <v>600</v>
      </c>
      <c r="I570" s="35">
        <v>695</v>
      </c>
      <c r="J570" s="35">
        <v>50</v>
      </c>
      <c r="K570" s="36"/>
      <c r="L570" s="36"/>
      <c r="M570" s="36"/>
      <c r="N570" s="36"/>
      <c r="O570" s="36"/>
      <c r="P570" s="36"/>
      <c r="Q570" s="36"/>
      <c r="R570" s="36"/>
      <c r="S570" s="36"/>
      <c r="T570" s="36"/>
    </row>
    <row r="571" spans="1:20" ht="15.75">
      <c r="A571" s="13">
        <v>58893</v>
      </c>
      <c r="B571" s="44">
        <v>31</v>
      </c>
      <c r="C571" s="35">
        <v>122.58</v>
      </c>
      <c r="D571" s="35">
        <v>297.94099999999997</v>
      </c>
      <c r="E571" s="41">
        <v>729.47900000000004</v>
      </c>
      <c r="F571" s="35">
        <v>1150</v>
      </c>
      <c r="G571" s="35">
        <v>100</v>
      </c>
      <c r="H571" s="43">
        <v>600</v>
      </c>
      <c r="I571" s="35">
        <v>695</v>
      </c>
      <c r="J571" s="35">
        <v>50</v>
      </c>
      <c r="K571" s="36"/>
      <c r="L571" s="36"/>
      <c r="M571" s="36"/>
      <c r="N571" s="36"/>
      <c r="O571" s="36"/>
      <c r="P571" s="36"/>
      <c r="Q571" s="36"/>
      <c r="R571" s="36"/>
      <c r="S571" s="36"/>
      <c r="T571" s="36"/>
    </row>
    <row r="572" spans="1:20" ht="15.75">
      <c r="A572" s="13">
        <v>58926</v>
      </c>
      <c r="B572" s="44">
        <v>30</v>
      </c>
      <c r="C572" s="35">
        <v>141.29300000000001</v>
      </c>
      <c r="D572" s="35">
        <v>267.99299999999999</v>
      </c>
      <c r="E572" s="41">
        <v>829.71400000000006</v>
      </c>
      <c r="F572" s="35">
        <v>1239</v>
      </c>
      <c r="G572" s="35">
        <v>100</v>
      </c>
      <c r="H572" s="43">
        <v>600</v>
      </c>
      <c r="I572" s="35">
        <v>695</v>
      </c>
      <c r="J572" s="35">
        <v>50</v>
      </c>
      <c r="K572" s="36"/>
      <c r="L572" s="36"/>
      <c r="M572" s="36"/>
      <c r="N572" s="36"/>
      <c r="O572" s="36"/>
      <c r="P572" s="36"/>
      <c r="Q572" s="36"/>
      <c r="R572" s="36"/>
      <c r="S572" s="36"/>
      <c r="T572" s="36"/>
    </row>
    <row r="573" spans="1:20" ht="15.75">
      <c r="A573" s="13">
        <v>58957</v>
      </c>
      <c r="B573" s="44">
        <v>31</v>
      </c>
      <c r="C573" s="35">
        <v>194.20500000000001</v>
      </c>
      <c r="D573" s="35">
        <v>267.46600000000001</v>
      </c>
      <c r="E573" s="41">
        <v>812.32899999999995</v>
      </c>
      <c r="F573" s="35">
        <v>1274</v>
      </c>
      <c r="G573" s="35">
        <v>75</v>
      </c>
      <c r="H573" s="43">
        <v>600</v>
      </c>
      <c r="I573" s="35">
        <v>695</v>
      </c>
      <c r="J573" s="35">
        <v>50</v>
      </c>
      <c r="K573" s="36"/>
      <c r="L573" s="36"/>
      <c r="M573" s="36"/>
      <c r="N573" s="36"/>
      <c r="O573" s="36"/>
      <c r="P573" s="36"/>
      <c r="Q573" s="36"/>
      <c r="R573" s="36"/>
      <c r="S573" s="36"/>
      <c r="T573" s="36"/>
    </row>
    <row r="574" spans="1:20" ht="15.75">
      <c r="A574" s="13">
        <v>58987</v>
      </c>
      <c r="B574" s="44">
        <v>30</v>
      </c>
      <c r="C574" s="35">
        <v>194.20500000000001</v>
      </c>
      <c r="D574" s="35">
        <v>267.46600000000001</v>
      </c>
      <c r="E574" s="41">
        <v>812.32899999999995</v>
      </c>
      <c r="F574" s="35">
        <v>1274</v>
      </c>
      <c r="G574" s="35">
        <v>50</v>
      </c>
      <c r="H574" s="43">
        <v>600</v>
      </c>
      <c r="I574" s="35">
        <v>695</v>
      </c>
      <c r="J574" s="35">
        <v>50</v>
      </c>
      <c r="K574" s="36"/>
      <c r="L574" s="36"/>
      <c r="M574" s="36"/>
      <c r="N574" s="36"/>
      <c r="O574" s="36"/>
      <c r="P574" s="36"/>
      <c r="Q574" s="36"/>
      <c r="R574" s="36"/>
      <c r="S574" s="36"/>
      <c r="T574" s="36"/>
    </row>
    <row r="575" spans="1:20" ht="15.75">
      <c r="A575" s="13">
        <v>59018</v>
      </c>
      <c r="B575" s="44">
        <v>31</v>
      </c>
      <c r="C575" s="35">
        <v>194.20500000000001</v>
      </c>
      <c r="D575" s="35">
        <v>267.46600000000001</v>
      </c>
      <c r="E575" s="41">
        <v>812.32899999999995</v>
      </c>
      <c r="F575" s="35">
        <v>1274</v>
      </c>
      <c r="G575" s="35">
        <v>50</v>
      </c>
      <c r="H575" s="43">
        <v>600</v>
      </c>
      <c r="I575" s="35">
        <v>695</v>
      </c>
      <c r="J575" s="35">
        <v>0</v>
      </c>
      <c r="K575" s="36"/>
      <c r="L575" s="36"/>
      <c r="M575" s="36"/>
      <c r="N575" s="36"/>
      <c r="O575" s="36"/>
      <c r="P575" s="36"/>
      <c r="Q575" s="36"/>
      <c r="R575" s="36"/>
      <c r="S575" s="36"/>
      <c r="T575" s="36"/>
    </row>
    <row r="576" spans="1:20" ht="15.75">
      <c r="A576" s="13">
        <v>59049</v>
      </c>
      <c r="B576" s="44">
        <v>31</v>
      </c>
      <c r="C576" s="35">
        <v>194.20500000000001</v>
      </c>
      <c r="D576" s="35">
        <v>267.46600000000001</v>
      </c>
      <c r="E576" s="41">
        <v>812.32899999999995</v>
      </c>
      <c r="F576" s="35">
        <v>1274</v>
      </c>
      <c r="G576" s="35">
        <v>50</v>
      </c>
      <c r="H576" s="43">
        <v>600</v>
      </c>
      <c r="I576" s="35">
        <v>695</v>
      </c>
      <c r="J576" s="35">
        <v>0</v>
      </c>
      <c r="K576" s="36"/>
      <c r="L576" s="36"/>
      <c r="M576" s="36"/>
      <c r="N576" s="36"/>
      <c r="O576" s="36"/>
      <c r="P576" s="36"/>
      <c r="Q576" s="36"/>
      <c r="R576" s="36"/>
      <c r="S576" s="36"/>
      <c r="T576" s="36"/>
    </row>
    <row r="577" spans="1:20" ht="15.75">
      <c r="A577" s="13">
        <v>59079</v>
      </c>
      <c r="B577" s="44">
        <v>30</v>
      </c>
      <c r="C577" s="35">
        <v>194.20500000000001</v>
      </c>
      <c r="D577" s="35">
        <v>267.46600000000001</v>
      </c>
      <c r="E577" s="41">
        <v>812.32899999999995</v>
      </c>
      <c r="F577" s="35">
        <v>1274</v>
      </c>
      <c r="G577" s="35">
        <v>50</v>
      </c>
      <c r="H577" s="43">
        <v>600</v>
      </c>
      <c r="I577" s="35">
        <v>695</v>
      </c>
      <c r="J577" s="35">
        <v>0</v>
      </c>
      <c r="K577" s="36"/>
      <c r="L577" s="36"/>
      <c r="M577" s="36"/>
      <c r="N577" s="36"/>
      <c r="O577" s="36"/>
      <c r="P577" s="36"/>
      <c r="Q577" s="36"/>
      <c r="R577" s="36"/>
      <c r="S577" s="36"/>
      <c r="T577" s="36"/>
    </row>
    <row r="578" spans="1:20" ht="15.75">
      <c r="A578" s="13">
        <v>59110</v>
      </c>
      <c r="B578" s="44">
        <v>31</v>
      </c>
      <c r="C578" s="35">
        <v>131.881</v>
      </c>
      <c r="D578" s="35">
        <v>277.16699999999997</v>
      </c>
      <c r="E578" s="41">
        <v>829.952</v>
      </c>
      <c r="F578" s="35">
        <v>1239</v>
      </c>
      <c r="G578" s="35">
        <v>75</v>
      </c>
      <c r="H578" s="43">
        <v>600</v>
      </c>
      <c r="I578" s="35">
        <v>695</v>
      </c>
      <c r="J578" s="35">
        <v>0</v>
      </c>
      <c r="K578" s="36"/>
      <c r="L578" s="36"/>
      <c r="M578" s="36"/>
      <c r="N578" s="36"/>
      <c r="O578" s="36"/>
      <c r="P578" s="36"/>
      <c r="Q578" s="36"/>
      <c r="R578" s="36"/>
      <c r="S578" s="36"/>
      <c r="T578" s="36"/>
    </row>
    <row r="579" spans="1:20" ht="15.75">
      <c r="A579" s="13">
        <v>59140</v>
      </c>
      <c r="B579" s="44">
        <v>30</v>
      </c>
      <c r="C579" s="35">
        <v>122.58</v>
      </c>
      <c r="D579" s="35">
        <v>297.94099999999997</v>
      </c>
      <c r="E579" s="41">
        <v>729.47900000000004</v>
      </c>
      <c r="F579" s="35">
        <v>1150</v>
      </c>
      <c r="G579" s="35">
        <v>100</v>
      </c>
      <c r="H579" s="43">
        <v>600</v>
      </c>
      <c r="I579" s="35">
        <v>695</v>
      </c>
      <c r="J579" s="35">
        <v>50</v>
      </c>
      <c r="K579" s="36"/>
      <c r="L579" s="36"/>
      <c r="M579" s="36"/>
      <c r="N579" s="36"/>
      <c r="O579" s="36"/>
      <c r="P579" s="36"/>
      <c r="Q579" s="36"/>
      <c r="R579" s="36"/>
      <c r="S579" s="36"/>
      <c r="T579" s="36"/>
    </row>
    <row r="580" spans="1:20" ht="15.75">
      <c r="A580" s="13">
        <v>59171</v>
      </c>
      <c r="B580" s="44">
        <v>31</v>
      </c>
      <c r="C580" s="35">
        <v>122.58</v>
      </c>
      <c r="D580" s="35">
        <v>297.94099999999997</v>
      </c>
      <c r="E580" s="41">
        <v>729.47900000000004</v>
      </c>
      <c r="F580" s="35">
        <v>1150</v>
      </c>
      <c r="G580" s="35">
        <v>100</v>
      </c>
      <c r="H580" s="43">
        <v>600</v>
      </c>
      <c r="I580" s="35">
        <v>695</v>
      </c>
      <c r="J580" s="35">
        <v>50</v>
      </c>
      <c r="K580" s="36"/>
      <c r="L580" s="36"/>
      <c r="M580" s="36"/>
      <c r="N580" s="36"/>
      <c r="O580" s="36"/>
      <c r="P580" s="36"/>
      <c r="Q580" s="36"/>
      <c r="R580" s="36"/>
      <c r="S580" s="36"/>
      <c r="T580" s="36"/>
    </row>
    <row r="581" spans="1:20" ht="15.75">
      <c r="A581" s="13">
        <v>59202</v>
      </c>
      <c r="B581" s="44">
        <f t="shared" ref="B581:B644" si="0">EOMONTH(A581,0)-EOMONTH(A581,-1)</f>
        <v>31</v>
      </c>
      <c r="C581" s="35">
        <v>122.58</v>
      </c>
      <c r="D581" s="35">
        <v>297.94099999999997</v>
      </c>
      <c r="E581" s="41">
        <v>729.47900000000004</v>
      </c>
      <c r="F581" s="35">
        <v>1150</v>
      </c>
      <c r="G581" s="35">
        <v>100</v>
      </c>
      <c r="H581" s="43">
        <v>600</v>
      </c>
      <c r="I581" s="35">
        <v>695</v>
      </c>
      <c r="J581" s="35">
        <v>50</v>
      </c>
      <c r="K581" s="36"/>
      <c r="L581" s="36"/>
      <c r="M581" s="36"/>
      <c r="N581" s="36"/>
      <c r="O581" s="36"/>
      <c r="P581" s="36"/>
      <c r="Q581" s="36"/>
      <c r="R581" s="36"/>
      <c r="S581" s="36"/>
      <c r="T581" s="36"/>
    </row>
    <row r="582" spans="1:20" ht="15.75">
      <c r="A582" s="13">
        <v>59230</v>
      </c>
      <c r="B582" s="44">
        <f t="shared" si="0"/>
        <v>28</v>
      </c>
      <c r="C582" s="35">
        <v>122.58</v>
      </c>
      <c r="D582" s="35">
        <v>297.94099999999997</v>
      </c>
      <c r="E582" s="41">
        <v>729.47900000000004</v>
      </c>
      <c r="F582" s="35">
        <v>1150</v>
      </c>
      <c r="G582" s="35">
        <v>100</v>
      </c>
      <c r="H582" s="43">
        <v>600</v>
      </c>
      <c r="I582" s="35">
        <v>695</v>
      </c>
      <c r="J582" s="35">
        <v>50</v>
      </c>
      <c r="K582" s="36"/>
      <c r="L582" s="36"/>
      <c r="M582" s="36"/>
      <c r="N582" s="36"/>
      <c r="O582" s="36"/>
      <c r="P582" s="36"/>
      <c r="Q582" s="36"/>
      <c r="R582" s="36"/>
      <c r="S582" s="36"/>
      <c r="T582" s="36"/>
    </row>
    <row r="583" spans="1:20" ht="15.75">
      <c r="A583" s="13">
        <v>59261</v>
      </c>
      <c r="B583" s="44">
        <f t="shared" si="0"/>
        <v>31</v>
      </c>
      <c r="C583" s="35">
        <v>122.58</v>
      </c>
      <c r="D583" s="35">
        <v>297.94099999999997</v>
      </c>
      <c r="E583" s="41">
        <v>729.47900000000004</v>
      </c>
      <c r="F583" s="35">
        <v>1150</v>
      </c>
      <c r="G583" s="35">
        <v>100</v>
      </c>
      <c r="H583" s="43">
        <v>600</v>
      </c>
      <c r="I583" s="35">
        <v>695</v>
      </c>
      <c r="J583" s="35">
        <v>50</v>
      </c>
      <c r="K583" s="36"/>
      <c r="L583" s="36"/>
      <c r="M583" s="36"/>
      <c r="N583" s="36"/>
      <c r="O583" s="36"/>
      <c r="P583" s="36"/>
      <c r="Q583" s="36"/>
      <c r="R583" s="36"/>
      <c r="S583" s="36"/>
      <c r="T583" s="36"/>
    </row>
    <row r="584" spans="1:20" ht="15.75">
      <c r="A584" s="13">
        <v>59291</v>
      </c>
      <c r="B584" s="44">
        <f t="shared" si="0"/>
        <v>30</v>
      </c>
      <c r="C584" s="35">
        <v>141.29300000000001</v>
      </c>
      <c r="D584" s="35">
        <v>267.99299999999999</v>
      </c>
      <c r="E584" s="41">
        <v>829.71400000000006</v>
      </c>
      <c r="F584" s="35">
        <v>1239</v>
      </c>
      <c r="G584" s="35">
        <v>100</v>
      </c>
      <c r="H584" s="43">
        <v>600</v>
      </c>
      <c r="I584" s="35">
        <v>695</v>
      </c>
      <c r="J584" s="35">
        <v>50</v>
      </c>
      <c r="K584" s="36"/>
      <c r="L584" s="36"/>
      <c r="M584" s="36"/>
      <c r="N584" s="36"/>
      <c r="O584" s="36"/>
      <c r="P584" s="36"/>
      <c r="Q584" s="36"/>
      <c r="R584" s="36"/>
      <c r="S584" s="36"/>
      <c r="T584" s="36"/>
    </row>
    <row r="585" spans="1:20" ht="15.75">
      <c r="A585" s="13">
        <v>59322</v>
      </c>
      <c r="B585" s="44">
        <f t="shared" si="0"/>
        <v>31</v>
      </c>
      <c r="C585" s="35">
        <v>194.20500000000001</v>
      </c>
      <c r="D585" s="35">
        <v>267.46600000000001</v>
      </c>
      <c r="E585" s="41">
        <v>812.32899999999995</v>
      </c>
      <c r="F585" s="35">
        <v>1274</v>
      </c>
      <c r="G585" s="35">
        <v>75</v>
      </c>
      <c r="H585" s="43">
        <v>600</v>
      </c>
      <c r="I585" s="35">
        <v>695</v>
      </c>
      <c r="J585" s="35">
        <v>50</v>
      </c>
      <c r="K585" s="36"/>
      <c r="L585" s="36"/>
      <c r="M585" s="36"/>
      <c r="N585" s="36"/>
      <c r="O585" s="36"/>
      <c r="P585" s="36"/>
      <c r="Q585" s="36"/>
      <c r="R585" s="36"/>
      <c r="S585" s="36"/>
      <c r="T585" s="36"/>
    </row>
    <row r="586" spans="1:20" ht="15.75">
      <c r="A586" s="13">
        <v>59352</v>
      </c>
      <c r="B586" s="44">
        <f t="shared" si="0"/>
        <v>30</v>
      </c>
      <c r="C586" s="35">
        <v>194.20500000000001</v>
      </c>
      <c r="D586" s="35">
        <v>267.46600000000001</v>
      </c>
      <c r="E586" s="41">
        <v>812.32899999999995</v>
      </c>
      <c r="F586" s="35">
        <v>1274</v>
      </c>
      <c r="G586" s="35">
        <v>50</v>
      </c>
      <c r="H586" s="43">
        <v>600</v>
      </c>
      <c r="I586" s="35">
        <v>695</v>
      </c>
      <c r="J586" s="35">
        <v>50</v>
      </c>
      <c r="K586" s="36"/>
      <c r="L586" s="36"/>
      <c r="M586" s="36"/>
      <c r="N586" s="36"/>
      <c r="O586" s="36"/>
      <c r="P586" s="36"/>
      <c r="Q586" s="36"/>
      <c r="R586" s="36"/>
      <c r="S586" s="36"/>
      <c r="T586" s="36"/>
    </row>
    <row r="587" spans="1:20" ht="15.75">
      <c r="A587" s="13">
        <v>59383</v>
      </c>
      <c r="B587" s="44">
        <f t="shared" si="0"/>
        <v>31</v>
      </c>
      <c r="C587" s="35">
        <v>194.20500000000001</v>
      </c>
      <c r="D587" s="35">
        <v>267.46600000000001</v>
      </c>
      <c r="E587" s="41">
        <v>812.32899999999995</v>
      </c>
      <c r="F587" s="35">
        <v>1274</v>
      </c>
      <c r="G587" s="35">
        <v>50</v>
      </c>
      <c r="H587" s="43">
        <v>600</v>
      </c>
      <c r="I587" s="35">
        <v>695</v>
      </c>
      <c r="J587" s="35">
        <v>0</v>
      </c>
      <c r="K587" s="36"/>
      <c r="L587" s="36"/>
      <c r="M587" s="36"/>
      <c r="N587" s="36"/>
      <c r="O587" s="36"/>
      <c r="P587" s="36"/>
      <c r="Q587" s="36"/>
      <c r="R587" s="36"/>
      <c r="S587" s="36"/>
      <c r="T587" s="36"/>
    </row>
    <row r="588" spans="1:20" ht="15.75">
      <c r="A588" s="13">
        <v>59414</v>
      </c>
      <c r="B588" s="44">
        <f t="shared" si="0"/>
        <v>31</v>
      </c>
      <c r="C588" s="35">
        <v>194.20500000000001</v>
      </c>
      <c r="D588" s="35">
        <v>267.46600000000001</v>
      </c>
      <c r="E588" s="41">
        <v>812.32899999999995</v>
      </c>
      <c r="F588" s="35">
        <v>1274</v>
      </c>
      <c r="G588" s="35">
        <v>50</v>
      </c>
      <c r="H588" s="43">
        <v>600</v>
      </c>
      <c r="I588" s="35">
        <v>695</v>
      </c>
      <c r="J588" s="35">
        <v>0</v>
      </c>
      <c r="K588" s="36"/>
      <c r="L588" s="36"/>
      <c r="M588" s="36"/>
      <c r="N588" s="36"/>
      <c r="O588" s="36"/>
      <c r="P588" s="36"/>
      <c r="Q588" s="36"/>
      <c r="R588" s="36"/>
      <c r="S588" s="36"/>
      <c r="T588" s="36"/>
    </row>
    <row r="589" spans="1:20" ht="15.75">
      <c r="A589" s="13">
        <v>59444</v>
      </c>
      <c r="B589" s="44">
        <f t="shared" si="0"/>
        <v>30</v>
      </c>
      <c r="C589" s="35">
        <v>194.20500000000001</v>
      </c>
      <c r="D589" s="35">
        <v>267.46600000000001</v>
      </c>
      <c r="E589" s="41">
        <v>812.32899999999995</v>
      </c>
      <c r="F589" s="35">
        <v>1274</v>
      </c>
      <c r="G589" s="35">
        <v>50</v>
      </c>
      <c r="H589" s="43">
        <v>600</v>
      </c>
      <c r="I589" s="35">
        <v>695</v>
      </c>
      <c r="J589" s="35">
        <v>0</v>
      </c>
      <c r="K589" s="36"/>
      <c r="L589" s="36"/>
      <c r="M589" s="36"/>
      <c r="N589" s="36"/>
      <c r="O589" s="36"/>
      <c r="P589" s="36"/>
      <c r="Q589" s="36"/>
      <c r="R589" s="36"/>
      <c r="S589" s="36"/>
      <c r="T589" s="36"/>
    </row>
    <row r="590" spans="1:20" ht="15.75">
      <c r="A590" s="13">
        <v>59475</v>
      </c>
      <c r="B590" s="44">
        <f t="shared" si="0"/>
        <v>31</v>
      </c>
      <c r="C590" s="35">
        <v>131.881</v>
      </c>
      <c r="D590" s="35">
        <v>277.16699999999997</v>
      </c>
      <c r="E590" s="41">
        <v>829.952</v>
      </c>
      <c r="F590" s="35">
        <v>1239</v>
      </c>
      <c r="G590" s="35">
        <v>75</v>
      </c>
      <c r="H590" s="43">
        <v>600</v>
      </c>
      <c r="I590" s="35">
        <v>695</v>
      </c>
      <c r="J590" s="35">
        <v>0</v>
      </c>
      <c r="K590" s="36"/>
      <c r="L590" s="36"/>
      <c r="M590" s="36"/>
      <c r="N590" s="36"/>
      <c r="O590" s="36"/>
      <c r="P590" s="36"/>
      <c r="Q590" s="36"/>
      <c r="R590" s="36"/>
      <c r="S590" s="36"/>
      <c r="T590" s="36"/>
    </row>
    <row r="591" spans="1:20" ht="15.75">
      <c r="A591" s="13">
        <v>59505</v>
      </c>
      <c r="B591" s="44">
        <f t="shared" si="0"/>
        <v>30</v>
      </c>
      <c r="C591" s="35">
        <v>122.58</v>
      </c>
      <c r="D591" s="35">
        <v>297.94099999999997</v>
      </c>
      <c r="E591" s="41">
        <v>729.47900000000004</v>
      </c>
      <c r="F591" s="35">
        <v>1150</v>
      </c>
      <c r="G591" s="35">
        <v>100</v>
      </c>
      <c r="H591" s="43">
        <v>600</v>
      </c>
      <c r="I591" s="35">
        <v>695</v>
      </c>
      <c r="J591" s="35">
        <v>50</v>
      </c>
      <c r="K591" s="36"/>
      <c r="L591" s="36"/>
      <c r="M591" s="36"/>
      <c r="N591" s="36"/>
      <c r="O591" s="36"/>
      <c r="P591" s="36"/>
      <c r="Q591" s="36"/>
      <c r="R591" s="36"/>
      <c r="S591" s="36"/>
      <c r="T591" s="36"/>
    </row>
    <row r="592" spans="1:20" ht="15.75">
      <c r="A592" s="13">
        <v>59536</v>
      </c>
      <c r="B592" s="44">
        <f t="shared" si="0"/>
        <v>31</v>
      </c>
      <c r="C592" s="35">
        <v>122.58</v>
      </c>
      <c r="D592" s="35">
        <v>297.94099999999997</v>
      </c>
      <c r="E592" s="41">
        <v>729.47900000000004</v>
      </c>
      <c r="F592" s="35">
        <v>1150</v>
      </c>
      <c r="G592" s="35">
        <v>100</v>
      </c>
      <c r="H592" s="43">
        <v>600</v>
      </c>
      <c r="I592" s="35">
        <v>695</v>
      </c>
      <c r="J592" s="35">
        <v>50</v>
      </c>
      <c r="K592" s="36"/>
      <c r="L592" s="36"/>
      <c r="M592" s="36"/>
      <c r="N592" s="36"/>
      <c r="O592" s="36"/>
      <c r="P592" s="36"/>
      <c r="Q592" s="36"/>
      <c r="R592" s="36"/>
      <c r="S592" s="36"/>
      <c r="T592" s="36"/>
    </row>
    <row r="593" spans="1:20" ht="15.75">
      <c r="A593" s="13">
        <v>59567</v>
      </c>
      <c r="B593" s="44">
        <f t="shared" si="0"/>
        <v>31</v>
      </c>
      <c r="C593" s="35">
        <v>122.58</v>
      </c>
      <c r="D593" s="35">
        <v>297.94099999999997</v>
      </c>
      <c r="E593" s="41">
        <v>729.47900000000004</v>
      </c>
      <c r="F593" s="35">
        <v>1150</v>
      </c>
      <c r="G593" s="35">
        <v>100</v>
      </c>
      <c r="H593" s="43">
        <v>600</v>
      </c>
      <c r="I593" s="35">
        <v>695</v>
      </c>
      <c r="J593" s="35">
        <v>50</v>
      </c>
      <c r="K593" s="36"/>
      <c r="L593" s="36"/>
      <c r="M593" s="36"/>
      <c r="N593" s="36"/>
      <c r="O593" s="36"/>
      <c r="P593" s="36"/>
      <c r="Q593" s="36"/>
      <c r="R593" s="36"/>
      <c r="S593" s="36"/>
      <c r="T593" s="36"/>
    </row>
    <row r="594" spans="1:20" ht="15.75">
      <c r="A594" s="13">
        <v>59595</v>
      </c>
      <c r="B594" s="44">
        <f t="shared" si="0"/>
        <v>28</v>
      </c>
      <c r="C594" s="35">
        <v>122.58</v>
      </c>
      <c r="D594" s="35">
        <v>297.94099999999997</v>
      </c>
      <c r="E594" s="41">
        <v>729.47900000000004</v>
      </c>
      <c r="F594" s="35">
        <v>1150</v>
      </c>
      <c r="G594" s="35">
        <v>100</v>
      </c>
      <c r="H594" s="43">
        <v>600</v>
      </c>
      <c r="I594" s="35">
        <v>695</v>
      </c>
      <c r="J594" s="35">
        <v>50</v>
      </c>
      <c r="K594" s="36"/>
      <c r="L594" s="36"/>
      <c r="M594" s="36"/>
      <c r="N594" s="36"/>
      <c r="O594" s="36"/>
      <c r="P594" s="36"/>
      <c r="Q594" s="36"/>
      <c r="R594" s="36"/>
      <c r="S594" s="36"/>
      <c r="T594" s="36"/>
    </row>
    <row r="595" spans="1:20" ht="15.75">
      <c r="A595" s="13">
        <v>59626</v>
      </c>
      <c r="B595" s="44">
        <f t="shared" si="0"/>
        <v>31</v>
      </c>
      <c r="C595" s="35">
        <v>122.58</v>
      </c>
      <c r="D595" s="35">
        <v>297.94099999999997</v>
      </c>
      <c r="E595" s="41">
        <v>729.47900000000004</v>
      </c>
      <c r="F595" s="35">
        <v>1150</v>
      </c>
      <c r="G595" s="35">
        <v>100</v>
      </c>
      <c r="H595" s="43">
        <v>600</v>
      </c>
      <c r="I595" s="35">
        <v>695</v>
      </c>
      <c r="J595" s="35">
        <v>50</v>
      </c>
      <c r="K595" s="36"/>
      <c r="L595" s="36"/>
      <c r="M595" s="36"/>
      <c r="N595" s="36"/>
      <c r="O595" s="36"/>
      <c r="P595" s="36"/>
      <c r="Q595" s="36"/>
      <c r="R595" s="36"/>
      <c r="S595" s="36"/>
      <c r="T595" s="36"/>
    </row>
    <row r="596" spans="1:20" ht="15.75">
      <c r="A596" s="13">
        <v>59656</v>
      </c>
      <c r="B596" s="44">
        <f t="shared" si="0"/>
        <v>30</v>
      </c>
      <c r="C596" s="35">
        <v>141.29300000000001</v>
      </c>
      <c r="D596" s="35">
        <v>267.99299999999999</v>
      </c>
      <c r="E596" s="41">
        <v>829.71400000000006</v>
      </c>
      <c r="F596" s="35">
        <v>1239</v>
      </c>
      <c r="G596" s="35">
        <v>100</v>
      </c>
      <c r="H596" s="43">
        <v>600</v>
      </c>
      <c r="I596" s="35">
        <v>695</v>
      </c>
      <c r="J596" s="35">
        <v>50</v>
      </c>
      <c r="K596" s="36"/>
      <c r="L596" s="36"/>
      <c r="M596" s="36"/>
      <c r="N596" s="36"/>
      <c r="O596" s="36"/>
      <c r="P596" s="36"/>
      <c r="Q596" s="36"/>
      <c r="R596" s="36"/>
      <c r="S596" s="36"/>
      <c r="T596" s="36"/>
    </row>
    <row r="597" spans="1:20" ht="15.75">
      <c r="A597" s="13">
        <v>59687</v>
      </c>
      <c r="B597" s="44">
        <f t="shared" si="0"/>
        <v>31</v>
      </c>
      <c r="C597" s="35">
        <v>194.20500000000001</v>
      </c>
      <c r="D597" s="35">
        <v>267.46600000000001</v>
      </c>
      <c r="E597" s="41">
        <v>812.32899999999995</v>
      </c>
      <c r="F597" s="35">
        <v>1274</v>
      </c>
      <c r="G597" s="35">
        <v>75</v>
      </c>
      <c r="H597" s="43">
        <v>600</v>
      </c>
      <c r="I597" s="35">
        <v>695</v>
      </c>
      <c r="J597" s="35">
        <v>50</v>
      </c>
      <c r="K597" s="36"/>
      <c r="L597" s="36"/>
      <c r="M597" s="36"/>
      <c r="N597" s="36"/>
      <c r="O597" s="36"/>
      <c r="P597" s="36"/>
      <c r="Q597" s="36"/>
      <c r="R597" s="36"/>
      <c r="S597" s="36"/>
      <c r="T597" s="36"/>
    </row>
    <row r="598" spans="1:20" ht="15.75">
      <c r="A598" s="13">
        <v>59717</v>
      </c>
      <c r="B598" s="44">
        <f t="shared" si="0"/>
        <v>30</v>
      </c>
      <c r="C598" s="35">
        <v>194.20500000000001</v>
      </c>
      <c r="D598" s="35">
        <v>267.46600000000001</v>
      </c>
      <c r="E598" s="41">
        <v>812.32899999999995</v>
      </c>
      <c r="F598" s="35">
        <v>1274</v>
      </c>
      <c r="G598" s="35">
        <v>50</v>
      </c>
      <c r="H598" s="43">
        <v>600</v>
      </c>
      <c r="I598" s="35">
        <v>695</v>
      </c>
      <c r="J598" s="35">
        <v>50</v>
      </c>
      <c r="K598" s="36"/>
      <c r="L598" s="36"/>
      <c r="M598" s="36"/>
      <c r="N598" s="36"/>
      <c r="O598" s="36"/>
      <c r="P598" s="36"/>
      <c r="Q598" s="36"/>
      <c r="R598" s="36"/>
      <c r="S598" s="36"/>
      <c r="T598" s="36"/>
    </row>
    <row r="599" spans="1:20" ht="15.75">
      <c r="A599" s="13">
        <v>59748</v>
      </c>
      <c r="B599" s="44">
        <f t="shared" si="0"/>
        <v>31</v>
      </c>
      <c r="C599" s="35">
        <v>194.20500000000001</v>
      </c>
      <c r="D599" s="35">
        <v>267.46600000000001</v>
      </c>
      <c r="E599" s="41">
        <v>812.32899999999995</v>
      </c>
      <c r="F599" s="35">
        <v>1274</v>
      </c>
      <c r="G599" s="35">
        <v>50</v>
      </c>
      <c r="H599" s="43">
        <v>600</v>
      </c>
      <c r="I599" s="35">
        <v>695</v>
      </c>
      <c r="J599" s="35">
        <v>0</v>
      </c>
      <c r="K599" s="36"/>
      <c r="L599" s="36"/>
      <c r="M599" s="36"/>
      <c r="N599" s="36"/>
      <c r="O599" s="36"/>
      <c r="P599" s="36"/>
      <c r="Q599" s="36"/>
      <c r="R599" s="36"/>
      <c r="S599" s="36"/>
      <c r="T599" s="36"/>
    </row>
    <row r="600" spans="1:20" ht="15.75">
      <c r="A600" s="13">
        <v>59779</v>
      </c>
      <c r="B600" s="44">
        <f t="shared" si="0"/>
        <v>31</v>
      </c>
      <c r="C600" s="35">
        <v>194.20500000000001</v>
      </c>
      <c r="D600" s="35">
        <v>267.46600000000001</v>
      </c>
      <c r="E600" s="41">
        <v>812.32899999999995</v>
      </c>
      <c r="F600" s="35">
        <v>1274</v>
      </c>
      <c r="G600" s="35">
        <v>50</v>
      </c>
      <c r="H600" s="43">
        <v>600</v>
      </c>
      <c r="I600" s="35">
        <v>695</v>
      </c>
      <c r="J600" s="35">
        <v>0</v>
      </c>
      <c r="K600" s="36"/>
      <c r="L600" s="36"/>
      <c r="M600" s="36"/>
      <c r="N600" s="36"/>
      <c r="O600" s="36"/>
      <c r="P600" s="36"/>
      <c r="Q600" s="36"/>
      <c r="R600" s="36"/>
      <c r="S600" s="36"/>
      <c r="T600" s="36"/>
    </row>
    <row r="601" spans="1:20" ht="15.75">
      <c r="A601" s="13">
        <v>59809</v>
      </c>
      <c r="B601" s="44">
        <f t="shared" si="0"/>
        <v>30</v>
      </c>
      <c r="C601" s="35">
        <v>194.20500000000001</v>
      </c>
      <c r="D601" s="35">
        <v>267.46600000000001</v>
      </c>
      <c r="E601" s="41">
        <v>812.32899999999995</v>
      </c>
      <c r="F601" s="35">
        <v>1274</v>
      </c>
      <c r="G601" s="35">
        <v>50</v>
      </c>
      <c r="H601" s="43">
        <v>600</v>
      </c>
      <c r="I601" s="35">
        <v>695</v>
      </c>
      <c r="J601" s="35">
        <v>0</v>
      </c>
      <c r="K601" s="36"/>
      <c r="L601" s="36"/>
      <c r="M601" s="36"/>
      <c r="N601" s="36"/>
      <c r="O601" s="36"/>
      <c r="P601" s="36"/>
      <c r="Q601" s="36"/>
      <c r="R601" s="36"/>
      <c r="S601" s="36"/>
      <c r="T601" s="36"/>
    </row>
    <row r="602" spans="1:20" ht="15.75">
      <c r="A602" s="13">
        <v>59840</v>
      </c>
      <c r="B602" s="44">
        <f t="shared" si="0"/>
        <v>31</v>
      </c>
      <c r="C602" s="35">
        <v>131.881</v>
      </c>
      <c r="D602" s="35">
        <v>277.16699999999997</v>
      </c>
      <c r="E602" s="41">
        <v>829.952</v>
      </c>
      <c r="F602" s="35">
        <v>1239</v>
      </c>
      <c r="G602" s="35">
        <v>75</v>
      </c>
      <c r="H602" s="43">
        <v>600</v>
      </c>
      <c r="I602" s="35">
        <v>695</v>
      </c>
      <c r="J602" s="35">
        <v>0</v>
      </c>
      <c r="K602" s="36"/>
      <c r="L602" s="36"/>
      <c r="M602" s="36"/>
      <c r="N602" s="36"/>
      <c r="O602" s="36"/>
      <c r="P602" s="36"/>
      <c r="Q602" s="36"/>
      <c r="R602" s="36"/>
      <c r="S602" s="36"/>
      <c r="T602" s="36"/>
    </row>
    <row r="603" spans="1:20" ht="15.75">
      <c r="A603" s="13">
        <v>59870</v>
      </c>
      <c r="B603" s="44">
        <f t="shared" si="0"/>
        <v>30</v>
      </c>
      <c r="C603" s="35">
        <v>122.58</v>
      </c>
      <c r="D603" s="35">
        <v>297.94099999999997</v>
      </c>
      <c r="E603" s="41">
        <v>729.47900000000004</v>
      </c>
      <c r="F603" s="35">
        <v>1150</v>
      </c>
      <c r="G603" s="35">
        <v>100</v>
      </c>
      <c r="H603" s="43">
        <v>600</v>
      </c>
      <c r="I603" s="35">
        <v>695</v>
      </c>
      <c r="J603" s="35">
        <v>50</v>
      </c>
      <c r="K603" s="36"/>
      <c r="L603" s="36"/>
      <c r="M603" s="36"/>
      <c r="N603" s="36"/>
      <c r="O603" s="36"/>
      <c r="P603" s="36"/>
      <c r="Q603" s="36"/>
      <c r="R603" s="36"/>
      <c r="S603" s="36"/>
      <c r="T603" s="36"/>
    </row>
    <row r="604" spans="1:20" ht="15.75">
      <c r="A604" s="13">
        <v>59901</v>
      </c>
      <c r="B604" s="44">
        <f t="shared" si="0"/>
        <v>31</v>
      </c>
      <c r="C604" s="35">
        <v>122.58</v>
      </c>
      <c r="D604" s="35">
        <v>297.94099999999997</v>
      </c>
      <c r="E604" s="41">
        <v>729.47900000000004</v>
      </c>
      <c r="F604" s="35">
        <v>1150</v>
      </c>
      <c r="G604" s="35">
        <v>100</v>
      </c>
      <c r="H604" s="43">
        <v>600</v>
      </c>
      <c r="I604" s="35">
        <v>695</v>
      </c>
      <c r="J604" s="35">
        <v>50</v>
      </c>
      <c r="K604" s="36"/>
      <c r="L604" s="36"/>
      <c r="M604" s="36"/>
      <c r="N604" s="36"/>
      <c r="O604" s="36"/>
      <c r="P604" s="36"/>
      <c r="Q604" s="36"/>
      <c r="R604" s="36"/>
      <c r="S604" s="36"/>
      <c r="T604" s="36"/>
    </row>
    <row r="605" spans="1:20" ht="15.75">
      <c r="A605" s="13">
        <v>59932</v>
      </c>
      <c r="B605" s="44">
        <f t="shared" si="0"/>
        <v>31</v>
      </c>
      <c r="C605" s="35">
        <v>122.58</v>
      </c>
      <c r="D605" s="35">
        <v>297.94099999999997</v>
      </c>
      <c r="E605" s="41">
        <v>729.47900000000004</v>
      </c>
      <c r="F605" s="35">
        <v>1150</v>
      </c>
      <c r="G605" s="35">
        <v>100</v>
      </c>
      <c r="H605" s="43">
        <v>600</v>
      </c>
      <c r="I605" s="35">
        <v>695</v>
      </c>
      <c r="J605" s="35">
        <v>50</v>
      </c>
      <c r="K605" s="36"/>
      <c r="L605" s="36"/>
      <c r="M605" s="36"/>
      <c r="N605" s="36"/>
      <c r="O605" s="36"/>
      <c r="P605" s="36"/>
      <c r="Q605" s="36"/>
      <c r="R605" s="36"/>
      <c r="S605" s="36"/>
      <c r="T605" s="36"/>
    </row>
    <row r="606" spans="1:20" ht="15.75">
      <c r="A606" s="13">
        <v>59961</v>
      </c>
      <c r="B606" s="44">
        <f t="shared" si="0"/>
        <v>29</v>
      </c>
      <c r="C606" s="35">
        <v>122.58</v>
      </c>
      <c r="D606" s="35">
        <v>297.94099999999997</v>
      </c>
      <c r="E606" s="41">
        <v>729.47900000000004</v>
      </c>
      <c r="F606" s="35">
        <v>1150</v>
      </c>
      <c r="G606" s="35">
        <v>100</v>
      </c>
      <c r="H606" s="43">
        <v>600</v>
      </c>
      <c r="I606" s="35">
        <v>695</v>
      </c>
      <c r="J606" s="35">
        <v>50</v>
      </c>
      <c r="K606" s="36"/>
      <c r="L606" s="36"/>
      <c r="M606" s="36"/>
      <c r="N606" s="36"/>
      <c r="O606" s="36"/>
      <c r="P606" s="36"/>
      <c r="Q606" s="36"/>
      <c r="R606" s="36"/>
      <c r="S606" s="36"/>
      <c r="T606" s="36"/>
    </row>
    <row r="607" spans="1:20" ht="15.75">
      <c r="A607" s="13">
        <v>59992</v>
      </c>
      <c r="B607" s="44">
        <f t="shared" si="0"/>
        <v>31</v>
      </c>
      <c r="C607" s="35">
        <v>122.58</v>
      </c>
      <c r="D607" s="35">
        <v>297.94099999999997</v>
      </c>
      <c r="E607" s="41">
        <v>729.47900000000004</v>
      </c>
      <c r="F607" s="35">
        <v>1150</v>
      </c>
      <c r="G607" s="35">
        <v>100</v>
      </c>
      <c r="H607" s="43">
        <v>600</v>
      </c>
      <c r="I607" s="35">
        <v>695</v>
      </c>
      <c r="J607" s="35">
        <v>50</v>
      </c>
      <c r="K607" s="36"/>
      <c r="L607" s="36"/>
      <c r="M607" s="36"/>
      <c r="N607" s="36"/>
      <c r="O607" s="36"/>
      <c r="P607" s="36"/>
      <c r="Q607" s="36"/>
      <c r="R607" s="36"/>
      <c r="S607" s="36"/>
      <c r="T607" s="36"/>
    </row>
    <row r="608" spans="1:20" ht="15.75">
      <c r="A608" s="13">
        <v>60022</v>
      </c>
      <c r="B608" s="44">
        <f t="shared" si="0"/>
        <v>30</v>
      </c>
      <c r="C608" s="35">
        <v>141.29300000000001</v>
      </c>
      <c r="D608" s="35">
        <v>267.99299999999999</v>
      </c>
      <c r="E608" s="41">
        <v>829.71400000000006</v>
      </c>
      <c r="F608" s="35">
        <v>1239</v>
      </c>
      <c r="G608" s="35">
        <v>100</v>
      </c>
      <c r="H608" s="43">
        <v>600</v>
      </c>
      <c r="I608" s="35">
        <v>695</v>
      </c>
      <c r="J608" s="35">
        <v>50</v>
      </c>
      <c r="K608" s="36"/>
      <c r="L608" s="36"/>
      <c r="M608" s="36"/>
      <c r="N608" s="36"/>
      <c r="O608" s="36"/>
      <c r="P608" s="36"/>
      <c r="Q608" s="36"/>
      <c r="R608" s="36"/>
      <c r="S608" s="36"/>
      <c r="T608" s="36"/>
    </row>
    <row r="609" spans="1:20" ht="15.75">
      <c r="A609" s="13">
        <v>60053</v>
      </c>
      <c r="B609" s="44">
        <f t="shared" si="0"/>
        <v>31</v>
      </c>
      <c r="C609" s="35">
        <v>194.20500000000001</v>
      </c>
      <c r="D609" s="35">
        <v>267.46600000000001</v>
      </c>
      <c r="E609" s="41">
        <v>812.32899999999995</v>
      </c>
      <c r="F609" s="35">
        <v>1274</v>
      </c>
      <c r="G609" s="35">
        <v>75</v>
      </c>
      <c r="H609" s="43">
        <v>600</v>
      </c>
      <c r="I609" s="35">
        <v>695</v>
      </c>
      <c r="J609" s="35">
        <v>50</v>
      </c>
      <c r="K609" s="36"/>
      <c r="L609" s="36"/>
      <c r="M609" s="36"/>
      <c r="N609" s="36"/>
      <c r="O609" s="36"/>
      <c r="P609" s="36"/>
      <c r="Q609" s="36"/>
      <c r="R609" s="36"/>
      <c r="S609" s="36"/>
      <c r="T609" s="36"/>
    </row>
    <row r="610" spans="1:20" ht="15.75">
      <c r="A610" s="13">
        <v>60083</v>
      </c>
      <c r="B610" s="44">
        <f t="shared" si="0"/>
        <v>30</v>
      </c>
      <c r="C610" s="35">
        <v>194.20500000000001</v>
      </c>
      <c r="D610" s="35">
        <v>267.46600000000001</v>
      </c>
      <c r="E610" s="41">
        <v>812.32899999999995</v>
      </c>
      <c r="F610" s="35">
        <v>1274</v>
      </c>
      <c r="G610" s="35">
        <v>50</v>
      </c>
      <c r="H610" s="43">
        <v>600</v>
      </c>
      <c r="I610" s="35">
        <v>695</v>
      </c>
      <c r="J610" s="35">
        <v>50</v>
      </c>
      <c r="K610" s="36"/>
      <c r="L610" s="36"/>
      <c r="M610" s="36"/>
      <c r="N610" s="36"/>
      <c r="O610" s="36"/>
      <c r="P610" s="36"/>
      <c r="Q610" s="36"/>
      <c r="R610" s="36"/>
      <c r="S610" s="36"/>
      <c r="T610" s="36"/>
    </row>
    <row r="611" spans="1:20" ht="15.75">
      <c r="A611" s="13">
        <v>60114</v>
      </c>
      <c r="B611" s="44">
        <f t="shared" si="0"/>
        <v>31</v>
      </c>
      <c r="C611" s="35">
        <v>194.20500000000001</v>
      </c>
      <c r="D611" s="35">
        <v>267.46600000000001</v>
      </c>
      <c r="E611" s="41">
        <v>812.32899999999995</v>
      </c>
      <c r="F611" s="35">
        <v>1274</v>
      </c>
      <c r="G611" s="35">
        <v>50</v>
      </c>
      <c r="H611" s="43">
        <v>600</v>
      </c>
      <c r="I611" s="35">
        <v>695</v>
      </c>
      <c r="J611" s="35">
        <v>0</v>
      </c>
      <c r="K611" s="36"/>
      <c r="L611" s="36"/>
      <c r="M611" s="36"/>
      <c r="N611" s="36"/>
      <c r="O611" s="36"/>
      <c r="P611" s="36"/>
      <c r="Q611" s="36"/>
      <c r="R611" s="36"/>
      <c r="S611" s="36"/>
      <c r="T611" s="36"/>
    </row>
    <row r="612" spans="1:20" ht="15.75">
      <c r="A612" s="13">
        <v>60145</v>
      </c>
      <c r="B612" s="44">
        <f t="shared" si="0"/>
        <v>31</v>
      </c>
      <c r="C612" s="35">
        <v>194.20500000000001</v>
      </c>
      <c r="D612" s="35">
        <v>267.46600000000001</v>
      </c>
      <c r="E612" s="41">
        <v>812.32899999999995</v>
      </c>
      <c r="F612" s="35">
        <v>1274</v>
      </c>
      <c r="G612" s="35">
        <v>50</v>
      </c>
      <c r="H612" s="43">
        <v>600</v>
      </c>
      <c r="I612" s="35">
        <v>695</v>
      </c>
      <c r="J612" s="35">
        <v>0</v>
      </c>
      <c r="K612" s="36"/>
      <c r="L612" s="36"/>
      <c r="M612" s="36"/>
      <c r="N612" s="36"/>
      <c r="O612" s="36"/>
      <c r="P612" s="36"/>
      <c r="Q612" s="36"/>
      <c r="R612" s="36"/>
      <c r="S612" s="36"/>
      <c r="T612" s="36"/>
    </row>
    <row r="613" spans="1:20" ht="15.75">
      <c r="A613" s="13">
        <v>60175</v>
      </c>
      <c r="B613" s="44">
        <f t="shared" si="0"/>
        <v>30</v>
      </c>
      <c r="C613" s="35">
        <v>194.20500000000001</v>
      </c>
      <c r="D613" s="35">
        <v>267.46600000000001</v>
      </c>
      <c r="E613" s="41">
        <v>812.32899999999995</v>
      </c>
      <c r="F613" s="35">
        <v>1274</v>
      </c>
      <c r="G613" s="35">
        <v>50</v>
      </c>
      <c r="H613" s="43">
        <v>600</v>
      </c>
      <c r="I613" s="35">
        <v>695</v>
      </c>
      <c r="J613" s="35">
        <v>0</v>
      </c>
      <c r="K613" s="36"/>
      <c r="L613" s="36"/>
      <c r="M613" s="36"/>
      <c r="N613" s="36"/>
      <c r="O613" s="36"/>
      <c r="P613" s="36"/>
      <c r="Q613" s="36"/>
      <c r="R613" s="36"/>
      <c r="S613" s="36"/>
      <c r="T613" s="36"/>
    </row>
    <row r="614" spans="1:20" ht="15.75">
      <c r="A614" s="13">
        <v>60206</v>
      </c>
      <c r="B614" s="44">
        <f t="shared" si="0"/>
        <v>31</v>
      </c>
      <c r="C614" s="35">
        <v>131.881</v>
      </c>
      <c r="D614" s="35">
        <v>277.16699999999997</v>
      </c>
      <c r="E614" s="41">
        <v>829.952</v>
      </c>
      <c r="F614" s="35">
        <v>1239</v>
      </c>
      <c r="G614" s="35">
        <v>75</v>
      </c>
      <c r="H614" s="43">
        <v>600</v>
      </c>
      <c r="I614" s="35">
        <v>695</v>
      </c>
      <c r="J614" s="35">
        <v>0</v>
      </c>
      <c r="K614" s="36"/>
      <c r="L614" s="36"/>
      <c r="M614" s="36"/>
      <c r="N614" s="36"/>
      <c r="O614" s="36"/>
      <c r="P614" s="36"/>
      <c r="Q614" s="36"/>
      <c r="R614" s="36"/>
      <c r="S614" s="36"/>
      <c r="T614" s="36"/>
    </row>
    <row r="615" spans="1:20" ht="15.75">
      <c r="A615" s="13">
        <v>60236</v>
      </c>
      <c r="B615" s="44">
        <f t="shared" si="0"/>
        <v>30</v>
      </c>
      <c r="C615" s="35">
        <v>122.58</v>
      </c>
      <c r="D615" s="35">
        <v>297.94099999999997</v>
      </c>
      <c r="E615" s="41">
        <v>729.47900000000004</v>
      </c>
      <c r="F615" s="35">
        <v>1150</v>
      </c>
      <c r="G615" s="35">
        <v>100</v>
      </c>
      <c r="H615" s="43">
        <v>600</v>
      </c>
      <c r="I615" s="35">
        <v>695</v>
      </c>
      <c r="J615" s="35">
        <v>50</v>
      </c>
      <c r="K615" s="36"/>
      <c r="L615" s="36"/>
      <c r="M615" s="36"/>
      <c r="N615" s="36"/>
      <c r="O615" s="36"/>
      <c r="P615" s="36"/>
      <c r="Q615" s="36"/>
      <c r="R615" s="36"/>
      <c r="S615" s="36"/>
      <c r="T615" s="36"/>
    </row>
    <row r="616" spans="1:20" ht="15.75">
      <c r="A616" s="13">
        <v>60267</v>
      </c>
      <c r="B616" s="44">
        <f t="shared" si="0"/>
        <v>31</v>
      </c>
      <c r="C616" s="35">
        <v>122.58</v>
      </c>
      <c r="D616" s="35">
        <v>297.94099999999997</v>
      </c>
      <c r="E616" s="41">
        <v>729.47900000000004</v>
      </c>
      <c r="F616" s="35">
        <v>1150</v>
      </c>
      <c r="G616" s="35">
        <v>100</v>
      </c>
      <c r="H616" s="43">
        <v>600</v>
      </c>
      <c r="I616" s="35">
        <v>695</v>
      </c>
      <c r="J616" s="35">
        <v>50</v>
      </c>
      <c r="K616" s="36"/>
      <c r="L616" s="36"/>
      <c r="M616" s="36"/>
      <c r="N616" s="36"/>
      <c r="O616" s="36"/>
      <c r="P616" s="36"/>
      <c r="Q616" s="36"/>
      <c r="R616" s="36"/>
      <c r="S616" s="36"/>
      <c r="T616" s="36"/>
    </row>
    <row r="617" spans="1:20" ht="15.75">
      <c r="A617" s="13">
        <v>60298</v>
      </c>
      <c r="B617" s="44">
        <f t="shared" si="0"/>
        <v>31</v>
      </c>
      <c r="C617" s="35">
        <v>122.58</v>
      </c>
      <c r="D617" s="35">
        <v>297.94099999999997</v>
      </c>
      <c r="E617" s="41">
        <v>729.47900000000004</v>
      </c>
      <c r="F617" s="35">
        <v>1150</v>
      </c>
      <c r="G617" s="35">
        <v>100</v>
      </c>
      <c r="H617" s="43">
        <v>600</v>
      </c>
      <c r="I617" s="35">
        <v>695</v>
      </c>
      <c r="J617" s="35">
        <v>50</v>
      </c>
      <c r="K617" s="36"/>
      <c r="L617" s="36"/>
      <c r="M617" s="36"/>
      <c r="N617" s="36"/>
      <c r="O617" s="36"/>
      <c r="P617" s="36"/>
      <c r="Q617" s="36"/>
      <c r="R617" s="36"/>
      <c r="S617" s="36"/>
      <c r="T617" s="36"/>
    </row>
    <row r="618" spans="1:20" ht="15.75">
      <c r="A618" s="13">
        <v>60326</v>
      </c>
      <c r="B618" s="44">
        <f t="shared" si="0"/>
        <v>28</v>
      </c>
      <c r="C618" s="35">
        <v>122.58</v>
      </c>
      <c r="D618" s="35">
        <v>297.94099999999997</v>
      </c>
      <c r="E618" s="41">
        <v>729.47900000000004</v>
      </c>
      <c r="F618" s="35">
        <v>1150</v>
      </c>
      <c r="G618" s="35">
        <v>100</v>
      </c>
      <c r="H618" s="43">
        <v>600</v>
      </c>
      <c r="I618" s="35">
        <v>695</v>
      </c>
      <c r="J618" s="35">
        <v>50</v>
      </c>
      <c r="K618" s="36"/>
      <c r="L618" s="36"/>
      <c r="M618" s="36"/>
      <c r="N618" s="36"/>
      <c r="O618" s="36"/>
      <c r="P618" s="36"/>
      <c r="Q618" s="36"/>
      <c r="R618" s="36"/>
      <c r="S618" s="36"/>
      <c r="T618" s="36"/>
    </row>
    <row r="619" spans="1:20" ht="15.75">
      <c r="A619" s="13">
        <v>60357</v>
      </c>
      <c r="B619" s="44">
        <f t="shared" si="0"/>
        <v>31</v>
      </c>
      <c r="C619" s="35">
        <v>122.58</v>
      </c>
      <c r="D619" s="35">
        <v>297.94099999999997</v>
      </c>
      <c r="E619" s="41">
        <v>729.47900000000004</v>
      </c>
      <c r="F619" s="35">
        <v>1150</v>
      </c>
      <c r="G619" s="35">
        <v>100</v>
      </c>
      <c r="H619" s="43">
        <v>600</v>
      </c>
      <c r="I619" s="35">
        <v>695</v>
      </c>
      <c r="J619" s="35">
        <v>50</v>
      </c>
      <c r="K619" s="36"/>
      <c r="L619" s="36"/>
      <c r="M619" s="36"/>
      <c r="N619" s="36"/>
      <c r="O619" s="36"/>
      <c r="P619" s="36"/>
      <c r="Q619" s="36"/>
      <c r="R619" s="36"/>
      <c r="S619" s="36"/>
      <c r="T619" s="36"/>
    </row>
    <row r="620" spans="1:20" ht="15.75">
      <c r="A620" s="13">
        <v>60387</v>
      </c>
      <c r="B620" s="44">
        <f t="shared" si="0"/>
        <v>30</v>
      </c>
      <c r="C620" s="35">
        <v>141.29300000000001</v>
      </c>
      <c r="D620" s="35">
        <v>267.99299999999999</v>
      </c>
      <c r="E620" s="41">
        <v>829.71400000000006</v>
      </c>
      <c r="F620" s="35">
        <v>1239</v>
      </c>
      <c r="G620" s="35">
        <v>100</v>
      </c>
      <c r="H620" s="43">
        <v>600</v>
      </c>
      <c r="I620" s="35">
        <v>695</v>
      </c>
      <c r="J620" s="35">
        <v>50</v>
      </c>
      <c r="K620" s="36"/>
      <c r="L620" s="36"/>
      <c r="M620" s="36"/>
      <c r="N620" s="36"/>
      <c r="O620" s="36"/>
      <c r="P620" s="36"/>
      <c r="Q620" s="36"/>
      <c r="R620" s="36"/>
      <c r="S620" s="36"/>
      <c r="T620" s="36"/>
    </row>
    <row r="621" spans="1:20" ht="15.75">
      <c r="A621" s="13">
        <v>60418</v>
      </c>
      <c r="B621" s="44">
        <f t="shared" si="0"/>
        <v>31</v>
      </c>
      <c r="C621" s="35">
        <v>194.20500000000001</v>
      </c>
      <c r="D621" s="35">
        <v>267.46600000000001</v>
      </c>
      <c r="E621" s="41">
        <v>812.32899999999995</v>
      </c>
      <c r="F621" s="35">
        <v>1274</v>
      </c>
      <c r="G621" s="35">
        <v>75</v>
      </c>
      <c r="H621" s="43">
        <v>600</v>
      </c>
      <c r="I621" s="35">
        <v>695</v>
      </c>
      <c r="J621" s="35">
        <v>50</v>
      </c>
      <c r="K621" s="36"/>
      <c r="L621" s="36"/>
      <c r="M621" s="36"/>
      <c r="N621" s="36"/>
      <c r="O621" s="36"/>
      <c r="P621" s="36"/>
      <c r="Q621" s="36"/>
      <c r="R621" s="36"/>
      <c r="S621" s="36"/>
      <c r="T621" s="36"/>
    </row>
    <row r="622" spans="1:20" ht="15.75">
      <c r="A622" s="13">
        <v>60448</v>
      </c>
      <c r="B622" s="44">
        <f t="shared" si="0"/>
        <v>30</v>
      </c>
      <c r="C622" s="35">
        <v>194.20500000000001</v>
      </c>
      <c r="D622" s="35">
        <v>267.46600000000001</v>
      </c>
      <c r="E622" s="41">
        <v>812.32899999999995</v>
      </c>
      <c r="F622" s="35">
        <v>1274</v>
      </c>
      <c r="G622" s="35">
        <v>50</v>
      </c>
      <c r="H622" s="43">
        <v>600</v>
      </c>
      <c r="I622" s="35">
        <v>695</v>
      </c>
      <c r="J622" s="35">
        <v>50</v>
      </c>
      <c r="K622" s="36"/>
      <c r="L622" s="36"/>
      <c r="M622" s="36"/>
      <c r="N622" s="36"/>
      <c r="O622" s="36"/>
      <c r="P622" s="36"/>
      <c r="Q622" s="36"/>
      <c r="R622" s="36"/>
      <c r="S622" s="36"/>
      <c r="T622" s="36"/>
    </row>
    <row r="623" spans="1:20" ht="15.75">
      <c r="A623" s="13">
        <v>60479</v>
      </c>
      <c r="B623" s="44">
        <f t="shared" si="0"/>
        <v>31</v>
      </c>
      <c r="C623" s="35">
        <v>194.20500000000001</v>
      </c>
      <c r="D623" s="35">
        <v>267.46600000000001</v>
      </c>
      <c r="E623" s="41">
        <v>812.32899999999995</v>
      </c>
      <c r="F623" s="35">
        <v>1274</v>
      </c>
      <c r="G623" s="35">
        <v>50</v>
      </c>
      <c r="H623" s="43">
        <v>600</v>
      </c>
      <c r="I623" s="35">
        <v>695</v>
      </c>
      <c r="J623" s="35">
        <v>0</v>
      </c>
      <c r="K623" s="36"/>
      <c r="L623" s="36"/>
      <c r="M623" s="36"/>
      <c r="N623" s="36"/>
      <c r="O623" s="36"/>
      <c r="P623" s="36"/>
      <c r="Q623" s="36"/>
      <c r="R623" s="36"/>
      <c r="S623" s="36"/>
      <c r="T623" s="36"/>
    </row>
    <row r="624" spans="1:20" ht="15.75">
      <c r="A624" s="13">
        <v>60510</v>
      </c>
      <c r="B624" s="44">
        <f t="shared" si="0"/>
        <v>31</v>
      </c>
      <c r="C624" s="35">
        <v>194.20500000000001</v>
      </c>
      <c r="D624" s="35">
        <v>267.46600000000001</v>
      </c>
      <c r="E624" s="41">
        <v>812.32899999999995</v>
      </c>
      <c r="F624" s="35">
        <v>1274</v>
      </c>
      <c r="G624" s="35">
        <v>50</v>
      </c>
      <c r="H624" s="43">
        <v>600</v>
      </c>
      <c r="I624" s="35">
        <v>695</v>
      </c>
      <c r="J624" s="35">
        <v>0</v>
      </c>
      <c r="K624" s="36"/>
      <c r="L624" s="36"/>
      <c r="M624" s="36"/>
      <c r="N624" s="36"/>
      <c r="O624" s="36"/>
      <c r="P624" s="36"/>
      <c r="Q624" s="36"/>
      <c r="R624" s="36"/>
      <c r="S624" s="36"/>
      <c r="T624" s="36"/>
    </row>
    <row r="625" spans="1:20" ht="15.75">
      <c r="A625" s="13">
        <v>60540</v>
      </c>
      <c r="B625" s="44">
        <f t="shared" si="0"/>
        <v>30</v>
      </c>
      <c r="C625" s="35">
        <v>194.20500000000001</v>
      </c>
      <c r="D625" s="35">
        <v>267.46600000000001</v>
      </c>
      <c r="E625" s="41">
        <v>812.32899999999995</v>
      </c>
      <c r="F625" s="35">
        <v>1274</v>
      </c>
      <c r="G625" s="35">
        <v>50</v>
      </c>
      <c r="H625" s="43">
        <v>600</v>
      </c>
      <c r="I625" s="35">
        <v>695</v>
      </c>
      <c r="J625" s="35">
        <v>0</v>
      </c>
      <c r="K625" s="36"/>
      <c r="L625" s="36"/>
      <c r="M625" s="36"/>
      <c r="N625" s="36"/>
      <c r="O625" s="36"/>
      <c r="P625" s="36"/>
      <c r="Q625" s="36"/>
      <c r="R625" s="36"/>
      <c r="S625" s="36"/>
      <c r="T625" s="36"/>
    </row>
    <row r="626" spans="1:20" ht="15.75">
      <c r="A626" s="13">
        <v>60571</v>
      </c>
      <c r="B626" s="44">
        <f t="shared" si="0"/>
        <v>31</v>
      </c>
      <c r="C626" s="35">
        <v>131.881</v>
      </c>
      <c r="D626" s="35">
        <v>277.16699999999997</v>
      </c>
      <c r="E626" s="41">
        <v>829.952</v>
      </c>
      <c r="F626" s="35">
        <v>1239</v>
      </c>
      <c r="G626" s="35">
        <v>75</v>
      </c>
      <c r="H626" s="43">
        <v>600</v>
      </c>
      <c r="I626" s="35">
        <v>695</v>
      </c>
      <c r="J626" s="35">
        <v>0</v>
      </c>
      <c r="K626" s="36"/>
      <c r="L626" s="36"/>
      <c r="M626" s="36"/>
      <c r="N626" s="36"/>
      <c r="O626" s="36"/>
      <c r="P626" s="36"/>
      <c r="Q626" s="36"/>
      <c r="R626" s="36"/>
      <c r="S626" s="36"/>
      <c r="T626" s="36"/>
    </row>
    <row r="627" spans="1:20" ht="15.75">
      <c r="A627" s="13">
        <v>60601</v>
      </c>
      <c r="B627" s="44">
        <f t="shared" si="0"/>
        <v>30</v>
      </c>
      <c r="C627" s="35">
        <v>122.58</v>
      </c>
      <c r="D627" s="35">
        <v>297.94099999999997</v>
      </c>
      <c r="E627" s="41">
        <v>729.47900000000004</v>
      </c>
      <c r="F627" s="35">
        <v>1150</v>
      </c>
      <c r="G627" s="35">
        <v>100</v>
      </c>
      <c r="H627" s="43">
        <v>600</v>
      </c>
      <c r="I627" s="35">
        <v>695</v>
      </c>
      <c r="J627" s="35">
        <v>50</v>
      </c>
      <c r="K627" s="36"/>
      <c r="L627" s="36"/>
      <c r="M627" s="36"/>
      <c r="N627" s="36"/>
      <c r="O627" s="36"/>
      <c r="P627" s="36"/>
      <c r="Q627" s="36"/>
      <c r="R627" s="36"/>
      <c r="S627" s="36"/>
      <c r="T627" s="36"/>
    </row>
    <row r="628" spans="1:20" ht="15.75">
      <c r="A628" s="13">
        <v>60632</v>
      </c>
      <c r="B628" s="44">
        <f t="shared" si="0"/>
        <v>31</v>
      </c>
      <c r="C628" s="35">
        <v>122.58</v>
      </c>
      <c r="D628" s="35">
        <v>297.94099999999997</v>
      </c>
      <c r="E628" s="41">
        <v>729.47900000000004</v>
      </c>
      <c r="F628" s="35">
        <v>1150</v>
      </c>
      <c r="G628" s="35">
        <v>100</v>
      </c>
      <c r="H628" s="43">
        <v>600</v>
      </c>
      <c r="I628" s="35">
        <v>695</v>
      </c>
      <c r="J628" s="35">
        <v>50</v>
      </c>
      <c r="K628" s="36"/>
      <c r="L628" s="36"/>
      <c r="M628" s="36"/>
      <c r="N628" s="36"/>
      <c r="O628" s="36"/>
      <c r="P628" s="36"/>
      <c r="Q628" s="36"/>
      <c r="R628" s="36"/>
      <c r="S628" s="36"/>
      <c r="T628" s="36"/>
    </row>
    <row r="629" spans="1:20" ht="15.75">
      <c r="A629" s="13">
        <v>60663</v>
      </c>
      <c r="B629" s="44">
        <f t="shared" si="0"/>
        <v>31</v>
      </c>
      <c r="C629" s="35">
        <v>122.58</v>
      </c>
      <c r="D629" s="35">
        <v>297.94099999999997</v>
      </c>
      <c r="E629" s="41">
        <v>729.47900000000004</v>
      </c>
      <c r="F629" s="35">
        <v>1150</v>
      </c>
      <c r="G629" s="35">
        <v>100</v>
      </c>
      <c r="H629" s="43">
        <v>600</v>
      </c>
      <c r="I629" s="35">
        <v>695</v>
      </c>
      <c r="J629" s="35">
        <v>50</v>
      </c>
      <c r="K629" s="36"/>
      <c r="L629" s="36"/>
      <c r="M629" s="36"/>
      <c r="N629" s="36"/>
      <c r="O629" s="36"/>
      <c r="P629" s="36"/>
      <c r="Q629" s="36"/>
      <c r="R629" s="36"/>
      <c r="S629" s="36"/>
      <c r="T629" s="36"/>
    </row>
    <row r="630" spans="1:20" ht="15.75">
      <c r="A630" s="13">
        <v>60691</v>
      </c>
      <c r="B630" s="44">
        <f t="shared" si="0"/>
        <v>28</v>
      </c>
      <c r="C630" s="35">
        <v>122.58</v>
      </c>
      <c r="D630" s="35">
        <v>297.94099999999997</v>
      </c>
      <c r="E630" s="41">
        <v>729.47900000000004</v>
      </c>
      <c r="F630" s="35">
        <v>1150</v>
      </c>
      <c r="G630" s="35">
        <v>100</v>
      </c>
      <c r="H630" s="43">
        <v>600</v>
      </c>
      <c r="I630" s="35">
        <v>695</v>
      </c>
      <c r="J630" s="35">
        <v>50</v>
      </c>
      <c r="K630" s="36"/>
      <c r="L630" s="36"/>
      <c r="M630" s="36"/>
      <c r="N630" s="36"/>
      <c r="O630" s="36"/>
      <c r="P630" s="36"/>
      <c r="Q630" s="36"/>
      <c r="R630" s="36"/>
      <c r="S630" s="36"/>
      <c r="T630" s="36"/>
    </row>
    <row r="631" spans="1:20" ht="15.75">
      <c r="A631" s="13">
        <v>60722</v>
      </c>
      <c r="B631" s="44">
        <f t="shared" si="0"/>
        <v>31</v>
      </c>
      <c r="C631" s="35">
        <v>122.58</v>
      </c>
      <c r="D631" s="35">
        <v>297.94099999999997</v>
      </c>
      <c r="E631" s="41">
        <v>729.47900000000004</v>
      </c>
      <c r="F631" s="35">
        <v>1150</v>
      </c>
      <c r="G631" s="35">
        <v>100</v>
      </c>
      <c r="H631" s="43">
        <v>600</v>
      </c>
      <c r="I631" s="35">
        <v>695</v>
      </c>
      <c r="J631" s="35">
        <v>50</v>
      </c>
      <c r="K631" s="36"/>
      <c r="L631" s="36"/>
      <c r="M631" s="36"/>
      <c r="N631" s="36"/>
      <c r="O631" s="36"/>
      <c r="P631" s="36"/>
      <c r="Q631" s="36"/>
      <c r="R631" s="36"/>
      <c r="S631" s="36"/>
      <c r="T631" s="36"/>
    </row>
    <row r="632" spans="1:20" ht="15.75">
      <c r="A632" s="13">
        <v>60752</v>
      </c>
      <c r="B632" s="44">
        <f t="shared" si="0"/>
        <v>30</v>
      </c>
      <c r="C632" s="35">
        <v>141.29300000000001</v>
      </c>
      <c r="D632" s="35">
        <v>267.99299999999999</v>
      </c>
      <c r="E632" s="41">
        <v>829.71400000000006</v>
      </c>
      <c r="F632" s="35">
        <v>1239</v>
      </c>
      <c r="G632" s="35">
        <v>100</v>
      </c>
      <c r="H632" s="43">
        <v>600</v>
      </c>
      <c r="I632" s="35">
        <v>695</v>
      </c>
      <c r="J632" s="35">
        <v>50</v>
      </c>
      <c r="K632" s="36"/>
      <c r="L632" s="36"/>
      <c r="M632" s="36"/>
      <c r="N632" s="36"/>
      <c r="O632" s="36"/>
      <c r="P632" s="36"/>
      <c r="Q632" s="36"/>
      <c r="R632" s="36"/>
      <c r="S632" s="36"/>
      <c r="T632" s="36"/>
    </row>
    <row r="633" spans="1:20" ht="15.75">
      <c r="A633" s="13">
        <v>60783</v>
      </c>
      <c r="B633" s="44">
        <f t="shared" si="0"/>
        <v>31</v>
      </c>
      <c r="C633" s="35">
        <v>194.20500000000001</v>
      </c>
      <c r="D633" s="35">
        <v>267.46600000000001</v>
      </c>
      <c r="E633" s="41">
        <v>812.32899999999995</v>
      </c>
      <c r="F633" s="35">
        <v>1274</v>
      </c>
      <c r="G633" s="35">
        <v>75</v>
      </c>
      <c r="H633" s="43">
        <v>600</v>
      </c>
      <c r="I633" s="35">
        <v>695</v>
      </c>
      <c r="J633" s="35">
        <v>50</v>
      </c>
      <c r="K633" s="36"/>
      <c r="L633" s="36"/>
      <c r="M633" s="36"/>
      <c r="N633" s="36"/>
      <c r="O633" s="36"/>
      <c r="P633" s="36"/>
      <c r="Q633" s="36"/>
      <c r="R633" s="36"/>
      <c r="S633" s="36"/>
      <c r="T633" s="36"/>
    </row>
    <row r="634" spans="1:20" ht="15.75">
      <c r="A634" s="13">
        <v>60813</v>
      </c>
      <c r="B634" s="44">
        <f t="shared" si="0"/>
        <v>30</v>
      </c>
      <c r="C634" s="35">
        <v>194.20500000000001</v>
      </c>
      <c r="D634" s="35">
        <v>267.46600000000001</v>
      </c>
      <c r="E634" s="41">
        <v>812.32899999999995</v>
      </c>
      <c r="F634" s="35">
        <v>1274</v>
      </c>
      <c r="G634" s="35">
        <v>50</v>
      </c>
      <c r="H634" s="43">
        <v>600</v>
      </c>
      <c r="I634" s="35">
        <v>695</v>
      </c>
      <c r="J634" s="35">
        <v>50</v>
      </c>
      <c r="K634" s="36"/>
      <c r="L634" s="36"/>
      <c r="M634" s="36"/>
      <c r="N634" s="36"/>
      <c r="O634" s="36"/>
      <c r="P634" s="36"/>
      <c r="Q634" s="36"/>
      <c r="R634" s="36"/>
      <c r="S634" s="36"/>
      <c r="T634" s="36"/>
    </row>
    <row r="635" spans="1:20" ht="15.75">
      <c r="A635" s="13">
        <v>60844</v>
      </c>
      <c r="B635" s="44">
        <f t="shared" si="0"/>
        <v>31</v>
      </c>
      <c r="C635" s="35">
        <v>194.20500000000001</v>
      </c>
      <c r="D635" s="35">
        <v>267.46600000000001</v>
      </c>
      <c r="E635" s="41">
        <v>812.32899999999995</v>
      </c>
      <c r="F635" s="35">
        <v>1274</v>
      </c>
      <c r="G635" s="35">
        <v>50</v>
      </c>
      <c r="H635" s="43">
        <v>600</v>
      </c>
      <c r="I635" s="35">
        <v>695</v>
      </c>
      <c r="J635" s="35">
        <v>0</v>
      </c>
      <c r="K635" s="36"/>
      <c r="L635" s="36"/>
      <c r="M635" s="36"/>
      <c r="N635" s="36"/>
      <c r="O635" s="36"/>
      <c r="P635" s="36"/>
      <c r="Q635" s="36"/>
      <c r="R635" s="36"/>
      <c r="S635" s="36"/>
      <c r="T635" s="36"/>
    </row>
    <row r="636" spans="1:20" ht="15.75">
      <c r="A636" s="13">
        <v>60875</v>
      </c>
      <c r="B636" s="44">
        <f t="shared" si="0"/>
        <v>31</v>
      </c>
      <c r="C636" s="35">
        <v>194.20500000000001</v>
      </c>
      <c r="D636" s="35">
        <v>267.46600000000001</v>
      </c>
      <c r="E636" s="41">
        <v>812.32899999999995</v>
      </c>
      <c r="F636" s="35">
        <v>1274</v>
      </c>
      <c r="G636" s="35">
        <v>50</v>
      </c>
      <c r="H636" s="43">
        <v>600</v>
      </c>
      <c r="I636" s="35">
        <v>695</v>
      </c>
      <c r="J636" s="35">
        <v>0</v>
      </c>
      <c r="K636" s="36"/>
      <c r="L636" s="36"/>
      <c r="M636" s="36"/>
      <c r="N636" s="36"/>
      <c r="O636" s="36"/>
      <c r="P636" s="36"/>
      <c r="Q636" s="36"/>
      <c r="R636" s="36"/>
      <c r="S636" s="36"/>
      <c r="T636" s="36"/>
    </row>
    <row r="637" spans="1:20" ht="15.75">
      <c r="A637" s="13">
        <v>60905</v>
      </c>
      <c r="B637" s="44">
        <f t="shared" si="0"/>
        <v>30</v>
      </c>
      <c r="C637" s="35">
        <v>194.20500000000001</v>
      </c>
      <c r="D637" s="35">
        <v>267.46600000000001</v>
      </c>
      <c r="E637" s="41">
        <v>812.32899999999995</v>
      </c>
      <c r="F637" s="35">
        <v>1274</v>
      </c>
      <c r="G637" s="35">
        <v>50</v>
      </c>
      <c r="H637" s="43">
        <v>600</v>
      </c>
      <c r="I637" s="35">
        <v>695</v>
      </c>
      <c r="J637" s="35">
        <v>0</v>
      </c>
      <c r="K637" s="36"/>
      <c r="L637" s="36"/>
      <c r="M637" s="36"/>
      <c r="N637" s="36"/>
      <c r="O637" s="36"/>
      <c r="P637" s="36"/>
      <c r="Q637" s="36"/>
      <c r="R637" s="36"/>
      <c r="S637" s="36"/>
      <c r="T637" s="36"/>
    </row>
    <row r="638" spans="1:20" ht="15.75">
      <c r="A638" s="13">
        <v>60936</v>
      </c>
      <c r="B638" s="44">
        <f t="shared" si="0"/>
        <v>31</v>
      </c>
      <c r="C638" s="35">
        <v>131.881</v>
      </c>
      <c r="D638" s="35">
        <v>277.16699999999997</v>
      </c>
      <c r="E638" s="41">
        <v>829.952</v>
      </c>
      <c r="F638" s="35">
        <v>1239</v>
      </c>
      <c r="G638" s="35">
        <v>75</v>
      </c>
      <c r="H638" s="43">
        <v>600</v>
      </c>
      <c r="I638" s="35">
        <v>695</v>
      </c>
      <c r="J638" s="35">
        <v>0</v>
      </c>
      <c r="K638" s="36"/>
      <c r="L638" s="36"/>
      <c r="M638" s="36"/>
      <c r="N638" s="36"/>
      <c r="O638" s="36"/>
      <c r="P638" s="36"/>
      <c r="Q638" s="36"/>
      <c r="R638" s="36"/>
      <c r="S638" s="36"/>
      <c r="T638" s="36"/>
    </row>
    <row r="639" spans="1:20" ht="15.75">
      <c r="A639" s="13">
        <v>60966</v>
      </c>
      <c r="B639" s="44">
        <f t="shared" si="0"/>
        <v>30</v>
      </c>
      <c r="C639" s="35">
        <v>122.58</v>
      </c>
      <c r="D639" s="35">
        <v>297.94099999999997</v>
      </c>
      <c r="E639" s="41">
        <v>729.47900000000004</v>
      </c>
      <c r="F639" s="35">
        <v>1150</v>
      </c>
      <c r="G639" s="35">
        <v>100</v>
      </c>
      <c r="H639" s="43">
        <v>600</v>
      </c>
      <c r="I639" s="35">
        <v>695</v>
      </c>
      <c r="J639" s="35">
        <v>50</v>
      </c>
      <c r="K639" s="36"/>
      <c r="L639" s="36"/>
      <c r="M639" s="36"/>
      <c r="N639" s="36"/>
      <c r="O639" s="36"/>
      <c r="P639" s="36"/>
      <c r="Q639" s="36"/>
      <c r="R639" s="36"/>
      <c r="S639" s="36"/>
      <c r="T639" s="36"/>
    </row>
    <row r="640" spans="1:20" ht="15.75">
      <c r="A640" s="13">
        <v>60997</v>
      </c>
      <c r="B640" s="44">
        <f t="shared" si="0"/>
        <v>31</v>
      </c>
      <c r="C640" s="35">
        <v>122.58</v>
      </c>
      <c r="D640" s="35">
        <v>297.94099999999997</v>
      </c>
      <c r="E640" s="41">
        <v>729.47900000000004</v>
      </c>
      <c r="F640" s="35">
        <v>1150</v>
      </c>
      <c r="G640" s="35">
        <v>100</v>
      </c>
      <c r="H640" s="43">
        <v>600</v>
      </c>
      <c r="I640" s="35">
        <v>695</v>
      </c>
      <c r="J640" s="35">
        <v>50</v>
      </c>
      <c r="K640" s="36"/>
      <c r="L640" s="36"/>
      <c r="M640" s="36"/>
      <c r="N640" s="36"/>
      <c r="O640" s="36"/>
      <c r="P640" s="36"/>
      <c r="Q640" s="36"/>
      <c r="R640" s="36"/>
      <c r="S640" s="36"/>
      <c r="T640" s="36"/>
    </row>
    <row r="641" spans="1:20" ht="15.75">
      <c r="A641" s="13">
        <v>61028</v>
      </c>
      <c r="B641" s="44">
        <f t="shared" si="0"/>
        <v>31</v>
      </c>
      <c r="C641" s="35">
        <v>122.58</v>
      </c>
      <c r="D641" s="35">
        <v>297.94099999999997</v>
      </c>
      <c r="E641" s="41">
        <v>729.47900000000004</v>
      </c>
      <c r="F641" s="35">
        <v>1150</v>
      </c>
      <c r="G641" s="35">
        <v>100</v>
      </c>
      <c r="H641" s="43">
        <v>600</v>
      </c>
      <c r="I641" s="35">
        <v>695</v>
      </c>
      <c r="J641" s="35">
        <v>50</v>
      </c>
      <c r="K641" s="36"/>
      <c r="L641" s="36"/>
      <c r="M641" s="36"/>
      <c r="N641" s="36"/>
      <c r="O641" s="36"/>
      <c r="P641" s="36"/>
      <c r="Q641" s="36"/>
      <c r="R641" s="36"/>
      <c r="S641" s="36"/>
      <c r="T641" s="36"/>
    </row>
    <row r="642" spans="1:20" ht="15.75">
      <c r="A642" s="13">
        <v>61056</v>
      </c>
      <c r="B642" s="44">
        <f t="shared" si="0"/>
        <v>28</v>
      </c>
      <c r="C642" s="35">
        <v>122.58</v>
      </c>
      <c r="D642" s="35">
        <v>297.94099999999997</v>
      </c>
      <c r="E642" s="41">
        <v>729.47900000000004</v>
      </c>
      <c r="F642" s="35">
        <v>1150</v>
      </c>
      <c r="G642" s="35">
        <v>100</v>
      </c>
      <c r="H642" s="43">
        <v>600</v>
      </c>
      <c r="I642" s="35">
        <v>695</v>
      </c>
      <c r="J642" s="35">
        <v>50</v>
      </c>
      <c r="K642" s="36"/>
      <c r="L642" s="36"/>
      <c r="M642" s="36"/>
      <c r="N642" s="36"/>
      <c r="O642" s="36"/>
      <c r="P642" s="36"/>
      <c r="Q642" s="36"/>
      <c r="R642" s="36"/>
      <c r="S642" s="36"/>
      <c r="T642" s="36"/>
    </row>
    <row r="643" spans="1:20" ht="15.75">
      <c r="A643" s="13">
        <v>61087</v>
      </c>
      <c r="B643" s="44">
        <f t="shared" si="0"/>
        <v>31</v>
      </c>
      <c r="C643" s="35">
        <v>122.58</v>
      </c>
      <c r="D643" s="35">
        <v>297.94099999999997</v>
      </c>
      <c r="E643" s="41">
        <v>729.47900000000004</v>
      </c>
      <c r="F643" s="35">
        <v>1150</v>
      </c>
      <c r="G643" s="35">
        <v>100</v>
      </c>
      <c r="H643" s="43">
        <v>600</v>
      </c>
      <c r="I643" s="35">
        <v>695</v>
      </c>
      <c r="J643" s="35">
        <v>50</v>
      </c>
      <c r="K643" s="36"/>
      <c r="L643" s="36"/>
      <c r="M643" s="36"/>
      <c r="N643" s="36"/>
      <c r="O643" s="36"/>
      <c r="P643" s="36"/>
      <c r="Q643" s="36"/>
      <c r="R643" s="36"/>
      <c r="S643" s="36"/>
      <c r="T643" s="36"/>
    </row>
    <row r="644" spans="1:20" ht="15.75">
      <c r="A644" s="13">
        <v>61117</v>
      </c>
      <c r="B644" s="44">
        <f t="shared" si="0"/>
        <v>30</v>
      </c>
      <c r="C644" s="35">
        <v>141.29300000000001</v>
      </c>
      <c r="D644" s="35">
        <v>267.99299999999999</v>
      </c>
      <c r="E644" s="41">
        <v>829.71400000000006</v>
      </c>
      <c r="F644" s="35">
        <v>1239</v>
      </c>
      <c r="G644" s="35">
        <v>100</v>
      </c>
      <c r="H644" s="43">
        <v>600</v>
      </c>
      <c r="I644" s="35">
        <v>695</v>
      </c>
      <c r="J644" s="35">
        <v>50</v>
      </c>
      <c r="K644" s="36"/>
      <c r="L644" s="36"/>
      <c r="M644" s="36"/>
      <c r="N644" s="36"/>
      <c r="O644" s="36"/>
      <c r="P644" s="36"/>
      <c r="Q644" s="36"/>
      <c r="R644" s="36"/>
      <c r="S644" s="36"/>
      <c r="T644" s="36"/>
    </row>
    <row r="645" spans="1:20" ht="15.75">
      <c r="A645" s="13">
        <v>61148</v>
      </c>
      <c r="B645" s="44">
        <f t="shared" ref="B645:B708" si="1">EOMONTH(A645,0)-EOMONTH(A645,-1)</f>
        <v>31</v>
      </c>
      <c r="C645" s="35">
        <v>194.20500000000001</v>
      </c>
      <c r="D645" s="35">
        <v>267.46600000000001</v>
      </c>
      <c r="E645" s="41">
        <v>812.32899999999995</v>
      </c>
      <c r="F645" s="35">
        <v>1274</v>
      </c>
      <c r="G645" s="35">
        <v>75</v>
      </c>
      <c r="H645" s="43">
        <v>600</v>
      </c>
      <c r="I645" s="35">
        <v>695</v>
      </c>
      <c r="J645" s="35">
        <v>50</v>
      </c>
      <c r="K645" s="36"/>
      <c r="L645" s="36"/>
      <c r="M645" s="36"/>
      <c r="N645" s="36"/>
      <c r="O645" s="36"/>
      <c r="P645" s="36"/>
      <c r="Q645" s="36"/>
      <c r="R645" s="36"/>
      <c r="S645" s="36"/>
      <c r="T645" s="36"/>
    </row>
    <row r="646" spans="1:20" ht="15.75">
      <c r="A646" s="13">
        <v>61178</v>
      </c>
      <c r="B646" s="44">
        <f t="shared" si="1"/>
        <v>30</v>
      </c>
      <c r="C646" s="35">
        <v>194.20500000000001</v>
      </c>
      <c r="D646" s="35">
        <v>267.46600000000001</v>
      </c>
      <c r="E646" s="41">
        <v>812.32899999999995</v>
      </c>
      <c r="F646" s="35">
        <v>1274</v>
      </c>
      <c r="G646" s="35">
        <v>50</v>
      </c>
      <c r="H646" s="43">
        <v>600</v>
      </c>
      <c r="I646" s="35">
        <v>695</v>
      </c>
      <c r="J646" s="35">
        <v>50</v>
      </c>
      <c r="K646" s="36"/>
      <c r="L646" s="36"/>
      <c r="M646" s="36"/>
      <c r="N646" s="36"/>
      <c r="O646" s="36"/>
      <c r="P646" s="36"/>
      <c r="Q646" s="36"/>
      <c r="R646" s="36"/>
      <c r="S646" s="36"/>
      <c r="T646" s="36"/>
    </row>
    <row r="647" spans="1:20" ht="15.75">
      <c r="A647" s="13">
        <v>61209</v>
      </c>
      <c r="B647" s="44">
        <f t="shared" si="1"/>
        <v>31</v>
      </c>
      <c r="C647" s="35">
        <v>194.20500000000001</v>
      </c>
      <c r="D647" s="35">
        <v>267.46600000000001</v>
      </c>
      <c r="E647" s="41">
        <v>812.32899999999995</v>
      </c>
      <c r="F647" s="35">
        <v>1274</v>
      </c>
      <c r="G647" s="35">
        <v>50</v>
      </c>
      <c r="H647" s="43">
        <v>600</v>
      </c>
      <c r="I647" s="35">
        <v>695</v>
      </c>
      <c r="J647" s="35">
        <v>0</v>
      </c>
      <c r="K647" s="36"/>
      <c r="L647" s="36"/>
      <c r="M647" s="36"/>
      <c r="N647" s="36"/>
      <c r="O647" s="36"/>
      <c r="P647" s="36"/>
      <c r="Q647" s="36"/>
      <c r="R647" s="36"/>
      <c r="S647" s="36"/>
      <c r="T647" s="36"/>
    </row>
    <row r="648" spans="1:20" ht="15.75">
      <c r="A648" s="13">
        <v>61240</v>
      </c>
      <c r="B648" s="44">
        <f t="shared" si="1"/>
        <v>31</v>
      </c>
      <c r="C648" s="35">
        <v>194.20500000000001</v>
      </c>
      <c r="D648" s="35">
        <v>267.46600000000001</v>
      </c>
      <c r="E648" s="41">
        <v>812.32899999999995</v>
      </c>
      <c r="F648" s="35">
        <v>1274</v>
      </c>
      <c r="G648" s="35">
        <v>50</v>
      </c>
      <c r="H648" s="43">
        <v>600</v>
      </c>
      <c r="I648" s="35">
        <v>695</v>
      </c>
      <c r="J648" s="35">
        <v>0</v>
      </c>
      <c r="K648" s="36"/>
      <c r="L648" s="36"/>
      <c r="M648" s="36"/>
      <c r="N648" s="36"/>
      <c r="O648" s="36"/>
      <c r="P648" s="36"/>
      <c r="Q648" s="36"/>
      <c r="R648" s="36"/>
      <c r="S648" s="36"/>
      <c r="T648" s="36"/>
    </row>
    <row r="649" spans="1:20" ht="15.75">
      <c r="A649" s="13">
        <v>61270</v>
      </c>
      <c r="B649" s="44">
        <f t="shared" si="1"/>
        <v>30</v>
      </c>
      <c r="C649" s="35">
        <v>194.20500000000001</v>
      </c>
      <c r="D649" s="35">
        <v>267.46600000000001</v>
      </c>
      <c r="E649" s="41">
        <v>812.32899999999995</v>
      </c>
      <c r="F649" s="35">
        <v>1274</v>
      </c>
      <c r="G649" s="35">
        <v>50</v>
      </c>
      <c r="H649" s="43">
        <v>600</v>
      </c>
      <c r="I649" s="35">
        <v>695</v>
      </c>
      <c r="J649" s="35">
        <v>0</v>
      </c>
      <c r="K649" s="36"/>
      <c r="L649" s="36"/>
      <c r="M649" s="36"/>
      <c r="N649" s="36"/>
      <c r="O649" s="36"/>
      <c r="P649" s="36"/>
      <c r="Q649" s="36"/>
      <c r="R649" s="36"/>
      <c r="S649" s="36"/>
      <c r="T649" s="36"/>
    </row>
    <row r="650" spans="1:20" ht="15.75">
      <c r="A650" s="13">
        <v>61301</v>
      </c>
      <c r="B650" s="44">
        <f t="shared" si="1"/>
        <v>31</v>
      </c>
      <c r="C650" s="35">
        <v>131.881</v>
      </c>
      <c r="D650" s="35">
        <v>277.16699999999997</v>
      </c>
      <c r="E650" s="41">
        <v>829.952</v>
      </c>
      <c r="F650" s="35">
        <v>1239</v>
      </c>
      <c r="G650" s="35">
        <v>75</v>
      </c>
      <c r="H650" s="43">
        <v>600</v>
      </c>
      <c r="I650" s="35">
        <v>695</v>
      </c>
      <c r="J650" s="35">
        <v>0</v>
      </c>
      <c r="K650" s="36"/>
      <c r="L650" s="36"/>
      <c r="M650" s="36"/>
      <c r="N650" s="36"/>
      <c r="O650" s="36"/>
      <c r="P650" s="36"/>
      <c r="Q650" s="36"/>
      <c r="R650" s="36"/>
      <c r="S650" s="36"/>
      <c r="T650" s="36"/>
    </row>
    <row r="651" spans="1:20" ht="15.75">
      <c r="A651" s="13">
        <v>61331</v>
      </c>
      <c r="B651" s="44">
        <f t="shared" si="1"/>
        <v>30</v>
      </c>
      <c r="C651" s="35">
        <v>122.58</v>
      </c>
      <c r="D651" s="35">
        <v>297.94099999999997</v>
      </c>
      <c r="E651" s="41">
        <v>729.47900000000004</v>
      </c>
      <c r="F651" s="35">
        <v>1150</v>
      </c>
      <c r="G651" s="35">
        <v>100</v>
      </c>
      <c r="H651" s="43">
        <v>600</v>
      </c>
      <c r="I651" s="35">
        <v>695</v>
      </c>
      <c r="J651" s="35">
        <v>50</v>
      </c>
      <c r="K651" s="36"/>
      <c r="L651" s="36"/>
      <c r="M651" s="36"/>
      <c r="N651" s="36"/>
      <c r="O651" s="36"/>
      <c r="P651" s="36"/>
      <c r="Q651" s="36"/>
      <c r="R651" s="36"/>
      <c r="S651" s="36"/>
      <c r="T651" s="36"/>
    </row>
    <row r="652" spans="1:20" ht="15.75">
      <c r="A652" s="13">
        <v>61362</v>
      </c>
      <c r="B652" s="44">
        <f t="shared" si="1"/>
        <v>31</v>
      </c>
      <c r="C652" s="35">
        <v>122.58</v>
      </c>
      <c r="D652" s="35">
        <v>297.94099999999997</v>
      </c>
      <c r="E652" s="41">
        <v>729.47900000000004</v>
      </c>
      <c r="F652" s="35">
        <v>1150</v>
      </c>
      <c r="G652" s="35">
        <v>100</v>
      </c>
      <c r="H652" s="43">
        <v>600</v>
      </c>
      <c r="I652" s="35">
        <v>695</v>
      </c>
      <c r="J652" s="35">
        <v>50</v>
      </c>
      <c r="K652" s="36"/>
      <c r="L652" s="36"/>
      <c r="M652" s="36"/>
      <c r="N652" s="36"/>
      <c r="O652" s="36"/>
      <c r="P652" s="36"/>
      <c r="Q652" s="36"/>
      <c r="R652" s="36"/>
      <c r="S652" s="36"/>
      <c r="T652" s="36"/>
    </row>
    <row r="653" spans="1:20" ht="15.75">
      <c r="A653" s="13">
        <v>61393</v>
      </c>
      <c r="B653" s="44">
        <f t="shared" si="1"/>
        <v>31</v>
      </c>
      <c r="C653" s="35">
        <v>122.58</v>
      </c>
      <c r="D653" s="35">
        <v>297.94099999999997</v>
      </c>
      <c r="E653" s="41">
        <v>729.47900000000004</v>
      </c>
      <c r="F653" s="35">
        <v>1150</v>
      </c>
      <c r="G653" s="35">
        <v>100</v>
      </c>
      <c r="H653" s="43">
        <v>600</v>
      </c>
      <c r="I653" s="35">
        <v>695</v>
      </c>
      <c r="J653" s="35">
        <v>50</v>
      </c>
      <c r="K653" s="36"/>
      <c r="L653" s="36"/>
      <c r="M653" s="36"/>
      <c r="N653" s="36"/>
      <c r="O653" s="36"/>
      <c r="P653" s="36"/>
      <c r="Q653" s="36"/>
      <c r="R653" s="36"/>
      <c r="S653" s="36"/>
      <c r="T653" s="36"/>
    </row>
    <row r="654" spans="1:20" ht="15.75">
      <c r="A654" s="13">
        <v>61422</v>
      </c>
      <c r="B654" s="44">
        <f t="shared" si="1"/>
        <v>29</v>
      </c>
      <c r="C654" s="35">
        <v>122.58</v>
      </c>
      <c r="D654" s="35">
        <v>297.94099999999997</v>
      </c>
      <c r="E654" s="41">
        <v>729.47900000000004</v>
      </c>
      <c r="F654" s="35">
        <v>1150</v>
      </c>
      <c r="G654" s="35">
        <v>100</v>
      </c>
      <c r="H654" s="43">
        <v>600</v>
      </c>
      <c r="I654" s="35">
        <v>695</v>
      </c>
      <c r="J654" s="35">
        <v>50</v>
      </c>
      <c r="K654" s="36"/>
      <c r="L654" s="36"/>
      <c r="M654" s="36"/>
      <c r="N654" s="36"/>
      <c r="O654" s="36"/>
      <c r="P654" s="36"/>
      <c r="Q654" s="36"/>
      <c r="R654" s="36"/>
      <c r="S654" s="36"/>
      <c r="T654" s="36"/>
    </row>
    <row r="655" spans="1:20" ht="15.75">
      <c r="A655" s="13">
        <v>61453</v>
      </c>
      <c r="B655" s="44">
        <f t="shared" si="1"/>
        <v>31</v>
      </c>
      <c r="C655" s="35">
        <v>122.58</v>
      </c>
      <c r="D655" s="35">
        <v>297.94099999999997</v>
      </c>
      <c r="E655" s="41">
        <v>729.47900000000004</v>
      </c>
      <c r="F655" s="35">
        <v>1150</v>
      </c>
      <c r="G655" s="35">
        <v>100</v>
      </c>
      <c r="H655" s="43">
        <v>600</v>
      </c>
      <c r="I655" s="35">
        <v>695</v>
      </c>
      <c r="J655" s="35">
        <v>50</v>
      </c>
      <c r="K655" s="36"/>
      <c r="L655" s="36"/>
      <c r="M655" s="36"/>
      <c r="N655" s="36"/>
      <c r="O655" s="36"/>
      <c r="P655" s="36"/>
      <c r="Q655" s="36"/>
      <c r="R655" s="36"/>
      <c r="S655" s="36"/>
      <c r="T655" s="36"/>
    </row>
    <row r="656" spans="1:20" ht="15.75">
      <c r="A656" s="13">
        <v>61483</v>
      </c>
      <c r="B656" s="44">
        <f t="shared" si="1"/>
        <v>30</v>
      </c>
      <c r="C656" s="35">
        <v>141.29300000000001</v>
      </c>
      <c r="D656" s="35">
        <v>267.99299999999999</v>
      </c>
      <c r="E656" s="41">
        <v>829.71400000000006</v>
      </c>
      <c r="F656" s="35">
        <v>1239</v>
      </c>
      <c r="G656" s="35">
        <v>100</v>
      </c>
      <c r="H656" s="43">
        <v>600</v>
      </c>
      <c r="I656" s="35">
        <v>695</v>
      </c>
      <c r="J656" s="35">
        <v>50</v>
      </c>
      <c r="K656" s="36"/>
      <c r="L656" s="36"/>
      <c r="M656" s="36"/>
      <c r="N656" s="36"/>
      <c r="O656" s="36"/>
      <c r="P656" s="36"/>
      <c r="Q656" s="36"/>
      <c r="R656" s="36"/>
      <c r="S656" s="36"/>
      <c r="T656" s="36"/>
    </row>
    <row r="657" spans="1:20" ht="15.75">
      <c r="A657" s="13">
        <v>61514</v>
      </c>
      <c r="B657" s="44">
        <f t="shared" si="1"/>
        <v>31</v>
      </c>
      <c r="C657" s="35">
        <v>194.20500000000001</v>
      </c>
      <c r="D657" s="35">
        <v>267.46600000000001</v>
      </c>
      <c r="E657" s="41">
        <v>812.32899999999995</v>
      </c>
      <c r="F657" s="35">
        <v>1274</v>
      </c>
      <c r="G657" s="35">
        <v>75</v>
      </c>
      <c r="H657" s="43">
        <v>600</v>
      </c>
      <c r="I657" s="35">
        <v>695</v>
      </c>
      <c r="J657" s="35">
        <v>50</v>
      </c>
      <c r="K657" s="36"/>
      <c r="L657" s="36"/>
      <c r="M657" s="36"/>
      <c r="N657" s="36"/>
      <c r="O657" s="36"/>
      <c r="P657" s="36"/>
      <c r="Q657" s="36"/>
      <c r="R657" s="36"/>
      <c r="S657" s="36"/>
      <c r="T657" s="36"/>
    </row>
    <row r="658" spans="1:20" ht="15.75">
      <c r="A658" s="13">
        <v>61544</v>
      </c>
      <c r="B658" s="44">
        <f t="shared" si="1"/>
        <v>30</v>
      </c>
      <c r="C658" s="35">
        <v>194.20500000000001</v>
      </c>
      <c r="D658" s="35">
        <v>267.46600000000001</v>
      </c>
      <c r="E658" s="41">
        <v>812.32899999999995</v>
      </c>
      <c r="F658" s="35">
        <v>1274</v>
      </c>
      <c r="G658" s="35">
        <v>50</v>
      </c>
      <c r="H658" s="43">
        <v>600</v>
      </c>
      <c r="I658" s="35">
        <v>695</v>
      </c>
      <c r="J658" s="35">
        <v>50</v>
      </c>
      <c r="K658" s="36"/>
      <c r="L658" s="36"/>
      <c r="M658" s="36"/>
      <c r="N658" s="36"/>
      <c r="O658" s="36"/>
      <c r="P658" s="36"/>
      <c r="Q658" s="36"/>
      <c r="R658" s="36"/>
      <c r="S658" s="36"/>
      <c r="T658" s="36"/>
    </row>
    <row r="659" spans="1:20" ht="15.75">
      <c r="A659" s="13">
        <v>61575</v>
      </c>
      <c r="B659" s="44">
        <f t="shared" si="1"/>
        <v>31</v>
      </c>
      <c r="C659" s="35">
        <v>194.20500000000001</v>
      </c>
      <c r="D659" s="35">
        <v>267.46600000000001</v>
      </c>
      <c r="E659" s="41">
        <v>812.32899999999995</v>
      </c>
      <c r="F659" s="35">
        <v>1274</v>
      </c>
      <c r="G659" s="35">
        <v>50</v>
      </c>
      <c r="H659" s="43">
        <v>600</v>
      </c>
      <c r="I659" s="35">
        <v>695</v>
      </c>
      <c r="J659" s="35">
        <v>0</v>
      </c>
      <c r="K659" s="36"/>
      <c r="L659" s="36"/>
      <c r="M659" s="36"/>
      <c r="N659" s="36"/>
      <c r="O659" s="36"/>
      <c r="P659" s="36"/>
      <c r="Q659" s="36"/>
      <c r="R659" s="36"/>
      <c r="S659" s="36"/>
      <c r="T659" s="36"/>
    </row>
    <row r="660" spans="1:20" ht="15.75">
      <c r="A660" s="13">
        <v>61606</v>
      </c>
      <c r="B660" s="44">
        <f t="shared" si="1"/>
        <v>31</v>
      </c>
      <c r="C660" s="35">
        <v>194.20500000000001</v>
      </c>
      <c r="D660" s="35">
        <v>267.46600000000001</v>
      </c>
      <c r="E660" s="41">
        <v>812.32899999999995</v>
      </c>
      <c r="F660" s="35">
        <v>1274</v>
      </c>
      <c r="G660" s="35">
        <v>50</v>
      </c>
      <c r="H660" s="43">
        <v>600</v>
      </c>
      <c r="I660" s="35">
        <v>695</v>
      </c>
      <c r="J660" s="35">
        <v>0</v>
      </c>
      <c r="K660" s="36"/>
      <c r="L660" s="36"/>
      <c r="M660" s="36"/>
      <c r="N660" s="36"/>
      <c r="O660" s="36"/>
      <c r="P660" s="36"/>
      <c r="Q660" s="36"/>
      <c r="R660" s="36"/>
      <c r="S660" s="36"/>
      <c r="T660" s="36"/>
    </row>
    <row r="661" spans="1:20" ht="15.75">
      <c r="A661" s="13">
        <v>61636</v>
      </c>
      <c r="B661" s="44">
        <f t="shared" si="1"/>
        <v>30</v>
      </c>
      <c r="C661" s="35">
        <v>194.20500000000001</v>
      </c>
      <c r="D661" s="35">
        <v>267.46600000000001</v>
      </c>
      <c r="E661" s="41">
        <v>812.32899999999995</v>
      </c>
      <c r="F661" s="35">
        <v>1274</v>
      </c>
      <c r="G661" s="35">
        <v>50</v>
      </c>
      <c r="H661" s="43">
        <v>600</v>
      </c>
      <c r="I661" s="35">
        <v>695</v>
      </c>
      <c r="J661" s="35">
        <v>0</v>
      </c>
      <c r="K661" s="36"/>
      <c r="L661" s="36"/>
      <c r="M661" s="36"/>
      <c r="N661" s="36"/>
      <c r="O661" s="36"/>
      <c r="P661" s="36"/>
      <c r="Q661" s="36"/>
      <c r="R661" s="36"/>
      <c r="S661" s="36"/>
      <c r="T661" s="36"/>
    </row>
    <row r="662" spans="1:20" ht="15.75">
      <c r="A662" s="13">
        <v>61667</v>
      </c>
      <c r="B662" s="44">
        <f t="shared" si="1"/>
        <v>31</v>
      </c>
      <c r="C662" s="35">
        <v>131.881</v>
      </c>
      <c r="D662" s="35">
        <v>277.16699999999997</v>
      </c>
      <c r="E662" s="41">
        <v>829.952</v>
      </c>
      <c r="F662" s="35">
        <v>1239</v>
      </c>
      <c r="G662" s="35">
        <v>75</v>
      </c>
      <c r="H662" s="43">
        <v>600</v>
      </c>
      <c r="I662" s="35">
        <v>695</v>
      </c>
      <c r="J662" s="35">
        <v>0</v>
      </c>
      <c r="K662" s="36"/>
      <c r="L662" s="36"/>
      <c r="M662" s="36"/>
      <c r="N662" s="36"/>
      <c r="O662" s="36"/>
      <c r="P662" s="36"/>
      <c r="Q662" s="36"/>
      <c r="R662" s="36"/>
      <c r="S662" s="36"/>
      <c r="T662" s="36"/>
    </row>
    <row r="663" spans="1:20" ht="15.75">
      <c r="A663" s="13">
        <v>61697</v>
      </c>
      <c r="B663" s="44">
        <f t="shared" si="1"/>
        <v>30</v>
      </c>
      <c r="C663" s="35">
        <v>122.58</v>
      </c>
      <c r="D663" s="35">
        <v>297.94099999999997</v>
      </c>
      <c r="E663" s="41">
        <v>729.47900000000004</v>
      </c>
      <c r="F663" s="35">
        <v>1150</v>
      </c>
      <c r="G663" s="35">
        <v>100</v>
      </c>
      <c r="H663" s="43">
        <v>600</v>
      </c>
      <c r="I663" s="35">
        <v>695</v>
      </c>
      <c r="J663" s="35">
        <v>50</v>
      </c>
      <c r="K663" s="36"/>
      <c r="L663" s="36"/>
      <c r="M663" s="36"/>
      <c r="N663" s="36"/>
      <c r="O663" s="36"/>
      <c r="P663" s="36"/>
      <c r="Q663" s="36"/>
      <c r="R663" s="36"/>
      <c r="S663" s="36"/>
      <c r="T663" s="36"/>
    </row>
    <row r="664" spans="1:20" ht="15.75">
      <c r="A664" s="13">
        <v>61728</v>
      </c>
      <c r="B664" s="44">
        <f t="shared" si="1"/>
        <v>31</v>
      </c>
      <c r="C664" s="35">
        <v>122.58</v>
      </c>
      <c r="D664" s="35">
        <v>297.94099999999997</v>
      </c>
      <c r="E664" s="41">
        <v>729.47900000000004</v>
      </c>
      <c r="F664" s="35">
        <v>1150</v>
      </c>
      <c r="G664" s="35">
        <v>100</v>
      </c>
      <c r="H664" s="43">
        <v>600</v>
      </c>
      <c r="I664" s="35">
        <v>695</v>
      </c>
      <c r="J664" s="35">
        <v>50</v>
      </c>
      <c r="K664" s="36"/>
      <c r="L664" s="36"/>
      <c r="M664" s="36"/>
      <c r="N664" s="36"/>
      <c r="O664" s="36"/>
      <c r="P664" s="36"/>
      <c r="Q664" s="36"/>
      <c r="R664" s="36"/>
      <c r="S664" s="36"/>
      <c r="T664" s="36"/>
    </row>
    <row r="665" spans="1:20" ht="15.75">
      <c r="A665" s="13">
        <v>61759</v>
      </c>
      <c r="B665" s="44">
        <f t="shared" si="1"/>
        <v>31</v>
      </c>
      <c r="C665" s="35">
        <v>122.58</v>
      </c>
      <c r="D665" s="35">
        <v>297.94099999999997</v>
      </c>
      <c r="E665" s="41">
        <v>729.47900000000004</v>
      </c>
      <c r="F665" s="35">
        <v>1150</v>
      </c>
      <c r="G665" s="35">
        <v>100</v>
      </c>
      <c r="H665" s="43">
        <v>600</v>
      </c>
      <c r="I665" s="35">
        <v>695</v>
      </c>
      <c r="J665" s="35">
        <v>50</v>
      </c>
      <c r="K665" s="36"/>
      <c r="L665" s="36"/>
      <c r="M665" s="36"/>
      <c r="N665" s="36"/>
      <c r="O665" s="36"/>
      <c r="P665" s="36"/>
      <c r="Q665" s="36"/>
      <c r="R665" s="36"/>
      <c r="S665" s="36"/>
      <c r="T665" s="36"/>
    </row>
    <row r="666" spans="1:20" ht="15.75">
      <c r="A666" s="13">
        <v>61787</v>
      </c>
      <c r="B666" s="44">
        <f t="shared" si="1"/>
        <v>28</v>
      </c>
      <c r="C666" s="35">
        <v>122.58</v>
      </c>
      <c r="D666" s="35">
        <v>297.94099999999997</v>
      </c>
      <c r="E666" s="41">
        <v>729.47900000000004</v>
      </c>
      <c r="F666" s="35">
        <v>1150</v>
      </c>
      <c r="G666" s="35">
        <v>100</v>
      </c>
      <c r="H666" s="43">
        <v>600</v>
      </c>
      <c r="I666" s="35">
        <v>695</v>
      </c>
      <c r="J666" s="35">
        <v>50</v>
      </c>
      <c r="K666" s="36"/>
      <c r="L666" s="36"/>
      <c r="M666" s="36"/>
      <c r="N666" s="36"/>
      <c r="O666" s="36"/>
      <c r="P666" s="36"/>
      <c r="Q666" s="36"/>
      <c r="R666" s="36"/>
      <c r="S666" s="36"/>
      <c r="T666" s="36"/>
    </row>
    <row r="667" spans="1:20" ht="15.75">
      <c r="A667" s="13">
        <v>61818</v>
      </c>
      <c r="B667" s="44">
        <f t="shared" si="1"/>
        <v>31</v>
      </c>
      <c r="C667" s="35">
        <v>122.58</v>
      </c>
      <c r="D667" s="35">
        <v>297.94099999999997</v>
      </c>
      <c r="E667" s="41">
        <v>729.47900000000004</v>
      </c>
      <c r="F667" s="35">
        <v>1150</v>
      </c>
      <c r="G667" s="35">
        <v>100</v>
      </c>
      <c r="H667" s="43">
        <v>600</v>
      </c>
      <c r="I667" s="35">
        <v>695</v>
      </c>
      <c r="J667" s="35">
        <v>50</v>
      </c>
      <c r="K667" s="36"/>
      <c r="L667" s="36"/>
      <c r="M667" s="36"/>
      <c r="N667" s="36"/>
      <c r="O667" s="36"/>
      <c r="P667" s="36"/>
      <c r="Q667" s="36"/>
      <c r="R667" s="36"/>
      <c r="S667" s="36"/>
      <c r="T667" s="36"/>
    </row>
    <row r="668" spans="1:20" ht="15.75">
      <c r="A668" s="13">
        <v>61848</v>
      </c>
      <c r="B668" s="44">
        <f t="shared" si="1"/>
        <v>30</v>
      </c>
      <c r="C668" s="35">
        <v>141.29300000000001</v>
      </c>
      <c r="D668" s="35">
        <v>267.99299999999999</v>
      </c>
      <c r="E668" s="41">
        <v>829.71400000000006</v>
      </c>
      <c r="F668" s="35">
        <v>1239</v>
      </c>
      <c r="G668" s="35">
        <v>100</v>
      </c>
      <c r="H668" s="43">
        <v>600</v>
      </c>
      <c r="I668" s="35">
        <v>695</v>
      </c>
      <c r="J668" s="35">
        <v>50</v>
      </c>
      <c r="K668" s="36"/>
      <c r="L668" s="36"/>
      <c r="M668" s="36"/>
      <c r="N668" s="36"/>
      <c r="O668" s="36"/>
      <c r="P668" s="36"/>
      <c r="Q668" s="36"/>
      <c r="R668" s="36"/>
      <c r="S668" s="36"/>
      <c r="T668" s="36"/>
    </row>
    <row r="669" spans="1:20" ht="15.75">
      <c r="A669" s="13">
        <v>61879</v>
      </c>
      <c r="B669" s="44">
        <f t="shared" si="1"/>
        <v>31</v>
      </c>
      <c r="C669" s="35">
        <v>194.20500000000001</v>
      </c>
      <c r="D669" s="35">
        <v>267.46600000000001</v>
      </c>
      <c r="E669" s="41">
        <v>812.32899999999995</v>
      </c>
      <c r="F669" s="35">
        <v>1274</v>
      </c>
      <c r="G669" s="35">
        <v>75</v>
      </c>
      <c r="H669" s="43">
        <v>600</v>
      </c>
      <c r="I669" s="35">
        <v>695</v>
      </c>
      <c r="J669" s="35">
        <v>50</v>
      </c>
      <c r="K669" s="36"/>
      <c r="L669" s="36"/>
      <c r="M669" s="36"/>
      <c r="N669" s="36"/>
      <c r="O669" s="36"/>
      <c r="P669" s="36"/>
      <c r="Q669" s="36"/>
      <c r="R669" s="36"/>
      <c r="S669" s="36"/>
      <c r="T669" s="36"/>
    </row>
    <row r="670" spans="1:20" ht="15.75">
      <c r="A670" s="13">
        <v>61909</v>
      </c>
      <c r="B670" s="44">
        <f t="shared" si="1"/>
        <v>30</v>
      </c>
      <c r="C670" s="35">
        <v>194.20500000000001</v>
      </c>
      <c r="D670" s="35">
        <v>267.46600000000001</v>
      </c>
      <c r="E670" s="41">
        <v>812.32899999999995</v>
      </c>
      <c r="F670" s="35">
        <v>1274</v>
      </c>
      <c r="G670" s="35">
        <v>50</v>
      </c>
      <c r="H670" s="43">
        <v>600</v>
      </c>
      <c r="I670" s="35">
        <v>695</v>
      </c>
      <c r="J670" s="35">
        <v>50</v>
      </c>
      <c r="K670" s="36"/>
      <c r="L670" s="36"/>
      <c r="M670" s="36"/>
      <c r="N670" s="36"/>
      <c r="O670" s="36"/>
      <c r="P670" s="36"/>
      <c r="Q670" s="36"/>
      <c r="R670" s="36"/>
      <c r="S670" s="36"/>
      <c r="T670" s="36"/>
    </row>
    <row r="671" spans="1:20" ht="15.75">
      <c r="A671" s="13">
        <v>61940</v>
      </c>
      <c r="B671" s="44">
        <f t="shared" si="1"/>
        <v>31</v>
      </c>
      <c r="C671" s="35">
        <v>194.20500000000001</v>
      </c>
      <c r="D671" s="35">
        <v>267.46600000000001</v>
      </c>
      <c r="E671" s="41">
        <v>812.32899999999995</v>
      </c>
      <c r="F671" s="35">
        <v>1274</v>
      </c>
      <c r="G671" s="35">
        <v>50</v>
      </c>
      <c r="H671" s="43">
        <v>600</v>
      </c>
      <c r="I671" s="35">
        <v>695</v>
      </c>
      <c r="J671" s="35">
        <v>0</v>
      </c>
      <c r="K671" s="36"/>
      <c r="L671" s="36"/>
      <c r="M671" s="36"/>
      <c r="N671" s="36"/>
      <c r="O671" s="36"/>
      <c r="P671" s="36"/>
      <c r="Q671" s="36"/>
      <c r="R671" s="36"/>
      <c r="S671" s="36"/>
      <c r="T671" s="36"/>
    </row>
    <row r="672" spans="1:20" ht="15.75">
      <c r="A672" s="13">
        <v>61971</v>
      </c>
      <c r="B672" s="44">
        <f t="shared" si="1"/>
        <v>31</v>
      </c>
      <c r="C672" s="35">
        <v>194.20500000000001</v>
      </c>
      <c r="D672" s="35">
        <v>267.46600000000001</v>
      </c>
      <c r="E672" s="41">
        <v>812.32899999999995</v>
      </c>
      <c r="F672" s="35">
        <v>1274</v>
      </c>
      <c r="G672" s="35">
        <v>50</v>
      </c>
      <c r="H672" s="43">
        <v>600</v>
      </c>
      <c r="I672" s="35">
        <v>695</v>
      </c>
      <c r="J672" s="35">
        <v>0</v>
      </c>
      <c r="K672" s="36"/>
      <c r="L672" s="36"/>
      <c r="M672" s="36"/>
      <c r="N672" s="36"/>
      <c r="O672" s="36"/>
      <c r="P672" s="36"/>
      <c r="Q672" s="36"/>
      <c r="R672" s="36"/>
      <c r="S672" s="36"/>
      <c r="T672" s="36"/>
    </row>
    <row r="673" spans="1:20" ht="15.75">
      <c r="A673" s="13">
        <v>62001</v>
      </c>
      <c r="B673" s="44">
        <f t="shared" si="1"/>
        <v>30</v>
      </c>
      <c r="C673" s="35">
        <v>194.20500000000001</v>
      </c>
      <c r="D673" s="35">
        <v>267.46600000000001</v>
      </c>
      <c r="E673" s="41">
        <v>812.32899999999995</v>
      </c>
      <c r="F673" s="35">
        <v>1274</v>
      </c>
      <c r="G673" s="35">
        <v>50</v>
      </c>
      <c r="H673" s="43">
        <v>600</v>
      </c>
      <c r="I673" s="35">
        <v>695</v>
      </c>
      <c r="J673" s="35">
        <v>0</v>
      </c>
      <c r="K673" s="36"/>
      <c r="L673" s="36"/>
      <c r="M673" s="36"/>
      <c r="N673" s="36"/>
      <c r="O673" s="36"/>
      <c r="P673" s="36"/>
      <c r="Q673" s="36"/>
      <c r="R673" s="36"/>
      <c r="S673" s="36"/>
      <c r="T673" s="36"/>
    </row>
    <row r="674" spans="1:20" ht="15.75">
      <c r="A674" s="13">
        <v>62032</v>
      </c>
      <c r="B674" s="44">
        <f t="shared" si="1"/>
        <v>31</v>
      </c>
      <c r="C674" s="35">
        <v>131.881</v>
      </c>
      <c r="D674" s="35">
        <v>277.16699999999997</v>
      </c>
      <c r="E674" s="41">
        <v>829.952</v>
      </c>
      <c r="F674" s="35">
        <v>1239</v>
      </c>
      <c r="G674" s="35">
        <v>75</v>
      </c>
      <c r="H674" s="43">
        <v>600</v>
      </c>
      <c r="I674" s="35">
        <v>695</v>
      </c>
      <c r="J674" s="35">
        <v>0</v>
      </c>
      <c r="K674" s="36"/>
      <c r="L674" s="36"/>
      <c r="M674" s="36"/>
      <c r="N674" s="36"/>
      <c r="O674" s="36"/>
      <c r="P674" s="36"/>
      <c r="Q674" s="36"/>
      <c r="R674" s="36"/>
      <c r="S674" s="36"/>
      <c r="T674" s="36"/>
    </row>
    <row r="675" spans="1:20" ht="15.75">
      <c r="A675" s="13">
        <v>62062</v>
      </c>
      <c r="B675" s="44">
        <f t="shared" si="1"/>
        <v>30</v>
      </c>
      <c r="C675" s="35">
        <v>122.58</v>
      </c>
      <c r="D675" s="35">
        <v>297.94099999999997</v>
      </c>
      <c r="E675" s="41">
        <v>729.47900000000004</v>
      </c>
      <c r="F675" s="35">
        <v>1150</v>
      </c>
      <c r="G675" s="35">
        <v>100</v>
      </c>
      <c r="H675" s="43">
        <v>600</v>
      </c>
      <c r="I675" s="35">
        <v>695</v>
      </c>
      <c r="J675" s="35">
        <v>50</v>
      </c>
      <c r="K675" s="36"/>
      <c r="L675" s="36"/>
      <c r="M675" s="36"/>
      <c r="N675" s="36"/>
      <c r="O675" s="36"/>
      <c r="P675" s="36"/>
      <c r="Q675" s="36"/>
      <c r="R675" s="36"/>
      <c r="S675" s="36"/>
      <c r="T675" s="36"/>
    </row>
    <row r="676" spans="1:20" ht="15.75">
      <c r="A676" s="13">
        <v>62093</v>
      </c>
      <c r="B676" s="44">
        <f t="shared" si="1"/>
        <v>31</v>
      </c>
      <c r="C676" s="35">
        <v>122.58</v>
      </c>
      <c r="D676" s="35">
        <v>297.94099999999997</v>
      </c>
      <c r="E676" s="41">
        <v>729.47900000000004</v>
      </c>
      <c r="F676" s="35">
        <v>1150</v>
      </c>
      <c r="G676" s="35">
        <v>100</v>
      </c>
      <c r="H676" s="43">
        <v>600</v>
      </c>
      <c r="I676" s="35">
        <v>695</v>
      </c>
      <c r="J676" s="35">
        <v>50</v>
      </c>
      <c r="K676" s="36"/>
      <c r="L676" s="36"/>
      <c r="M676" s="36"/>
      <c r="N676" s="36"/>
      <c r="O676" s="36"/>
      <c r="P676" s="36"/>
      <c r="Q676" s="36"/>
      <c r="R676" s="36"/>
      <c r="S676" s="36"/>
      <c r="T676" s="36"/>
    </row>
    <row r="677" spans="1:20" ht="15.75">
      <c r="A677" s="13">
        <v>62124</v>
      </c>
      <c r="B677" s="44">
        <f t="shared" si="1"/>
        <v>31</v>
      </c>
      <c r="C677" s="35">
        <v>122.58</v>
      </c>
      <c r="D677" s="35">
        <v>297.94099999999997</v>
      </c>
      <c r="E677" s="41">
        <v>729.47900000000004</v>
      </c>
      <c r="F677" s="35">
        <v>1150</v>
      </c>
      <c r="G677" s="35">
        <v>100</v>
      </c>
      <c r="H677" s="43">
        <v>600</v>
      </c>
      <c r="I677" s="35">
        <v>695</v>
      </c>
      <c r="J677" s="35">
        <v>50</v>
      </c>
      <c r="K677" s="36"/>
      <c r="L677" s="36"/>
      <c r="M677" s="36"/>
      <c r="N677" s="36"/>
      <c r="O677" s="36"/>
      <c r="P677" s="36"/>
      <c r="Q677" s="36"/>
      <c r="R677" s="36"/>
      <c r="S677" s="36"/>
      <c r="T677" s="36"/>
    </row>
    <row r="678" spans="1:20" ht="15.75">
      <c r="A678" s="13">
        <v>62152</v>
      </c>
      <c r="B678" s="44">
        <f t="shared" si="1"/>
        <v>28</v>
      </c>
      <c r="C678" s="35">
        <v>122.58</v>
      </c>
      <c r="D678" s="35">
        <v>297.94099999999997</v>
      </c>
      <c r="E678" s="41">
        <v>729.47900000000004</v>
      </c>
      <c r="F678" s="35">
        <v>1150</v>
      </c>
      <c r="G678" s="35">
        <v>100</v>
      </c>
      <c r="H678" s="43">
        <v>600</v>
      </c>
      <c r="I678" s="35">
        <v>695</v>
      </c>
      <c r="J678" s="35">
        <v>50</v>
      </c>
      <c r="K678" s="36"/>
      <c r="L678" s="36"/>
      <c r="M678" s="36"/>
      <c r="N678" s="36"/>
      <c r="O678" s="36"/>
      <c r="P678" s="36"/>
      <c r="Q678" s="36"/>
      <c r="R678" s="36"/>
      <c r="S678" s="36"/>
      <c r="T678" s="36"/>
    </row>
    <row r="679" spans="1:20" ht="15.75">
      <c r="A679" s="13">
        <v>62183</v>
      </c>
      <c r="B679" s="44">
        <f t="shared" si="1"/>
        <v>31</v>
      </c>
      <c r="C679" s="35">
        <v>122.58</v>
      </c>
      <c r="D679" s="35">
        <v>297.94099999999997</v>
      </c>
      <c r="E679" s="41">
        <v>729.47900000000004</v>
      </c>
      <c r="F679" s="35">
        <v>1150</v>
      </c>
      <c r="G679" s="35">
        <v>100</v>
      </c>
      <c r="H679" s="43">
        <v>600</v>
      </c>
      <c r="I679" s="35">
        <v>695</v>
      </c>
      <c r="J679" s="35">
        <v>50</v>
      </c>
      <c r="K679" s="36"/>
      <c r="L679" s="36"/>
      <c r="M679" s="36"/>
      <c r="N679" s="36"/>
      <c r="O679" s="36"/>
      <c r="P679" s="36"/>
      <c r="Q679" s="36"/>
      <c r="R679" s="36"/>
      <c r="S679" s="36"/>
      <c r="T679" s="36"/>
    </row>
    <row r="680" spans="1:20" ht="15.75">
      <c r="A680" s="13">
        <v>62213</v>
      </c>
      <c r="B680" s="44">
        <f t="shared" si="1"/>
        <v>30</v>
      </c>
      <c r="C680" s="35">
        <v>141.29300000000001</v>
      </c>
      <c r="D680" s="35">
        <v>267.99299999999999</v>
      </c>
      <c r="E680" s="41">
        <v>829.71400000000006</v>
      </c>
      <c r="F680" s="35">
        <v>1239</v>
      </c>
      <c r="G680" s="35">
        <v>100</v>
      </c>
      <c r="H680" s="43">
        <v>600</v>
      </c>
      <c r="I680" s="35">
        <v>695</v>
      </c>
      <c r="J680" s="35">
        <v>50</v>
      </c>
      <c r="K680" s="36"/>
      <c r="L680" s="36"/>
      <c r="M680" s="36"/>
      <c r="N680" s="36"/>
      <c r="O680" s="36"/>
      <c r="P680" s="36"/>
      <c r="Q680" s="36"/>
      <c r="R680" s="36"/>
      <c r="S680" s="36"/>
      <c r="T680" s="36"/>
    </row>
    <row r="681" spans="1:20" ht="15.75">
      <c r="A681" s="13">
        <v>62244</v>
      </c>
      <c r="B681" s="44">
        <f t="shared" si="1"/>
        <v>31</v>
      </c>
      <c r="C681" s="35">
        <v>194.20500000000001</v>
      </c>
      <c r="D681" s="35">
        <v>267.46600000000001</v>
      </c>
      <c r="E681" s="41">
        <v>812.32899999999995</v>
      </c>
      <c r="F681" s="35">
        <v>1274</v>
      </c>
      <c r="G681" s="35">
        <v>75</v>
      </c>
      <c r="H681" s="43">
        <v>600</v>
      </c>
      <c r="I681" s="35">
        <v>695</v>
      </c>
      <c r="J681" s="35">
        <v>50</v>
      </c>
      <c r="K681" s="36"/>
      <c r="L681" s="36"/>
      <c r="M681" s="36"/>
      <c r="N681" s="36"/>
      <c r="O681" s="36"/>
      <c r="P681" s="36"/>
      <c r="Q681" s="36"/>
      <c r="R681" s="36"/>
      <c r="S681" s="36"/>
      <c r="T681" s="36"/>
    </row>
    <row r="682" spans="1:20" ht="15.75">
      <c r="A682" s="13">
        <v>62274</v>
      </c>
      <c r="B682" s="44">
        <f t="shared" si="1"/>
        <v>30</v>
      </c>
      <c r="C682" s="35">
        <v>194.20500000000001</v>
      </c>
      <c r="D682" s="35">
        <v>267.46600000000001</v>
      </c>
      <c r="E682" s="41">
        <v>812.32899999999995</v>
      </c>
      <c r="F682" s="35">
        <v>1274</v>
      </c>
      <c r="G682" s="35">
        <v>50</v>
      </c>
      <c r="H682" s="43">
        <v>600</v>
      </c>
      <c r="I682" s="35">
        <v>695</v>
      </c>
      <c r="J682" s="35">
        <v>50</v>
      </c>
      <c r="K682" s="36"/>
      <c r="L682" s="36"/>
      <c r="M682" s="36"/>
      <c r="N682" s="36"/>
      <c r="O682" s="36"/>
      <c r="P682" s="36"/>
      <c r="Q682" s="36"/>
      <c r="R682" s="36"/>
      <c r="S682" s="36"/>
      <c r="T682" s="36"/>
    </row>
    <row r="683" spans="1:20" ht="15.75">
      <c r="A683" s="13">
        <v>62305</v>
      </c>
      <c r="B683" s="44">
        <f t="shared" si="1"/>
        <v>31</v>
      </c>
      <c r="C683" s="35">
        <v>194.20500000000001</v>
      </c>
      <c r="D683" s="35">
        <v>267.46600000000001</v>
      </c>
      <c r="E683" s="41">
        <v>812.32899999999995</v>
      </c>
      <c r="F683" s="35">
        <v>1274</v>
      </c>
      <c r="G683" s="35">
        <v>50</v>
      </c>
      <c r="H683" s="43">
        <v>600</v>
      </c>
      <c r="I683" s="35">
        <v>695</v>
      </c>
      <c r="J683" s="35">
        <v>0</v>
      </c>
      <c r="K683" s="36"/>
      <c r="L683" s="36"/>
      <c r="M683" s="36"/>
      <c r="N683" s="36"/>
      <c r="O683" s="36"/>
      <c r="P683" s="36"/>
      <c r="Q683" s="36"/>
      <c r="R683" s="36"/>
      <c r="S683" s="36"/>
      <c r="T683" s="36"/>
    </row>
    <row r="684" spans="1:20" ht="15.75">
      <c r="A684" s="13">
        <v>62336</v>
      </c>
      <c r="B684" s="44">
        <f t="shared" si="1"/>
        <v>31</v>
      </c>
      <c r="C684" s="35">
        <v>194.20500000000001</v>
      </c>
      <c r="D684" s="35">
        <v>267.46600000000001</v>
      </c>
      <c r="E684" s="41">
        <v>812.32899999999995</v>
      </c>
      <c r="F684" s="35">
        <v>1274</v>
      </c>
      <c r="G684" s="35">
        <v>50</v>
      </c>
      <c r="H684" s="43">
        <v>600</v>
      </c>
      <c r="I684" s="35">
        <v>695</v>
      </c>
      <c r="J684" s="35">
        <v>0</v>
      </c>
      <c r="K684" s="36"/>
      <c r="L684" s="36"/>
      <c r="M684" s="36"/>
      <c r="N684" s="36"/>
      <c r="O684" s="36"/>
      <c r="P684" s="36"/>
      <c r="Q684" s="36"/>
      <c r="R684" s="36"/>
      <c r="S684" s="36"/>
      <c r="T684" s="36"/>
    </row>
    <row r="685" spans="1:20" ht="15.75">
      <c r="A685" s="13">
        <v>62366</v>
      </c>
      <c r="B685" s="44">
        <f t="shared" si="1"/>
        <v>30</v>
      </c>
      <c r="C685" s="35">
        <v>194.20500000000001</v>
      </c>
      <c r="D685" s="35">
        <v>267.46600000000001</v>
      </c>
      <c r="E685" s="41">
        <v>812.32899999999995</v>
      </c>
      <c r="F685" s="35">
        <v>1274</v>
      </c>
      <c r="G685" s="35">
        <v>50</v>
      </c>
      <c r="H685" s="43">
        <v>600</v>
      </c>
      <c r="I685" s="35">
        <v>695</v>
      </c>
      <c r="J685" s="35">
        <v>0</v>
      </c>
      <c r="K685" s="36"/>
      <c r="L685" s="36"/>
      <c r="M685" s="36"/>
      <c r="N685" s="36"/>
      <c r="O685" s="36"/>
      <c r="P685" s="36"/>
      <c r="Q685" s="36"/>
      <c r="R685" s="36"/>
      <c r="S685" s="36"/>
      <c r="T685" s="36"/>
    </row>
    <row r="686" spans="1:20" ht="15.75">
      <c r="A686" s="13">
        <v>62397</v>
      </c>
      <c r="B686" s="44">
        <f t="shared" si="1"/>
        <v>31</v>
      </c>
      <c r="C686" s="35">
        <v>131.881</v>
      </c>
      <c r="D686" s="35">
        <v>277.16699999999997</v>
      </c>
      <c r="E686" s="41">
        <v>829.952</v>
      </c>
      <c r="F686" s="35">
        <v>1239</v>
      </c>
      <c r="G686" s="35">
        <v>75</v>
      </c>
      <c r="H686" s="43">
        <v>600</v>
      </c>
      <c r="I686" s="35">
        <v>695</v>
      </c>
      <c r="J686" s="35">
        <v>0</v>
      </c>
      <c r="K686" s="36"/>
      <c r="L686" s="36"/>
      <c r="M686" s="36"/>
      <c r="N686" s="36"/>
      <c r="O686" s="36"/>
      <c r="P686" s="36"/>
      <c r="Q686" s="36"/>
      <c r="R686" s="36"/>
      <c r="S686" s="36"/>
      <c r="T686" s="36"/>
    </row>
    <row r="687" spans="1:20" ht="15.75">
      <c r="A687" s="13">
        <v>62427</v>
      </c>
      <c r="B687" s="44">
        <f t="shared" si="1"/>
        <v>30</v>
      </c>
      <c r="C687" s="35">
        <v>122.58</v>
      </c>
      <c r="D687" s="35">
        <v>297.94099999999997</v>
      </c>
      <c r="E687" s="41">
        <v>729.47900000000004</v>
      </c>
      <c r="F687" s="35">
        <v>1150</v>
      </c>
      <c r="G687" s="35">
        <v>100</v>
      </c>
      <c r="H687" s="43">
        <v>600</v>
      </c>
      <c r="I687" s="35">
        <v>695</v>
      </c>
      <c r="J687" s="35">
        <v>50</v>
      </c>
      <c r="K687" s="36"/>
      <c r="L687" s="36"/>
      <c r="M687" s="36"/>
      <c r="N687" s="36"/>
      <c r="O687" s="36"/>
      <c r="P687" s="36"/>
      <c r="Q687" s="36"/>
      <c r="R687" s="36"/>
      <c r="S687" s="36"/>
      <c r="T687" s="36"/>
    </row>
    <row r="688" spans="1:20" ht="15.75">
      <c r="A688" s="13">
        <v>62458</v>
      </c>
      <c r="B688" s="44">
        <f t="shared" si="1"/>
        <v>31</v>
      </c>
      <c r="C688" s="35">
        <v>122.58</v>
      </c>
      <c r="D688" s="35">
        <v>297.94099999999997</v>
      </c>
      <c r="E688" s="41">
        <v>729.47900000000004</v>
      </c>
      <c r="F688" s="35">
        <v>1150</v>
      </c>
      <c r="G688" s="35">
        <v>100</v>
      </c>
      <c r="H688" s="43">
        <v>600</v>
      </c>
      <c r="I688" s="35">
        <v>695</v>
      </c>
      <c r="J688" s="35">
        <v>50</v>
      </c>
      <c r="K688" s="36"/>
      <c r="L688" s="36"/>
      <c r="M688" s="36"/>
      <c r="N688" s="36"/>
      <c r="O688" s="36"/>
      <c r="P688" s="36"/>
      <c r="Q688" s="36"/>
      <c r="R688" s="36"/>
      <c r="S688" s="36"/>
      <c r="T688" s="36"/>
    </row>
    <row r="689" spans="1:20" ht="15.75">
      <c r="A689" s="13">
        <v>62489</v>
      </c>
      <c r="B689" s="44">
        <f t="shared" si="1"/>
        <v>31</v>
      </c>
      <c r="C689" s="35">
        <v>122.58</v>
      </c>
      <c r="D689" s="35">
        <v>297.94099999999997</v>
      </c>
      <c r="E689" s="41">
        <v>729.47900000000004</v>
      </c>
      <c r="F689" s="35">
        <v>1150</v>
      </c>
      <c r="G689" s="35">
        <v>100</v>
      </c>
      <c r="H689" s="43">
        <v>600</v>
      </c>
      <c r="I689" s="35">
        <v>695</v>
      </c>
      <c r="J689" s="35">
        <v>50</v>
      </c>
      <c r="K689" s="36"/>
      <c r="L689" s="36"/>
      <c r="M689" s="36"/>
      <c r="N689" s="36"/>
      <c r="O689" s="36"/>
      <c r="P689" s="36"/>
      <c r="Q689" s="36"/>
      <c r="R689" s="36"/>
      <c r="S689" s="36"/>
      <c r="T689" s="36"/>
    </row>
    <row r="690" spans="1:20" ht="15.75">
      <c r="A690" s="13">
        <v>62517</v>
      </c>
      <c r="B690" s="44">
        <f t="shared" si="1"/>
        <v>28</v>
      </c>
      <c r="C690" s="35">
        <v>122.58</v>
      </c>
      <c r="D690" s="35">
        <v>297.94099999999997</v>
      </c>
      <c r="E690" s="41">
        <v>729.47900000000004</v>
      </c>
      <c r="F690" s="35">
        <v>1150</v>
      </c>
      <c r="G690" s="35">
        <v>100</v>
      </c>
      <c r="H690" s="43">
        <v>600</v>
      </c>
      <c r="I690" s="35">
        <v>695</v>
      </c>
      <c r="J690" s="35">
        <v>50</v>
      </c>
      <c r="K690" s="36"/>
      <c r="L690" s="36"/>
      <c r="M690" s="36"/>
      <c r="N690" s="36"/>
      <c r="O690" s="36"/>
      <c r="P690" s="36"/>
      <c r="Q690" s="36"/>
      <c r="R690" s="36"/>
      <c r="S690" s="36"/>
      <c r="T690" s="36"/>
    </row>
    <row r="691" spans="1:20" ht="15.75">
      <c r="A691" s="13">
        <v>62548</v>
      </c>
      <c r="B691" s="44">
        <f t="shared" si="1"/>
        <v>31</v>
      </c>
      <c r="C691" s="35">
        <v>122.58</v>
      </c>
      <c r="D691" s="35">
        <v>297.94099999999997</v>
      </c>
      <c r="E691" s="41">
        <v>729.47900000000004</v>
      </c>
      <c r="F691" s="35">
        <v>1150</v>
      </c>
      <c r="G691" s="35">
        <v>100</v>
      </c>
      <c r="H691" s="43">
        <v>600</v>
      </c>
      <c r="I691" s="35">
        <v>695</v>
      </c>
      <c r="J691" s="35">
        <v>50</v>
      </c>
      <c r="K691" s="36"/>
      <c r="L691" s="36"/>
      <c r="M691" s="36"/>
      <c r="N691" s="36"/>
      <c r="O691" s="36"/>
      <c r="P691" s="36"/>
      <c r="Q691" s="36"/>
      <c r="R691" s="36"/>
      <c r="S691" s="36"/>
      <c r="T691" s="36"/>
    </row>
    <row r="692" spans="1:20" ht="15.75">
      <c r="A692" s="13">
        <v>62578</v>
      </c>
      <c r="B692" s="44">
        <f t="shared" si="1"/>
        <v>30</v>
      </c>
      <c r="C692" s="35">
        <v>141.29300000000001</v>
      </c>
      <c r="D692" s="35">
        <v>267.99299999999999</v>
      </c>
      <c r="E692" s="41">
        <v>829.71400000000006</v>
      </c>
      <c r="F692" s="35">
        <v>1239</v>
      </c>
      <c r="G692" s="35">
        <v>100</v>
      </c>
      <c r="H692" s="43">
        <v>600</v>
      </c>
      <c r="I692" s="35">
        <v>695</v>
      </c>
      <c r="J692" s="35">
        <v>50</v>
      </c>
      <c r="K692" s="36"/>
      <c r="L692" s="36"/>
      <c r="M692" s="36"/>
      <c r="N692" s="36"/>
      <c r="O692" s="36"/>
      <c r="P692" s="36"/>
      <c r="Q692" s="36"/>
      <c r="R692" s="36"/>
      <c r="S692" s="36"/>
      <c r="T692" s="36"/>
    </row>
    <row r="693" spans="1:20" ht="15.75">
      <c r="A693" s="13">
        <v>62609</v>
      </c>
      <c r="B693" s="44">
        <f t="shared" si="1"/>
        <v>31</v>
      </c>
      <c r="C693" s="35">
        <v>194.20500000000001</v>
      </c>
      <c r="D693" s="35">
        <v>267.46600000000001</v>
      </c>
      <c r="E693" s="41">
        <v>812.32899999999995</v>
      </c>
      <c r="F693" s="35">
        <v>1274</v>
      </c>
      <c r="G693" s="35">
        <v>75</v>
      </c>
      <c r="H693" s="43">
        <v>600</v>
      </c>
      <c r="I693" s="35">
        <v>695</v>
      </c>
      <c r="J693" s="35">
        <v>50</v>
      </c>
      <c r="K693" s="36"/>
      <c r="L693" s="36"/>
      <c r="M693" s="36"/>
      <c r="N693" s="36"/>
      <c r="O693" s="36"/>
      <c r="P693" s="36"/>
      <c r="Q693" s="36"/>
      <c r="R693" s="36"/>
      <c r="S693" s="36"/>
      <c r="T693" s="36"/>
    </row>
    <row r="694" spans="1:20" ht="15.75">
      <c r="A694" s="13">
        <v>62639</v>
      </c>
      <c r="B694" s="44">
        <f t="shared" si="1"/>
        <v>30</v>
      </c>
      <c r="C694" s="35">
        <v>194.20500000000001</v>
      </c>
      <c r="D694" s="35">
        <v>267.46600000000001</v>
      </c>
      <c r="E694" s="41">
        <v>812.32899999999995</v>
      </c>
      <c r="F694" s="35">
        <v>1274</v>
      </c>
      <c r="G694" s="35">
        <v>50</v>
      </c>
      <c r="H694" s="43">
        <v>600</v>
      </c>
      <c r="I694" s="35">
        <v>695</v>
      </c>
      <c r="J694" s="35">
        <v>50</v>
      </c>
      <c r="K694" s="36"/>
      <c r="L694" s="36"/>
      <c r="M694" s="36"/>
      <c r="N694" s="36"/>
      <c r="O694" s="36"/>
      <c r="P694" s="36"/>
      <c r="Q694" s="36"/>
      <c r="R694" s="36"/>
      <c r="S694" s="36"/>
      <c r="T694" s="36"/>
    </row>
    <row r="695" spans="1:20" ht="15.75">
      <c r="A695" s="13">
        <v>62670</v>
      </c>
      <c r="B695" s="44">
        <f t="shared" si="1"/>
        <v>31</v>
      </c>
      <c r="C695" s="35">
        <v>194.20500000000001</v>
      </c>
      <c r="D695" s="35">
        <v>267.46600000000001</v>
      </c>
      <c r="E695" s="41">
        <v>812.32899999999995</v>
      </c>
      <c r="F695" s="35">
        <v>1274</v>
      </c>
      <c r="G695" s="35">
        <v>50</v>
      </c>
      <c r="H695" s="43">
        <v>600</v>
      </c>
      <c r="I695" s="35">
        <v>695</v>
      </c>
      <c r="J695" s="35">
        <v>0</v>
      </c>
      <c r="K695" s="36"/>
      <c r="L695" s="36"/>
      <c r="M695" s="36"/>
      <c r="N695" s="36"/>
      <c r="O695" s="36"/>
      <c r="P695" s="36"/>
      <c r="Q695" s="36"/>
      <c r="R695" s="36"/>
      <c r="S695" s="36"/>
      <c r="T695" s="36"/>
    </row>
    <row r="696" spans="1:20" ht="15.75">
      <c r="A696" s="13">
        <v>62701</v>
      </c>
      <c r="B696" s="44">
        <f t="shared" si="1"/>
        <v>31</v>
      </c>
      <c r="C696" s="35">
        <v>194.20500000000001</v>
      </c>
      <c r="D696" s="35">
        <v>267.46600000000001</v>
      </c>
      <c r="E696" s="41">
        <v>812.32899999999995</v>
      </c>
      <c r="F696" s="35">
        <v>1274</v>
      </c>
      <c r="G696" s="35">
        <v>50</v>
      </c>
      <c r="H696" s="43">
        <v>600</v>
      </c>
      <c r="I696" s="35">
        <v>695</v>
      </c>
      <c r="J696" s="35">
        <v>0</v>
      </c>
      <c r="K696" s="36"/>
      <c r="L696" s="36"/>
      <c r="M696" s="36"/>
      <c r="N696" s="36"/>
      <c r="O696" s="36"/>
      <c r="P696" s="36"/>
      <c r="Q696" s="36"/>
      <c r="R696" s="36"/>
      <c r="S696" s="36"/>
      <c r="T696" s="36"/>
    </row>
    <row r="697" spans="1:20" ht="15.75">
      <c r="A697" s="13">
        <v>62731</v>
      </c>
      <c r="B697" s="44">
        <f t="shared" si="1"/>
        <v>30</v>
      </c>
      <c r="C697" s="35">
        <v>194.20500000000001</v>
      </c>
      <c r="D697" s="35">
        <v>267.46600000000001</v>
      </c>
      <c r="E697" s="41">
        <v>812.32899999999995</v>
      </c>
      <c r="F697" s="35">
        <v>1274</v>
      </c>
      <c r="G697" s="35">
        <v>50</v>
      </c>
      <c r="H697" s="43">
        <v>600</v>
      </c>
      <c r="I697" s="35">
        <v>695</v>
      </c>
      <c r="J697" s="35">
        <v>0</v>
      </c>
      <c r="K697" s="36"/>
      <c r="L697" s="36"/>
      <c r="M697" s="36"/>
      <c r="N697" s="36"/>
      <c r="O697" s="36"/>
      <c r="P697" s="36"/>
      <c r="Q697" s="36"/>
      <c r="R697" s="36"/>
      <c r="S697" s="36"/>
      <c r="T697" s="36"/>
    </row>
    <row r="698" spans="1:20" ht="15.75">
      <c r="A698" s="13">
        <v>62762</v>
      </c>
      <c r="B698" s="44">
        <f t="shared" si="1"/>
        <v>31</v>
      </c>
      <c r="C698" s="35">
        <v>131.881</v>
      </c>
      <c r="D698" s="35">
        <v>277.16699999999997</v>
      </c>
      <c r="E698" s="41">
        <v>829.952</v>
      </c>
      <c r="F698" s="35">
        <v>1239</v>
      </c>
      <c r="G698" s="35">
        <v>75</v>
      </c>
      <c r="H698" s="43">
        <v>600</v>
      </c>
      <c r="I698" s="35">
        <v>695</v>
      </c>
      <c r="J698" s="35">
        <v>0</v>
      </c>
      <c r="K698" s="36"/>
      <c r="L698" s="36"/>
      <c r="M698" s="36"/>
      <c r="N698" s="36"/>
      <c r="O698" s="36"/>
      <c r="P698" s="36"/>
      <c r="Q698" s="36"/>
      <c r="R698" s="36"/>
      <c r="S698" s="36"/>
      <c r="T698" s="36"/>
    </row>
    <row r="699" spans="1:20" ht="15.75">
      <c r="A699" s="13">
        <v>62792</v>
      </c>
      <c r="B699" s="44">
        <f t="shared" si="1"/>
        <v>30</v>
      </c>
      <c r="C699" s="35">
        <v>122.58</v>
      </c>
      <c r="D699" s="35">
        <v>297.94099999999997</v>
      </c>
      <c r="E699" s="41">
        <v>729.47900000000004</v>
      </c>
      <c r="F699" s="35">
        <v>1150</v>
      </c>
      <c r="G699" s="35">
        <v>100</v>
      </c>
      <c r="H699" s="43">
        <v>600</v>
      </c>
      <c r="I699" s="35">
        <v>695</v>
      </c>
      <c r="J699" s="35">
        <v>50</v>
      </c>
      <c r="K699" s="36"/>
      <c r="L699" s="36"/>
      <c r="M699" s="36"/>
      <c r="N699" s="36"/>
      <c r="O699" s="36"/>
      <c r="P699" s="36"/>
      <c r="Q699" s="36"/>
      <c r="R699" s="36"/>
      <c r="S699" s="36"/>
      <c r="T699" s="36"/>
    </row>
    <row r="700" spans="1:20" ht="15.75">
      <c r="A700" s="13">
        <v>62823</v>
      </c>
      <c r="B700" s="44">
        <f t="shared" si="1"/>
        <v>31</v>
      </c>
      <c r="C700" s="35">
        <v>122.58</v>
      </c>
      <c r="D700" s="35">
        <v>297.94099999999997</v>
      </c>
      <c r="E700" s="41">
        <v>729.47900000000004</v>
      </c>
      <c r="F700" s="35">
        <v>1150</v>
      </c>
      <c r="G700" s="35">
        <v>100</v>
      </c>
      <c r="H700" s="43">
        <v>600</v>
      </c>
      <c r="I700" s="35">
        <v>695</v>
      </c>
      <c r="J700" s="35">
        <v>50</v>
      </c>
      <c r="K700" s="36"/>
      <c r="L700" s="36"/>
      <c r="M700" s="36"/>
      <c r="N700" s="36"/>
      <c r="O700" s="36"/>
      <c r="P700" s="36"/>
      <c r="Q700" s="36"/>
      <c r="R700" s="36"/>
      <c r="S700" s="36"/>
      <c r="T700" s="36"/>
    </row>
    <row r="701" spans="1:20" ht="15.75">
      <c r="A701" s="13">
        <v>62854</v>
      </c>
      <c r="B701" s="44">
        <f t="shared" si="1"/>
        <v>31</v>
      </c>
      <c r="C701" s="35">
        <v>122.58</v>
      </c>
      <c r="D701" s="35">
        <v>297.94099999999997</v>
      </c>
      <c r="E701" s="41">
        <v>729.47900000000004</v>
      </c>
      <c r="F701" s="35">
        <v>1150</v>
      </c>
      <c r="G701" s="35">
        <v>100</v>
      </c>
      <c r="H701" s="43">
        <v>600</v>
      </c>
      <c r="I701" s="35">
        <v>695</v>
      </c>
      <c r="J701" s="35">
        <v>50</v>
      </c>
      <c r="K701" s="36"/>
      <c r="L701" s="36"/>
      <c r="M701" s="36"/>
      <c r="N701" s="36"/>
      <c r="O701" s="36"/>
      <c r="P701" s="36"/>
      <c r="Q701" s="36"/>
      <c r="R701" s="36"/>
      <c r="S701" s="36"/>
      <c r="T701" s="36"/>
    </row>
    <row r="702" spans="1:20" ht="15.75">
      <c r="A702" s="13">
        <v>62883</v>
      </c>
      <c r="B702" s="44">
        <f t="shared" si="1"/>
        <v>29</v>
      </c>
      <c r="C702" s="35">
        <v>122.58</v>
      </c>
      <c r="D702" s="35">
        <v>297.94099999999997</v>
      </c>
      <c r="E702" s="41">
        <v>729.47900000000004</v>
      </c>
      <c r="F702" s="35">
        <v>1150</v>
      </c>
      <c r="G702" s="35">
        <v>100</v>
      </c>
      <c r="H702" s="43">
        <v>600</v>
      </c>
      <c r="I702" s="35">
        <v>695</v>
      </c>
      <c r="J702" s="35">
        <v>50</v>
      </c>
      <c r="K702" s="36"/>
      <c r="L702" s="36"/>
      <c r="M702" s="36"/>
      <c r="N702" s="36"/>
      <c r="O702" s="36"/>
      <c r="P702" s="36"/>
      <c r="Q702" s="36"/>
      <c r="R702" s="36"/>
      <c r="S702" s="36"/>
      <c r="T702" s="36"/>
    </row>
    <row r="703" spans="1:20" ht="15.75">
      <c r="A703" s="13">
        <v>62914</v>
      </c>
      <c r="B703" s="44">
        <f t="shared" si="1"/>
        <v>31</v>
      </c>
      <c r="C703" s="35">
        <v>122.58</v>
      </c>
      <c r="D703" s="35">
        <v>297.94099999999997</v>
      </c>
      <c r="E703" s="41">
        <v>729.47900000000004</v>
      </c>
      <c r="F703" s="35">
        <v>1150</v>
      </c>
      <c r="G703" s="35">
        <v>100</v>
      </c>
      <c r="H703" s="43">
        <v>600</v>
      </c>
      <c r="I703" s="35">
        <v>695</v>
      </c>
      <c r="J703" s="35">
        <v>50</v>
      </c>
      <c r="K703" s="36"/>
      <c r="L703" s="36"/>
      <c r="M703" s="36"/>
      <c r="N703" s="36"/>
      <c r="O703" s="36"/>
      <c r="P703" s="36"/>
      <c r="Q703" s="36"/>
      <c r="R703" s="36"/>
      <c r="S703" s="36"/>
      <c r="T703" s="36"/>
    </row>
    <row r="704" spans="1:20" ht="15.75">
      <c r="A704" s="13">
        <v>62944</v>
      </c>
      <c r="B704" s="44">
        <f t="shared" si="1"/>
        <v>30</v>
      </c>
      <c r="C704" s="35">
        <v>141.29300000000001</v>
      </c>
      <c r="D704" s="35">
        <v>267.99299999999999</v>
      </c>
      <c r="E704" s="41">
        <v>829.71400000000006</v>
      </c>
      <c r="F704" s="35">
        <v>1239</v>
      </c>
      <c r="G704" s="35">
        <v>100</v>
      </c>
      <c r="H704" s="43">
        <v>600</v>
      </c>
      <c r="I704" s="35">
        <v>695</v>
      </c>
      <c r="J704" s="35">
        <v>50</v>
      </c>
      <c r="K704" s="36"/>
      <c r="L704" s="36"/>
      <c r="M704" s="36"/>
      <c r="N704" s="36"/>
      <c r="O704" s="36"/>
      <c r="P704" s="36"/>
      <c r="Q704" s="36"/>
      <c r="R704" s="36"/>
      <c r="S704" s="36"/>
      <c r="T704" s="36"/>
    </row>
    <row r="705" spans="1:20" ht="15.75">
      <c r="A705" s="13">
        <v>62975</v>
      </c>
      <c r="B705" s="44">
        <f t="shared" si="1"/>
        <v>31</v>
      </c>
      <c r="C705" s="35">
        <v>194.20500000000001</v>
      </c>
      <c r="D705" s="35">
        <v>267.46600000000001</v>
      </c>
      <c r="E705" s="41">
        <v>812.32899999999995</v>
      </c>
      <c r="F705" s="35">
        <v>1274</v>
      </c>
      <c r="G705" s="35">
        <v>75</v>
      </c>
      <c r="H705" s="43">
        <v>600</v>
      </c>
      <c r="I705" s="35">
        <v>695</v>
      </c>
      <c r="J705" s="35">
        <v>50</v>
      </c>
      <c r="K705" s="36"/>
      <c r="L705" s="36"/>
      <c r="M705" s="36"/>
      <c r="N705" s="36"/>
      <c r="O705" s="36"/>
      <c r="P705" s="36"/>
      <c r="Q705" s="36"/>
      <c r="R705" s="36"/>
      <c r="S705" s="36"/>
      <c r="T705" s="36"/>
    </row>
    <row r="706" spans="1:20" ht="15.75">
      <c r="A706" s="13">
        <v>63005</v>
      </c>
      <c r="B706" s="44">
        <f t="shared" si="1"/>
        <v>30</v>
      </c>
      <c r="C706" s="35">
        <v>194.20500000000001</v>
      </c>
      <c r="D706" s="35">
        <v>267.46600000000001</v>
      </c>
      <c r="E706" s="41">
        <v>812.32899999999995</v>
      </c>
      <c r="F706" s="35">
        <v>1274</v>
      </c>
      <c r="G706" s="35">
        <v>50</v>
      </c>
      <c r="H706" s="43">
        <v>600</v>
      </c>
      <c r="I706" s="35">
        <v>695</v>
      </c>
      <c r="J706" s="35">
        <v>50</v>
      </c>
      <c r="K706" s="36"/>
      <c r="L706" s="36"/>
      <c r="M706" s="36"/>
      <c r="N706" s="36"/>
      <c r="O706" s="36"/>
      <c r="P706" s="36"/>
      <c r="Q706" s="36"/>
      <c r="R706" s="36"/>
      <c r="S706" s="36"/>
      <c r="T706" s="36"/>
    </row>
    <row r="707" spans="1:20" ht="15.75">
      <c r="A707" s="13">
        <v>63036</v>
      </c>
      <c r="B707" s="44">
        <f t="shared" si="1"/>
        <v>31</v>
      </c>
      <c r="C707" s="35">
        <v>194.20500000000001</v>
      </c>
      <c r="D707" s="35">
        <v>267.46600000000001</v>
      </c>
      <c r="E707" s="41">
        <v>812.32899999999995</v>
      </c>
      <c r="F707" s="35">
        <v>1274</v>
      </c>
      <c r="G707" s="35">
        <v>50</v>
      </c>
      <c r="H707" s="43">
        <v>600</v>
      </c>
      <c r="I707" s="35">
        <v>695</v>
      </c>
      <c r="J707" s="35">
        <v>0</v>
      </c>
      <c r="K707" s="36"/>
      <c r="L707" s="36"/>
      <c r="M707" s="36"/>
      <c r="N707" s="36"/>
      <c r="O707" s="36"/>
      <c r="P707" s="36"/>
      <c r="Q707" s="36"/>
      <c r="R707" s="36"/>
      <c r="S707" s="36"/>
      <c r="T707" s="36"/>
    </row>
    <row r="708" spans="1:20" ht="15.75">
      <c r="A708" s="13">
        <v>63067</v>
      </c>
      <c r="B708" s="44">
        <f t="shared" si="1"/>
        <v>31</v>
      </c>
      <c r="C708" s="35">
        <v>194.20500000000001</v>
      </c>
      <c r="D708" s="35">
        <v>267.46600000000001</v>
      </c>
      <c r="E708" s="41">
        <v>812.32899999999995</v>
      </c>
      <c r="F708" s="35">
        <v>1274</v>
      </c>
      <c r="G708" s="35">
        <v>50</v>
      </c>
      <c r="H708" s="43">
        <v>600</v>
      </c>
      <c r="I708" s="35">
        <v>695</v>
      </c>
      <c r="J708" s="35">
        <v>0</v>
      </c>
      <c r="K708" s="36"/>
      <c r="L708" s="36"/>
      <c r="M708" s="36"/>
      <c r="N708" s="36"/>
      <c r="O708" s="36"/>
      <c r="P708" s="36"/>
      <c r="Q708" s="36"/>
      <c r="R708" s="36"/>
      <c r="S708" s="36"/>
      <c r="T708" s="36"/>
    </row>
    <row r="709" spans="1:20" ht="15.75">
      <c r="A709" s="13">
        <v>63097</v>
      </c>
      <c r="B709" s="44">
        <f t="shared" ref="B709:B772" si="2">EOMONTH(A709,0)-EOMONTH(A709,-1)</f>
        <v>30</v>
      </c>
      <c r="C709" s="35">
        <v>194.20500000000001</v>
      </c>
      <c r="D709" s="35">
        <v>267.46600000000001</v>
      </c>
      <c r="E709" s="41">
        <v>812.32899999999995</v>
      </c>
      <c r="F709" s="35">
        <v>1274</v>
      </c>
      <c r="G709" s="35">
        <v>50</v>
      </c>
      <c r="H709" s="43">
        <v>600</v>
      </c>
      <c r="I709" s="35">
        <v>695</v>
      </c>
      <c r="J709" s="35">
        <v>0</v>
      </c>
      <c r="K709" s="36"/>
      <c r="L709" s="36"/>
      <c r="M709" s="36"/>
      <c r="N709" s="36"/>
      <c r="O709" s="36"/>
      <c r="P709" s="36"/>
      <c r="Q709" s="36"/>
      <c r="R709" s="36"/>
      <c r="S709" s="36"/>
      <c r="T709" s="36"/>
    </row>
    <row r="710" spans="1:20" ht="15.75">
      <c r="A710" s="13">
        <v>63128</v>
      </c>
      <c r="B710" s="44">
        <f t="shared" si="2"/>
        <v>31</v>
      </c>
      <c r="C710" s="35">
        <v>131.881</v>
      </c>
      <c r="D710" s="35">
        <v>277.16699999999997</v>
      </c>
      <c r="E710" s="41">
        <v>829.952</v>
      </c>
      <c r="F710" s="35">
        <v>1239</v>
      </c>
      <c r="G710" s="35">
        <v>75</v>
      </c>
      <c r="H710" s="43">
        <v>600</v>
      </c>
      <c r="I710" s="35">
        <v>695</v>
      </c>
      <c r="J710" s="35">
        <v>0</v>
      </c>
      <c r="K710" s="36"/>
      <c r="L710" s="36"/>
      <c r="M710" s="36"/>
      <c r="N710" s="36"/>
      <c r="O710" s="36"/>
      <c r="P710" s="36"/>
      <c r="Q710" s="36"/>
      <c r="R710" s="36"/>
      <c r="S710" s="36"/>
      <c r="T710" s="36"/>
    </row>
    <row r="711" spans="1:20" ht="15.75">
      <c r="A711" s="13">
        <v>63158</v>
      </c>
      <c r="B711" s="44">
        <f t="shared" si="2"/>
        <v>30</v>
      </c>
      <c r="C711" s="35">
        <v>122.58</v>
      </c>
      <c r="D711" s="35">
        <v>297.94099999999997</v>
      </c>
      <c r="E711" s="41">
        <v>729.47900000000004</v>
      </c>
      <c r="F711" s="35">
        <v>1150</v>
      </c>
      <c r="G711" s="35">
        <v>100</v>
      </c>
      <c r="H711" s="43">
        <v>600</v>
      </c>
      <c r="I711" s="35">
        <v>695</v>
      </c>
      <c r="J711" s="35">
        <v>50</v>
      </c>
      <c r="K711" s="36"/>
      <c r="L711" s="36"/>
      <c r="M711" s="36"/>
      <c r="N711" s="36"/>
      <c r="O711" s="36"/>
      <c r="P711" s="36"/>
      <c r="Q711" s="36"/>
      <c r="R711" s="36"/>
      <c r="S711" s="36"/>
      <c r="T711" s="36"/>
    </row>
    <row r="712" spans="1:20" ht="15.75">
      <c r="A712" s="13">
        <v>63189</v>
      </c>
      <c r="B712" s="44">
        <f t="shared" si="2"/>
        <v>31</v>
      </c>
      <c r="C712" s="35">
        <v>122.58</v>
      </c>
      <c r="D712" s="35">
        <v>297.94099999999997</v>
      </c>
      <c r="E712" s="41">
        <v>729.47900000000004</v>
      </c>
      <c r="F712" s="35">
        <v>1150</v>
      </c>
      <c r="G712" s="35">
        <v>100</v>
      </c>
      <c r="H712" s="43">
        <v>600</v>
      </c>
      <c r="I712" s="35">
        <v>695</v>
      </c>
      <c r="J712" s="35">
        <v>50</v>
      </c>
      <c r="K712" s="36"/>
      <c r="L712" s="36"/>
      <c r="M712" s="36"/>
      <c r="N712" s="36"/>
      <c r="O712" s="36"/>
      <c r="P712" s="36"/>
      <c r="Q712" s="36"/>
      <c r="R712" s="36"/>
      <c r="S712" s="36"/>
      <c r="T712" s="36"/>
    </row>
    <row r="713" spans="1:20" ht="15.75">
      <c r="A713" s="13">
        <v>63220</v>
      </c>
      <c r="B713" s="44">
        <f t="shared" si="2"/>
        <v>31</v>
      </c>
      <c r="C713" s="35">
        <v>122.58</v>
      </c>
      <c r="D713" s="35">
        <v>297.94099999999997</v>
      </c>
      <c r="E713" s="41">
        <v>729.47900000000004</v>
      </c>
      <c r="F713" s="35">
        <v>1150</v>
      </c>
      <c r="G713" s="35">
        <v>100</v>
      </c>
      <c r="H713" s="43">
        <v>600</v>
      </c>
      <c r="I713" s="35">
        <v>695</v>
      </c>
      <c r="J713" s="35">
        <v>50</v>
      </c>
      <c r="K713" s="36"/>
      <c r="L713" s="36"/>
      <c r="M713" s="36"/>
      <c r="N713" s="36"/>
      <c r="O713" s="36"/>
      <c r="P713" s="36"/>
      <c r="Q713" s="36"/>
      <c r="R713" s="36"/>
      <c r="S713" s="36"/>
      <c r="T713" s="36"/>
    </row>
    <row r="714" spans="1:20" ht="15.75">
      <c r="A714" s="13">
        <v>63248</v>
      </c>
      <c r="B714" s="44">
        <f t="shared" si="2"/>
        <v>28</v>
      </c>
      <c r="C714" s="35">
        <v>122.58</v>
      </c>
      <c r="D714" s="35">
        <v>297.94099999999997</v>
      </c>
      <c r="E714" s="41">
        <v>729.47900000000004</v>
      </c>
      <c r="F714" s="35">
        <v>1150</v>
      </c>
      <c r="G714" s="35">
        <v>100</v>
      </c>
      <c r="H714" s="43">
        <v>600</v>
      </c>
      <c r="I714" s="35">
        <v>695</v>
      </c>
      <c r="J714" s="35">
        <v>50</v>
      </c>
      <c r="K714" s="36"/>
      <c r="L714" s="36"/>
      <c r="M714" s="36"/>
      <c r="N714" s="36"/>
      <c r="O714" s="36"/>
      <c r="P714" s="36"/>
      <c r="Q714" s="36"/>
      <c r="R714" s="36"/>
      <c r="S714" s="36"/>
      <c r="T714" s="36"/>
    </row>
    <row r="715" spans="1:20" ht="15.75">
      <c r="A715" s="13">
        <v>63279</v>
      </c>
      <c r="B715" s="44">
        <f t="shared" si="2"/>
        <v>31</v>
      </c>
      <c r="C715" s="35">
        <v>122.58</v>
      </c>
      <c r="D715" s="35">
        <v>297.94099999999997</v>
      </c>
      <c r="E715" s="41">
        <v>729.47900000000004</v>
      </c>
      <c r="F715" s="35">
        <v>1150</v>
      </c>
      <c r="G715" s="35">
        <v>100</v>
      </c>
      <c r="H715" s="43">
        <v>600</v>
      </c>
      <c r="I715" s="35">
        <v>695</v>
      </c>
      <c r="J715" s="35">
        <v>50</v>
      </c>
      <c r="K715" s="36"/>
      <c r="L715" s="36"/>
      <c r="M715" s="36"/>
      <c r="N715" s="36"/>
      <c r="O715" s="36"/>
      <c r="P715" s="36"/>
      <c r="Q715" s="36"/>
      <c r="R715" s="36"/>
      <c r="S715" s="36"/>
      <c r="T715" s="36"/>
    </row>
    <row r="716" spans="1:20" ht="15.75">
      <c r="A716" s="13">
        <v>63309</v>
      </c>
      <c r="B716" s="44">
        <f t="shared" si="2"/>
        <v>30</v>
      </c>
      <c r="C716" s="35">
        <v>141.29300000000001</v>
      </c>
      <c r="D716" s="35">
        <v>267.99299999999999</v>
      </c>
      <c r="E716" s="41">
        <v>829.71400000000006</v>
      </c>
      <c r="F716" s="35">
        <v>1239</v>
      </c>
      <c r="G716" s="35">
        <v>100</v>
      </c>
      <c r="H716" s="43">
        <v>600</v>
      </c>
      <c r="I716" s="35">
        <v>695</v>
      </c>
      <c r="J716" s="35">
        <v>50</v>
      </c>
      <c r="K716" s="36"/>
      <c r="L716" s="36"/>
      <c r="M716" s="36"/>
      <c r="N716" s="36"/>
      <c r="O716" s="36"/>
      <c r="P716" s="36"/>
      <c r="Q716" s="36"/>
      <c r="R716" s="36"/>
      <c r="S716" s="36"/>
      <c r="T716" s="36"/>
    </row>
    <row r="717" spans="1:20" ht="15.75">
      <c r="A717" s="13">
        <v>63340</v>
      </c>
      <c r="B717" s="44">
        <f t="shared" si="2"/>
        <v>31</v>
      </c>
      <c r="C717" s="35">
        <v>194.20500000000001</v>
      </c>
      <c r="D717" s="35">
        <v>267.46600000000001</v>
      </c>
      <c r="E717" s="41">
        <v>812.32899999999995</v>
      </c>
      <c r="F717" s="35">
        <v>1274</v>
      </c>
      <c r="G717" s="35">
        <v>75</v>
      </c>
      <c r="H717" s="43">
        <v>600</v>
      </c>
      <c r="I717" s="35">
        <v>695</v>
      </c>
      <c r="J717" s="35">
        <v>50</v>
      </c>
      <c r="K717" s="36"/>
      <c r="L717" s="36"/>
      <c r="M717" s="36"/>
      <c r="N717" s="36"/>
      <c r="O717" s="36"/>
      <c r="P717" s="36"/>
      <c r="Q717" s="36"/>
      <c r="R717" s="36"/>
      <c r="S717" s="36"/>
      <c r="T717" s="36"/>
    </row>
    <row r="718" spans="1:20" ht="15.75">
      <c r="A718" s="13">
        <v>63370</v>
      </c>
      <c r="B718" s="44">
        <f t="shared" si="2"/>
        <v>30</v>
      </c>
      <c r="C718" s="35">
        <v>194.20500000000001</v>
      </c>
      <c r="D718" s="35">
        <v>267.46600000000001</v>
      </c>
      <c r="E718" s="41">
        <v>812.32899999999995</v>
      </c>
      <c r="F718" s="35">
        <v>1274</v>
      </c>
      <c r="G718" s="35">
        <v>50</v>
      </c>
      <c r="H718" s="43">
        <v>600</v>
      </c>
      <c r="I718" s="35">
        <v>695</v>
      </c>
      <c r="J718" s="35">
        <v>50</v>
      </c>
      <c r="K718" s="36"/>
      <c r="L718" s="36"/>
      <c r="M718" s="36"/>
      <c r="N718" s="36"/>
      <c r="O718" s="36"/>
      <c r="P718" s="36"/>
      <c r="Q718" s="36"/>
      <c r="R718" s="36"/>
      <c r="S718" s="36"/>
      <c r="T718" s="36"/>
    </row>
    <row r="719" spans="1:20" ht="15.75">
      <c r="A719" s="13">
        <v>63401</v>
      </c>
      <c r="B719" s="44">
        <f t="shared" si="2"/>
        <v>31</v>
      </c>
      <c r="C719" s="35">
        <v>194.20500000000001</v>
      </c>
      <c r="D719" s="35">
        <v>267.46600000000001</v>
      </c>
      <c r="E719" s="41">
        <v>812.32899999999995</v>
      </c>
      <c r="F719" s="35">
        <v>1274</v>
      </c>
      <c r="G719" s="35">
        <v>50</v>
      </c>
      <c r="H719" s="43">
        <v>600</v>
      </c>
      <c r="I719" s="35">
        <v>695</v>
      </c>
      <c r="J719" s="35">
        <v>0</v>
      </c>
      <c r="K719" s="36"/>
      <c r="L719" s="36"/>
      <c r="M719" s="36"/>
      <c r="N719" s="36"/>
      <c r="O719" s="36"/>
      <c r="P719" s="36"/>
      <c r="Q719" s="36"/>
      <c r="R719" s="36"/>
      <c r="S719" s="36"/>
      <c r="T719" s="36"/>
    </row>
    <row r="720" spans="1:20" ht="15.75">
      <c r="A720" s="13">
        <v>63432</v>
      </c>
      <c r="B720" s="44">
        <f t="shared" si="2"/>
        <v>31</v>
      </c>
      <c r="C720" s="35">
        <v>194.20500000000001</v>
      </c>
      <c r="D720" s="35">
        <v>267.46600000000001</v>
      </c>
      <c r="E720" s="41">
        <v>812.32899999999995</v>
      </c>
      <c r="F720" s="35">
        <v>1274</v>
      </c>
      <c r="G720" s="35">
        <v>50</v>
      </c>
      <c r="H720" s="43">
        <v>600</v>
      </c>
      <c r="I720" s="35">
        <v>695</v>
      </c>
      <c r="J720" s="35">
        <v>0</v>
      </c>
      <c r="K720" s="36"/>
      <c r="L720" s="36"/>
      <c r="M720" s="36"/>
      <c r="N720" s="36"/>
      <c r="O720" s="36"/>
      <c r="P720" s="36"/>
      <c r="Q720" s="36"/>
      <c r="R720" s="36"/>
      <c r="S720" s="36"/>
      <c r="T720" s="36"/>
    </row>
    <row r="721" spans="1:20" ht="15.75">
      <c r="A721" s="13">
        <v>63462</v>
      </c>
      <c r="B721" s="44">
        <f t="shared" si="2"/>
        <v>30</v>
      </c>
      <c r="C721" s="35">
        <v>194.20500000000001</v>
      </c>
      <c r="D721" s="35">
        <v>267.46600000000001</v>
      </c>
      <c r="E721" s="41">
        <v>812.32899999999995</v>
      </c>
      <c r="F721" s="35">
        <v>1274</v>
      </c>
      <c r="G721" s="35">
        <v>50</v>
      </c>
      <c r="H721" s="43">
        <v>600</v>
      </c>
      <c r="I721" s="35">
        <v>695</v>
      </c>
      <c r="J721" s="35">
        <v>0</v>
      </c>
      <c r="K721" s="36"/>
      <c r="L721" s="36"/>
      <c r="M721" s="36"/>
      <c r="N721" s="36"/>
      <c r="O721" s="36"/>
      <c r="P721" s="36"/>
      <c r="Q721" s="36"/>
      <c r="R721" s="36"/>
      <c r="S721" s="36"/>
      <c r="T721" s="36"/>
    </row>
    <row r="722" spans="1:20" ht="15.75">
      <c r="A722" s="13">
        <v>63493</v>
      </c>
      <c r="B722" s="44">
        <f t="shared" si="2"/>
        <v>31</v>
      </c>
      <c r="C722" s="35">
        <v>131.881</v>
      </c>
      <c r="D722" s="35">
        <v>277.16699999999997</v>
      </c>
      <c r="E722" s="41">
        <v>829.952</v>
      </c>
      <c r="F722" s="35">
        <v>1239</v>
      </c>
      <c r="G722" s="35">
        <v>75</v>
      </c>
      <c r="H722" s="43">
        <v>600</v>
      </c>
      <c r="I722" s="35">
        <v>695</v>
      </c>
      <c r="J722" s="35">
        <v>0</v>
      </c>
      <c r="K722" s="36"/>
      <c r="L722" s="36"/>
      <c r="M722" s="36"/>
      <c r="N722" s="36"/>
      <c r="O722" s="36"/>
      <c r="P722" s="36"/>
      <c r="Q722" s="36"/>
      <c r="R722" s="36"/>
      <c r="S722" s="36"/>
      <c r="T722" s="36"/>
    </row>
    <row r="723" spans="1:20" ht="15.75">
      <c r="A723" s="13">
        <v>63523</v>
      </c>
      <c r="B723" s="44">
        <f t="shared" si="2"/>
        <v>30</v>
      </c>
      <c r="C723" s="35">
        <v>122.58</v>
      </c>
      <c r="D723" s="35">
        <v>297.94099999999997</v>
      </c>
      <c r="E723" s="41">
        <v>729.47900000000004</v>
      </c>
      <c r="F723" s="35">
        <v>1150</v>
      </c>
      <c r="G723" s="35">
        <v>100</v>
      </c>
      <c r="H723" s="43">
        <v>600</v>
      </c>
      <c r="I723" s="35">
        <v>695</v>
      </c>
      <c r="J723" s="35">
        <v>50</v>
      </c>
      <c r="K723" s="36"/>
      <c r="L723" s="36"/>
      <c r="M723" s="36"/>
      <c r="N723" s="36"/>
      <c r="O723" s="36"/>
      <c r="P723" s="36"/>
      <c r="Q723" s="36"/>
      <c r="R723" s="36"/>
      <c r="S723" s="36"/>
      <c r="T723" s="36"/>
    </row>
    <row r="724" spans="1:20" ht="15.75">
      <c r="A724" s="13">
        <v>63554</v>
      </c>
      <c r="B724" s="44">
        <f t="shared" si="2"/>
        <v>31</v>
      </c>
      <c r="C724" s="35">
        <v>122.58</v>
      </c>
      <c r="D724" s="35">
        <v>297.94099999999997</v>
      </c>
      <c r="E724" s="41">
        <v>729.47900000000004</v>
      </c>
      <c r="F724" s="35">
        <v>1150</v>
      </c>
      <c r="G724" s="35">
        <v>100</v>
      </c>
      <c r="H724" s="43">
        <v>600</v>
      </c>
      <c r="I724" s="35">
        <v>695</v>
      </c>
      <c r="J724" s="35">
        <v>50</v>
      </c>
      <c r="K724" s="36"/>
      <c r="L724" s="36"/>
      <c r="M724" s="36"/>
      <c r="N724" s="36"/>
      <c r="O724" s="36"/>
      <c r="P724" s="36"/>
      <c r="Q724" s="36"/>
      <c r="R724" s="36"/>
      <c r="S724" s="36"/>
      <c r="T724" s="36"/>
    </row>
    <row r="725" spans="1:20" ht="15.75">
      <c r="A725" s="13">
        <v>63585</v>
      </c>
      <c r="B725" s="44">
        <f t="shared" si="2"/>
        <v>31</v>
      </c>
      <c r="C725" s="35">
        <v>122.58</v>
      </c>
      <c r="D725" s="35">
        <v>297.94099999999997</v>
      </c>
      <c r="E725" s="41">
        <v>729.47900000000004</v>
      </c>
      <c r="F725" s="35">
        <v>1150</v>
      </c>
      <c r="G725" s="35">
        <v>100</v>
      </c>
      <c r="H725" s="43">
        <v>600</v>
      </c>
      <c r="I725" s="35">
        <v>695</v>
      </c>
      <c r="J725" s="35">
        <v>50</v>
      </c>
      <c r="K725" s="36"/>
      <c r="L725" s="36"/>
      <c r="M725" s="36"/>
      <c r="N725" s="36"/>
      <c r="O725" s="36"/>
      <c r="P725" s="36"/>
      <c r="Q725" s="36"/>
      <c r="R725" s="36"/>
      <c r="S725" s="36"/>
      <c r="T725" s="36"/>
    </row>
    <row r="726" spans="1:20" ht="15.75">
      <c r="A726" s="13">
        <v>63613</v>
      </c>
      <c r="B726" s="44">
        <f t="shared" si="2"/>
        <v>28</v>
      </c>
      <c r="C726" s="35">
        <v>122.58</v>
      </c>
      <c r="D726" s="35">
        <v>297.94099999999997</v>
      </c>
      <c r="E726" s="41">
        <v>729.47900000000004</v>
      </c>
      <c r="F726" s="35">
        <v>1150</v>
      </c>
      <c r="G726" s="35">
        <v>100</v>
      </c>
      <c r="H726" s="43">
        <v>600</v>
      </c>
      <c r="I726" s="35">
        <v>695</v>
      </c>
      <c r="J726" s="35">
        <v>50</v>
      </c>
      <c r="K726" s="36"/>
      <c r="L726" s="36"/>
      <c r="M726" s="36"/>
      <c r="N726" s="36"/>
      <c r="O726" s="36"/>
      <c r="P726" s="36"/>
      <c r="Q726" s="36"/>
      <c r="R726" s="36"/>
      <c r="S726" s="36"/>
      <c r="T726" s="36"/>
    </row>
    <row r="727" spans="1:20" ht="15.75">
      <c r="A727" s="13">
        <v>63644</v>
      </c>
      <c r="B727" s="44">
        <f t="shared" si="2"/>
        <v>31</v>
      </c>
      <c r="C727" s="35">
        <v>122.58</v>
      </c>
      <c r="D727" s="35">
        <v>297.94099999999997</v>
      </c>
      <c r="E727" s="41">
        <v>729.47900000000004</v>
      </c>
      <c r="F727" s="35">
        <v>1150</v>
      </c>
      <c r="G727" s="35">
        <v>100</v>
      </c>
      <c r="H727" s="43">
        <v>600</v>
      </c>
      <c r="I727" s="35">
        <v>695</v>
      </c>
      <c r="J727" s="35">
        <v>50</v>
      </c>
      <c r="K727" s="36"/>
      <c r="L727" s="36"/>
      <c r="M727" s="36"/>
      <c r="N727" s="36"/>
      <c r="O727" s="36"/>
      <c r="P727" s="36"/>
      <c r="Q727" s="36"/>
      <c r="R727" s="36"/>
      <c r="S727" s="36"/>
      <c r="T727" s="36"/>
    </row>
    <row r="728" spans="1:20" ht="15.75">
      <c r="A728" s="13">
        <v>63674</v>
      </c>
      <c r="B728" s="44">
        <f t="shared" si="2"/>
        <v>30</v>
      </c>
      <c r="C728" s="35">
        <v>141.29300000000001</v>
      </c>
      <c r="D728" s="35">
        <v>267.99299999999999</v>
      </c>
      <c r="E728" s="41">
        <v>829.71400000000006</v>
      </c>
      <c r="F728" s="35">
        <v>1239</v>
      </c>
      <c r="G728" s="35">
        <v>100</v>
      </c>
      <c r="H728" s="43">
        <v>600</v>
      </c>
      <c r="I728" s="35">
        <v>695</v>
      </c>
      <c r="J728" s="35">
        <v>50</v>
      </c>
      <c r="K728" s="36"/>
      <c r="L728" s="36"/>
      <c r="M728" s="36"/>
      <c r="N728" s="36"/>
      <c r="O728" s="36"/>
      <c r="P728" s="36"/>
      <c r="Q728" s="36"/>
      <c r="R728" s="36"/>
      <c r="S728" s="36"/>
      <c r="T728" s="36"/>
    </row>
    <row r="729" spans="1:20" ht="15.75">
      <c r="A729" s="13">
        <v>63705</v>
      </c>
      <c r="B729" s="44">
        <f t="shared" si="2"/>
        <v>31</v>
      </c>
      <c r="C729" s="35">
        <v>194.20500000000001</v>
      </c>
      <c r="D729" s="35">
        <v>267.46600000000001</v>
      </c>
      <c r="E729" s="41">
        <v>812.32899999999995</v>
      </c>
      <c r="F729" s="35">
        <v>1274</v>
      </c>
      <c r="G729" s="35">
        <v>75</v>
      </c>
      <c r="H729" s="43">
        <v>600</v>
      </c>
      <c r="I729" s="35">
        <v>695</v>
      </c>
      <c r="J729" s="35">
        <v>50</v>
      </c>
      <c r="K729" s="36"/>
      <c r="L729" s="36"/>
      <c r="M729" s="36"/>
      <c r="N729" s="36"/>
      <c r="O729" s="36"/>
      <c r="P729" s="36"/>
      <c r="Q729" s="36"/>
      <c r="R729" s="36"/>
      <c r="S729" s="36"/>
      <c r="T729" s="36"/>
    </row>
    <row r="730" spans="1:20" ht="15.75">
      <c r="A730" s="13">
        <v>63735</v>
      </c>
      <c r="B730" s="44">
        <f t="shared" si="2"/>
        <v>30</v>
      </c>
      <c r="C730" s="35">
        <v>194.20500000000001</v>
      </c>
      <c r="D730" s="35">
        <v>267.46600000000001</v>
      </c>
      <c r="E730" s="41">
        <v>812.32899999999995</v>
      </c>
      <c r="F730" s="35">
        <v>1274</v>
      </c>
      <c r="G730" s="35">
        <v>50</v>
      </c>
      <c r="H730" s="43">
        <v>600</v>
      </c>
      <c r="I730" s="35">
        <v>695</v>
      </c>
      <c r="J730" s="35">
        <v>50</v>
      </c>
      <c r="K730" s="36"/>
      <c r="L730" s="36"/>
      <c r="M730" s="36"/>
      <c r="N730" s="36"/>
      <c r="O730" s="36"/>
      <c r="P730" s="36"/>
      <c r="Q730" s="36"/>
      <c r="R730" s="36"/>
      <c r="S730" s="36"/>
      <c r="T730" s="36"/>
    </row>
    <row r="731" spans="1:20" ht="15.75">
      <c r="A731" s="13">
        <v>63766</v>
      </c>
      <c r="B731" s="44">
        <f t="shared" si="2"/>
        <v>31</v>
      </c>
      <c r="C731" s="35">
        <v>194.20500000000001</v>
      </c>
      <c r="D731" s="35">
        <v>267.46600000000001</v>
      </c>
      <c r="E731" s="41">
        <v>812.32899999999995</v>
      </c>
      <c r="F731" s="35">
        <v>1274</v>
      </c>
      <c r="G731" s="35">
        <v>50</v>
      </c>
      <c r="H731" s="43">
        <v>600</v>
      </c>
      <c r="I731" s="35">
        <v>695</v>
      </c>
      <c r="J731" s="35">
        <v>0</v>
      </c>
      <c r="K731" s="36"/>
      <c r="L731" s="36"/>
      <c r="M731" s="36"/>
      <c r="N731" s="36"/>
      <c r="O731" s="36"/>
      <c r="P731" s="36"/>
      <c r="Q731" s="36"/>
      <c r="R731" s="36"/>
      <c r="S731" s="36"/>
      <c r="T731" s="36"/>
    </row>
    <row r="732" spans="1:20" ht="15.75">
      <c r="A732" s="13">
        <v>63797</v>
      </c>
      <c r="B732" s="44">
        <f t="shared" si="2"/>
        <v>31</v>
      </c>
      <c r="C732" s="35">
        <v>194.20500000000001</v>
      </c>
      <c r="D732" s="35">
        <v>267.46600000000001</v>
      </c>
      <c r="E732" s="41">
        <v>812.32899999999995</v>
      </c>
      <c r="F732" s="35">
        <v>1274</v>
      </c>
      <c r="G732" s="35">
        <v>50</v>
      </c>
      <c r="H732" s="43">
        <v>600</v>
      </c>
      <c r="I732" s="35">
        <v>695</v>
      </c>
      <c r="J732" s="35">
        <v>0</v>
      </c>
      <c r="K732" s="36"/>
      <c r="L732" s="36"/>
      <c r="M732" s="36"/>
      <c r="N732" s="36"/>
      <c r="O732" s="36"/>
      <c r="P732" s="36"/>
      <c r="Q732" s="36"/>
      <c r="R732" s="36"/>
      <c r="S732" s="36"/>
      <c r="T732" s="36"/>
    </row>
    <row r="733" spans="1:20" ht="15.75">
      <c r="A733" s="13">
        <v>63827</v>
      </c>
      <c r="B733" s="44">
        <f t="shared" si="2"/>
        <v>30</v>
      </c>
      <c r="C733" s="35">
        <v>194.20500000000001</v>
      </c>
      <c r="D733" s="35">
        <v>267.46600000000001</v>
      </c>
      <c r="E733" s="41">
        <v>812.32899999999995</v>
      </c>
      <c r="F733" s="35">
        <v>1274</v>
      </c>
      <c r="G733" s="35">
        <v>50</v>
      </c>
      <c r="H733" s="43">
        <v>600</v>
      </c>
      <c r="I733" s="35">
        <v>695</v>
      </c>
      <c r="J733" s="35">
        <v>0</v>
      </c>
      <c r="K733" s="36"/>
      <c r="L733" s="36"/>
      <c r="M733" s="36"/>
      <c r="N733" s="36"/>
      <c r="O733" s="36"/>
      <c r="P733" s="36"/>
      <c r="Q733" s="36"/>
      <c r="R733" s="36"/>
      <c r="S733" s="36"/>
      <c r="T733" s="36"/>
    </row>
    <row r="734" spans="1:20" ht="15.75">
      <c r="A734" s="13">
        <v>63858</v>
      </c>
      <c r="B734" s="44">
        <f t="shared" si="2"/>
        <v>31</v>
      </c>
      <c r="C734" s="35">
        <v>131.881</v>
      </c>
      <c r="D734" s="35">
        <v>277.16699999999997</v>
      </c>
      <c r="E734" s="41">
        <v>829.952</v>
      </c>
      <c r="F734" s="35">
        <v>1239</v>
      </c>
      <c r="G734" s="35">
        <v>75</v>
      </c>
      <c r="H734" s="43">
        <v>600</v>
      </c>
      <c r="I734" s="35">
        <v>695</v>
      </c>
      <c r="J734" s="35">
        <v>0</v>
      </c>
      <c r="K734" s="36"/>
      <c r="L734" s="36"/>
      <c r="M734" s="36"/>
      <c r="N734" s="36"/>
      <c r="O734" s="36"/>
      <c r="P734" s="36"/>
      <c r="Q734" s="36"/>
      <c r="R734" s="36"/>
      <c r="S734" s="36"/>
      <c r="T734" s="36"/>
    </row>
    <row r="735" spans="1:20" ht="15.75">
      <c r="A735" s="13">
        <v>63888</v>
      </c>
      <c r="B735" s="44">
        <f t="shared" si="2"/>
        <v>30</v>
      </c>
      <c r="C735" s="35">
        <v>122.58</v>
      </c>
      <c r="D735" s="35">
        <v>297.94099999999997</v>
      </c>
      <c r="E735" s="41">
        <v>729.47900000000004</v>
      </c>
      <c r="F735" s="35">
        <v>1150</v>
      </c>
      <c r="G735" s="35">
        <v>100</v>
      </c>
      <c r="H735" s="43">
        <v>600</v>
      </c>
      <c r="I735" s="35">
        <v>695</v>
      </c>
      <c r="J735" s="35">
        <v>50</v>
      </c>
      <c r="K735" s="36"/>
      <c r="L735" s="36"/>
      <c r="M735" s="36"/>
      <c r="N735" s="36"/>
      <c r="O735" s="36"/>
      <c r="P735" s="36"/>
      <c r="Q735" s="36"/>
      <c r="R735" s="36"/>
      <c r="S735" s="36"/>
      <c r="T735" s="36"/>
    </row>
    <row r="736" spans="1:20" ht="15.75">
      <c r="A736" s="13">
        <v>63919</v>
      </c>
      <c r="B736" s="44">
        <f t="shared" si="2"/>
        <v>31</v>
      </c>
      <c r="C736" s="35">
        <v>122.58</v>
      </c>
      <c r="D736" s="35">
        <v>297.94099999999997</v>
      </c>
      <c r="E736" s="41">
        <v>729.47900000000004</v>
      </c>
      <c r="F736" s="35">
        <v>1150</v>
      </c>
      <c r="G736" s="35">
        <v>100</v>
      </c>
      <c r="H736" s="43">
        <v>600</v>
      </c>
      <c r="I736" s="35">
        <v>695</v>
      </c>
      <c r="J736" s="35">
        <v>50</v>
      </c>
      <c r="K736" s="36"/>
      <c r="L736" s="36"/>
      <c r="M736" s="36"/>
      <c r="N736" s="36"/>
      <c r="O736" s="36"/>
      <c r="P736" s="36"/>
      <c r="Q736" s="36"/>
      <c r="R736" s="36"/>
      <c r="S736" s="36"/>
      <c r="T736" s="36"/>
    </row>
    <row r="737" spans="1:20" ht="15.75">
      <c r="A737" s="13">
        <v>63950</v>
      </c>
      <c r="B737" s="44">
        <f t="shared" si="2"/>
        <v>31</v>
      </c>
      <c r="C737" s="35">
        <v>122.58</v>
      </c>
      <c r="D737" s="35">
        <v>297.94099999999997</v>
      </c>
      <c r="E737" s="41">
        <v>729.47900000000004</v>
      </c>
      <c r="F737" s="35">
        <v>1150</v>
      </c>
      <c r="G737" s="35">
        <v>100</v>
      </c>
      <c r="H737" s="43">
        <v>600</v>
      </c>
      <c r="I737" s="35">
        <v>695</v>
      </c>
      <c r="J737" s="35">
        <v>50</v>
      </c>
      <c r="K737" s="36"/>
      <c r="L737" s="36"/>
      <c r="M737" s="36"/>
      <c r="N737" s="36"/>
      <c r="O737" s="36"/>
      <c r="P737" s="36"/>
      <c r="Q737" s="36"/>
      <c r="R737" s="36"/>
      <c r="S737" s="36"/>
      <c r="T737" s="36"/>
    </row>
    <row r="738" spans="1:20" ht="15.75">
      <c r="A738" s="13">
        <v>63978</v>
      </c>
      <c r="B738" s="44">
        <f t="shared" si="2"/>
        <v>28</v>
      </c>
      <c r="C738" s="35">
        <v>122.58</v>
      </c>
      <c r="D738" s="35">
        <v>297.94099999999997</v>
      </c>
      <c r="E738" s="41">
        <v>729.47900000000004</v>
      </c>
      <c r="F738" s="35">
        <v>1150</v>
      </c>
      <c r="G738" s="35">
        <v>100</v>
      </c>
      <c r="H738" s="43">
        <v>600</v>
      </c>
      <c r="I738" s="35">
        <v>695</v>
      </c>
      <c r="J738" s="35">
        <v>50</v>
      </c>
      <c r="K738" s="36"/>
      <c r="L738" s="36"/>
      <c r="M738" s="36"/>
      <c r="N738" s="36"/>
      <c r="O738" s="36"/>
      <c r="P738" s="36"/>
      <c r="Q738" s="36"/>
      <c r="R738" s="36"/>
      <c r="S738" s="36"/>
      <c r="T738" s="36"/>
    </row>
    <row r="739" spans="1:20" ht="15.75">
      <c r="A739" s="13">
        <v>64009</v>
      </c>
      <c r="B739" s="44">
        <f t="shared" si="2"/>
        <v>31</v>
      </c>
      <c r="C739" s="35">
        <v>122.58</v>
      </c>
      <c r="D739" s="35">
        <v>297.94099999999997</v>
      </c>
      <c r="E739" s="41">
        <v>729.47900000000004</v>
      </c>
      <c r="F739" s="35">
        <v>1150</v>
      </c>
      <c r="G739" s="35">
        <v>100</v>
      </c>
      <c r="H739" s="43">
        <v>600</v>
      </c>
      <c r="I739" s="35">
        <v>695</v>
      </c>
      <c r="J739" s="35">
        <v>50</v>
      </c>
      <c r="K739" s="36"/>
      <c r="L739" s="36"/>
      <c r="M739" s="36"/>
      <c r="N739" s="36"/>
      <c r="O739" s="36"/>
      <c r="P739" s="36"/>
      <c r="Q739" s="36"/>
      <c r="R739" s="36"/>
      <c r="S739" s="36"/>
      <c r="T739" s="36"/>
    </row>
    <row r="740" spans="1:20" ht="15.75">
      <c r="A740" s="13">
        <v>64039</v>
      </c>
      <c r="B740" s="44">
        <f t="shared" si="2"/>
        <v>30</v>
      </c>
      <c r="C740" s="35">
        <v>141.29300000000001</v>
      </c>
      <c r="D740" s="35">
        <v>267.99299999999999</v>
      </c>
      <c r="E740" s="41">
        <v>829.71400000000006</v>
      </c>
      <c r="F740" s="35">
        <v>1239</v>
      </c>
      <c r="G740" s="35">
        <v>100</v>
      </c>
      <c r="H740" s="43">
        <v>600</v>
      </c>
      <c r="I740" s="35">
        <v>695</v>
      </c>
      <c r="J740" s="35">
        <v>50</v>
      </c>
      <c r="K740" s="36"/>
      <c r="L740" s="36"/>
      <c r="M740" s="36"/>
      <c r="N740" s="36"/>
      <c r="O740" s="36"/>
      <c r="P740" s="36"/>
      <c r="Q740" s="36"/>
      <c r="R740" s="36"/>
      <c r="S740" s="36"/>
      <c r="T740" s="36"/>
    </row>
    <row r="741" spans="1:20" ht="15.75">
      <c r="A741" s="13">
        <v>64070</v>
      </c>
      <c r="B741" s="44">
        <f t="shared" si="2"/>
        <v>31</v>
      </c>
      <c r="C741" s="35">
        <v>194.20500000000001</v>
      </c>
      <c r="D741" s="35">
        <v>267.46600000000001</v>
      </c>
      <c r="E741" s="41">
        <v>812.32899999999995</v>
      </c>
      <c r="F741" s="35">
        <v>1274</v>
      </c>
      <c r="G741" s="35">
        <v>75</v>
      </c>
      <c r="H741" s="43">
        <v>600</v>
      </c>
      <c r="I741" s="35">
        <v>695</v>
      </c>
      <c r="J741" s="35">
        <v>50</v>
      </c>
      <c r="K741" s="36"/>
      <c r="L741" s="36"/>
      <c r="M741" s="36"/>
      <c r="N741" s="36"/>
      <c r="O741" s="36"/>
      <c r="P741" s="36"/>
      <c r="Q741" s="36"/>
      <c r="R741" s="36"/>
      <c r="S741" s="36"/>
      <c r="T741" s="36"/>
    </row>
    <row r="742" spans="1:20" ht="15.75">
      <c r="A742" s="13">
        <v>64100</v>
      </c>
      <c r="B742" s="44">
        <f t="shared" si="2"/>
        <v>30</v>
      </c>
      <c r="C742" s="35">
        <v>194.20500000000001</v>
      </c>
      <c r="D742" s="35">
        <v>267.46600000000001</v>
      </c>
      <c r="E742" s="41">
        <v>812.32899999999995</v>
      </c>
      <c r="F742" s="35">
        <v>1274</v>
      </c>
      <c r="G742" s="35">
        <v>50</v>
      </c>
      <c r="H742" s="43">
        <v>600</v>
      </c>
      <c r="I742" s="35">
        <v>695</v>
      </c>
      <c r="J742" s="35">
        <v>50</v>
      </c>
      <c r="K742" s="36"/>
      <c r="L742" s="36"/>
      <c r="M742" s="36"/>
      <c r="N742" s="36"/>
      <c r="O742" s="36"/>
      <c r="P742" s="36"/>
      <c r="Q742" s="36"/>
      <c r="R742" s="36"/>
      <c r="S742" s="36"/>
      <c r="T742" s="36"/>
    </row>
    <row r="743" spans="1:20" ht="15.75">
      <c r="A743" s="13">
        <v>64131</v>
      </c>
      <c r="B743" s="44">
        <f t="shared" si="2"/>
        <v>31</v>
      </c>
      <c r="C743" s="35">
        <v>194.20500000000001</v>
      </c>
      <c r="D743" s="35">
        <v>267.46600000000001</v>
      </c>
      <c r="E743" s="41">
        <v>812.32899999999995</v>
      </c>
      <c r="F743" s="35">
        <v>1274</v>
      </c>
      <c r="G743" s="35">
        <v>50</v>
      </c>
      <c r="H743" s="43">
        <v>600</v>
      </c>
      <c r="I743" s="35">
        <v>695</v>
      </c>
      <c r="J743" s="35">
        <v>0</v>
      </c>
      <c r="K743" s="36"/>
      <c r="L743" s="36"/>
      <c r="M743" s="36"/>
      <c r="N743" s="36"/>
      <c r="O743" s="36"/>
      <c r="P743" s="36"/>
      <c r="Q743" s="36"/>
      <c r="R743" s="36"/>
      <c r="S743" s="36"/>
      <c r="T743" s="36"/>
    </row>
    <row r="744" spans="1:20" ht="15.75">
      <c r="A744" s="13">
        <v>64162</v>
      </c>
      <c r="B744" s="44">
        <f t="shared" si="2"/>
        <v>31</v>
      </c>
      <c r="C744" s="35">
        <v>194.20500000000001</v>
      </c>
      <c r="D744" s="35">
        <v>267.46600000000001</v>
      </c>
      <c r="E744" s="41">
        <v>812.32899999999995</v>
      </c>
      <c r="F744" s="35">
        <v>1274</v>
      </c>
      <c r="G744" s="35">
        <v>50</v>
      </c>
      <c r="H744" s="43">
        <v>600</v>
      </c>
      <c r="I744" s="35">
        <v>695</v>
      </c>
      <c r="J744" s="35">
        <v>0</v>
      </c>
      <c r="K744" s="36"/>
      <c r="L744" s="36"/>
      <c r="M744" s="36"/>
      <c r="N744" s="36"/>
      <c r="O744" s="36"/>
      <c r="P744" s="36"/>
      <c r="Q744" s="36"/>
      <c r="R744" s="36"/>
      <c r="S744" s="36"/>
      <c r="T744" s="36"/>
    </row>
    <row r="745" spans="1:20" ht="15.75">
      <c r="A745" s="13">
        <v>64192</v>
      </c>
      <c r="B745" s="44">
        <f t="shared" si="2"/>
        <v>30</v>
      </c>
      <c r="C745" s="35">
        <v>194.20500000000001</v>
      </c>
      <c r="D745" s="35">
        <v>267.46600000000001</v>
      </c>
      <c r="E745" s="41">
        <v>812.32899999999995</v>
      </c>
      <c r="F745" s="35">
        <v>1274</v>
      </c>
      <c r="G745" s="35">
        <v>50</v>
      </c>
      <c r="H745" s="43">
        <v>600</v>
      </c>
      <c r="I745" s="35">
        <v>695</v>
      </c>
      <c r="J745" s="35">
        <v>0</v>
      </c>
      <c r="K745" s="36"/>
      <c r="L745" s="36"/>
      <c r="M745" s="36"/>
      <c r="N745" s="36"/>
      <c r="O745" s="36"/>
      <c r="P745" s="36"/>
      <c r="Q745" s="36"/>
      <c r="R745" s="36"/>
      <c r="S745" s="36"/>
      <c r="T745" s="36"/>
    </row>
    <row r="746" spans="1:20" ht="15.75">
      <c r="A746" s="13">
        <v>64223</v>
      </c>
      <c r="B746" s="44">
        <f t="shared" si="2"/>
        <v>31</v>
      </c>
      <c r="C746" s="35">
        <v>131.881</v>
      </c>
      <c r="D746" s="35">
        <v>277.16699999999997</v>
      </c>
      <c r="E746" s="41">
        <v>829.952</v>
      </c>
      <c r="F746" s="35">
        <v>1239</v>
      </c>
      <c r="G746" s="35">
        <v>75</v>
      </c>
      <c r="H746" s="43">
        <v>600</v>
      </c>
      <c r="I746" s="35">
        <v>695</v>
      </c>
      <c r="J746" s="35">
        <v>0</v>
      </c>
      <c r="K746" s="36"/>
      <c r="L746" s="36"/>
      <c r="M746" s="36"/>
      <c r="N746" s="36"/>
      <c r="O746" s="36"/>
      <c r="P746" s="36"/>
      <c r="Q746" s="36"/>
      <c r="R746" s="36"/>
      <c r="S746" s="36"/>
      <c r="T746" s="36"/>
    </row>
    <row r="747" spans="1:20" ht="15.75">
      <c r="A747" s="13">
        <v>64253</v>
      </c>
      <c r="B747" s="44">
        <f t="shared" si="2"/>
        <v>30</v>
      </c>
      <c r="C747" s="35">
        <v>122.58</v>
      </c>
      <c r="D747" s="35">
        <v>297.94099999999997</v>
      </c>
      <c r="E747" s="41">
        <v>729.47900000000004</v>
      </c>
      <c r="F747" s="35">
        <v>1150</v>
      </c>
      <c r="G747" s="35">
        <v>100</v>
      </c>
      <c r="H747" s="43">
        <v>600</v>
      </c>
      <c r="I747" s="35">
        <v>695</v>
      </c>
      <c r="J747" s="35">
        <v>50</v>
      </c>
      <c r="K747" s="36"/>
      <c r="L747" s="36"/>
      <c r="M747" s="36"/>
      <c r="N747" s="36"/>
      <c r="O747" s="36"/>
      <c r="P747" s="36"/>
      <c r="Q747" s="36"/>
      <c r="R747" s="36"/>
      <c r="S747" s="36"/>
      <c r="T747" s="36"/>
    </row>
    <row r="748" spans="1:20" ht="15.75">
      <c r="A748" s="13">
        <v>64284</v>
      </c>
      <c r="B748" s="44">
        <f t="shared" si="2"/>
        <v>31</v>
      </c>
      <c r="C748" s="35">
        <v>122.58</v>
      </c>
      <c r="D748" s="35">
        <v>297.94099999999997</v>
      </c>
      <c r="E748" s="41">
        <v>729.47900000000004</v>
      </c>
      <c r="F748" s="35">
        <v>1150</v>
      </c>
      <c r="G748" s="35">
        <v>100</v>
      </c>
      <c r="H748" s="43">
        <v>600</v>
      </c>
      <c r="I748" s="35">
        <v>695</v>
      </c>
      <c r="J748" s="35">
        <v>50</v>
      </c>
      <c r="K748" s="36"/>
      <c r="L748" s="36"/>
      <c r="M748" s="36"/>
      <c r="N748" s="36"/>
      <c r="O748" s="36"/>
      <c r="P748" s="36"/>
      <c r="Q748" s="36"/>
      <c r="R748" s="36"/>
      <c r="S748" s="36"/>
      <c r="T748" s="36"/>
    </row>
    <row r="749" spans="1:20" ht="15.75">
      <c r="A749" s="13">
        <v>64315</v>
      </c>
      <c r="B749" s="44">
        <f t="shared" si="2"/>
        <v>31</v>
      </c>
      <c r="C749" s="35">
        <v>122.58</v>
      </c>
      <c r="D749" s="35">
        <v>297.94099999999997</v>
      </c>
      <c r="E749" s="41">
        <v>729.47900000000004</v>
      </c>
      <c r="F749" s="35">
        <v>1150</v>
      </c>
      <c r="G749" s="35">
        <v>100</v>
      </c>
      <c r="H749" s="43">
        <v>600</v>
      </c>
      <c r="I749" s="35">
        <v>695</v>
      </c>
      <c r="J749" s="35">
        <v>50</v>
      </c>
      <c r="K749" s="36"/>
      <c r="L749" s="36"/>
      <c r="M749" s="36"/>
      <c r="N749" s="36"/>
      <c r="O749" s="36"/>
      <c r="P749" s="36"/>
      <c r="Q749" s="36"/>
      <c r="R749" s="36"/>
      <c r="S749" s="36"/>
      <c r="T749" s="36"/>
    </row>
    <row r="750" spans="1:20" ht="15.75">
      <c r="A750" s="13">
        <v>64344</v>
      </c>
      <c r="B750" s="44">
        <f t="shared" si="2"/>
        <v>29</v>
      </c>
      <c r="C750" s="35">
        <v>122.58</v>
      </c>
      <c r="D750" s="35">
        <v>297.94099999999997</v>
      </c>
      <c r="E750" s="41">
        <v>729.47900000000004</v>
      </c>
      <c r="F750" s="35">
        <v>1150</v>
      </c>
      <c r="G750" s="35">
        <v>100</v>
      </c>
      <c r="H750" s="43">
        <v>600</v>
      </c>
      <c r="I750" s="35">
        <v>695</v>
      </c>
      <c r="J750" s="35">
        <v>50</v>
      </c>
      <c r="K750" s="36"/>
      <c r="L750" s="36"/>
      <c r="M750" s="36"/>
      <c r="N750" s="36"/>
      <c r="O750" s="36"/>
      <c r="P750" s="36"/>
      <c r="Q750" s="36"/>
      <c r="R750" s="36"/>
      <c r="S750" s="36"/>
      <c r="T750" s="36"/>
    </row>
    <row r="751" spans="1:20" ht="15.75">
      <c r="A751" s="13">
        <v>64375</v>
      </c>
      <c r="B751" s="44">
        <f t="shared" si="2"/>
        <v>31</v>
      </c>
      <c r="C751" s="35">
        <v>122.58</v>
      </c>
      <c r="D751" s="35">
        <v>297.94099999999997</v>
      </c>
      <c r="E751" s="41">
        <v>729.47900000000004</v>
      </c>
      <c r="F751" s="35">
        <v>1150</v>
      </c>
      <c r="G751" s="35">
        <v>100</v>
      </c>
      <c r="H751" s="43">
        <v>600</v>
      </c>
      <c r="I751" s="35">
        <v>695</v>
      </c>
      <c r="J751" s="35">
        <v>50</v>
      </c>
      <c r="K751" s="36"/>
      <c r="L751" s="36"/>
      <c r="M751" s="36"/>
      <c r="N751" s="36"/>
      <c r="O751" s="36"/>
      <c r="P751" s="36"/>
      <c r="Q751" s="36"/>
      <c r="R751" s="36"/>
      <c r="S751" s="36"/>
      <c r="T751" s="36"/>
    </row>
    <row r="752" spans="1:20" ht="15.75">
      <c r="A752" s="13">
        <v>64405</v>
      </c>
      <c r="B752" s="44">
        <f t="shared" si="2"/>
        <v>30</v>
      </c>
      <c r="C752" s="35">
        <v>141.29300000000001</v>
      </c>
      <c r="D752" s="35">
        <v>267.99299999999999</v>
      </c>
      <c r="E752" s="41">
        <v>829.71400000000006</v>
      </c>
      <c r="F752" s="35">
        <v>1239</v>
      </c>
      <c r="G752" s="35">
        <v>100</v>
      </c>
      <c r="H752" s="43">
        <v>600</v>
      </c>
      <c r="I752" s="35">
        <v>695</v>
      </c>
      <c r="J752" s="35">
        <v>50</v>
      </c>
      <c r="K752" s="36"/>
      <c r="L752" s="36"/>
      <c r="M752" s="36"/>
      <c r="N752" s="36"/>
      <c r="O752" s="36"/>
      <c r="P752" s="36"/>
      <c r="Q752" s="36"/>
      <c r="R752" s="36"/>
      <c r="S752" s="36"/>
      <c r="T752" s="36"/>
    </row>
    <row r="753" spans="1:20" ht="15.75">
      <c r="A753" s="13">
        <v>64436</v>
      </c>
      <c r="B753" s="44">
        <f t="shared" si="2"/>
        <v>31</v>
      </c>
      <c r="C753" s="35">
        <v>194.20500000000001</v>
      </c>
      <c r="D753" s="35">
        <v>267.46600000000001</v>
      </c>
      <c r="E753" s="41">
        <v>812.32899999999995</v>
      </c>
      <c r="F753" s="35">
        <v>1274</v>
      </c>
      <c r="G753" s="35">
        <v>75</v>
      </c>
      <c r="H753" s="43">
        <v>600</v>
      </c>
      <c r="I753" s="35">
        <v>695</v>
      </c>
      <c r="J753" s="35">
        <v>50</v>
      </c>
      <c r="K753" s="36"/>
      <c r="L753" s="36"/>
      <c r="M753" s="36"/>
      <c r="N753" s="36"/>
      <c r="O753" s="36"/>
      <c r="P753" s="36"/>
      <c r="Q753" s="36"/>
      <c r="R753" s="36"/>
      <c r="S753" s="36"/>
      <c r="T753" s="36"/>
    </row>
    <row r="754" spans="1:20" ht="15.75">
      <c r="A754" s="13">
        <v>64466</v>
      </c>
      <c r="B754" s="44">
        <f t="shared" si="2"/>
        <v>30</v>
      </c>
      <c r="C754" s="35">
        <v>194.20500000000001</v>
      </c>
      <c r="D754" s="35">
        <v>267.46600000000001</v>
      </c>
      <c r="E754" s="41">
        <v>812.32899999999995</v>
      </c>
      <c r="F754" s="35">
        <v>1274</v>
      </c>
      <c r="G754" s="35">
        <v>50</v>
      </c>
      <c r="H754" s="43">
        <v>600</v>
      </c>
      <c r="I754" s="35">
        <v>695</v>
      </c>
      <c r="J754" s="35">
        <v>50</v>
      </c>
      <c r="K754" s="36"/>
      <c r="L754" s="36"/>
      <c r="M754" s="36"/>
      <c r="N754" s="36"/>
      <c r="O754" s="36"/>
      <c r="P754" s="36"/>
      <c r="Q754" s="36"/>
      <c r="R754" s="36"/>
      <c r="S754" s="36"/>
      <c r="T754" s="36"/>
    </row>
    <row r="755" spans="1:20" ht="15.75">
      <c r="A755" s="13">
        <v>64497</v>
      </c>
      <c r="B755" s="44">
        <f t="shared" si="2"/>
        <v>31</v>
      </c>
      <c r="C755" s="35">
        <v>194.20500000000001</v>
      </c>
      <c r="D755" s="35">
        <v>267.46600000000001</v>
      </c>
      <c r="E755" s="41">
        <v>812.32899999999995</v>
      </c>
      <c r="F755" s="35">
        <v>1274</v>
      </c>
      <c r="G755" s="35">
        <v>50</v>
      </c>
      <c r="H755" s="43">
        <v>600</v>
      </c>
      <c r="I755" s="35">
        <v>695</v>
      </c>
      <c r="J755" s="35">
        <v>0</v>
      </c>
      <c r="K755" s="36"/>
      <c r="L755" s="36"/>
      <c r="M755" s="36"/>
      <c r="N755" s="36"/>
      <c r="O755" s="36"/>
      <c r="P755" s="36"/>
      <c r="Q755" s="36"/>
      <c r="R755" s="36"/>
      <c r="S755" s="36"/>
      <c r="T755" s="36"/>
    </row>
    <row r="756" spans="1:20" ht="15.75">
      <c r="A756" s="13">
        <v>64528</v>
      </c>
      <c r="B756" s="44">
        <f t="shared" si="2"/>
        <v>31</v>
      </c>
      <c r="C756" s="35">
        <v>194.20500000000001</v>
      </c>
      <c r="D756" s="35">
        <v>267.46600000000001</v>
      </c>
      <c r="E756" s="41">
        <v>812.32899999999995</v>
      </c>
      <c r="F756" s="35">
        <v>1274</v>
      </c>
      <c r="G756" s="35">
        <v>50</v>
      </c>
      <c r="H756" s="43">
        <v>600</v>
      </c>
      <c r="I756" s="35">
        <v>695</v>
      </c>
      <c r="J756" s="35">
        <v>0</v>
      </c>
      <c r="K756" s="36"/>
      <c r="L756" s="36"/>
      <c r="M756" s="36"/>
      <c r="N756" s="36"/>
      <c r="O756" s="36"/>
      <c r="P756" s="36"/>
      <c r="Q756" s="36"/>
      <c r="R756" s="36"/>
      <c r="S756" s="36"/>
      <c r="T756" s="36"/>
    </row>
    <row r="757" spans="1:20" ht="15.75">
      <c r="A757" s="13">
        <v>64558</v>
      </c>
      <c r="B757" s="44">
        <f t="shared" si="2"/>
        <v>30</v>
      </c>
      <c r="C757" s="35">
        <v>194.20500000000001</v>
      </c>
      <c r="D757" s="35">
        <v>267.46600000000001</v>
      </c>
      <c r="E757" s="41">
        <v>812.32899999999995</v>
      </c>
      <c r="F757" s="35">
        <v>1274</v>
      </c>
      <c r="G757" s="35">
        <v>50</v>
      </c>
      <c r="H757" s="43">
        <v>600</v>
      </c>
      <c r="I757" s="35">
        <v>695</v>
      </c>
      <c r="J757" s="35">
        <v>0</v>
      </c>
      <c r="K757" s="36"/>
      <c r="L757" s="36"/>
      <c r="M757" s="36"/>
      <c r="N757" s="36"/>
      <c r="O757" s="36"/>
      <c r="P757" s="36"/>
      <c r="Q757" s="36"/>
      <c r="R757" s="36"/>
      <c r="S757" s="36"/>
      <c r="T757" s="36"/>
    </row>
    <row r="758" spans="1:20" ht="15.75">
      <c r="A758" s="13">
        <v>64589</v>
      </c>
      <c r="B758" s="44">
        <f t="shared" si="2"/>
        <v>31</v>
      </c>
      <c r="C758" s="35">
        <v>131.881</v>
      </c>
      <c r="D758" s="35">
        <v>277.16699999999997</v>
      </c>
      <c r="E758" s="41">
        <v>829.952</v>
      </c>
      <c r="F758" s="35">
        <v>1239</v>
      </c>
      <c r="G758" s="35">
        <v>75</v>
      </c>
      <c r="H758" s="43">
        <v>600</v>
      </c>
      <c r="I758" s="35">
        <v>695</v>
      </c>
      <c r="J758" s="35">
        <v>0</v>
      </c>
      <c r="K758" s="36"/>
      <c r="L758" s="36"/>
      <c r="M758" s="36"/>
      <c r="N758" s="36"/>
      <c r="O758" s="36"/>
      <c r="P758" s="36"/>
      <c r="Q758" s="36"/>
      <c r="R758" s="36"/>
      <c r="S758" s="36"/>
      <c r="T758" s="36"/>
    </row>
    <row r="759" spans="1:20" ht="15.75">
      <c r="A759" s="13">
        <v>64619</v>
      </c>
      <c r="B759" s="44">
        <f t="shared" si="2"/>
        <v>30</v>
      </c>
      <c r="C759" s="35">
        <v>122.58</v>
      </c>
      <c r="D759" s="35">
        <v>297.94099999999997</v>
      </c>
      <c r="E759" s="41">
        <v>729.47900000000004</v>
      </c>
      <c r="F759" s="35">
        <v>1150</v>
      </c>
      <c r="G759" s="35">
        <v>100</v>
      </c>
      <c r="H759" s="43">
        <v>600</v>
      </c>
      <c r="I759" s="35">
        <v>695</v>
      </c>
      <c r="J759" s="35">
        <v>50</v>
      </c>
      <c r="K759" s="36"/>
      <c r="L759" s="36"/>
      <c r="M759" s="36"/>
      <c r="N759" s="36"/>
      <c r="O759" s="36"/>
      <c r="P759" s="36"/>
      <c r="Q759" s="36"/>
      <c r="R759" s="36"/>
      <c r="S759" s="36"/>
      <c r="T759" s="36"/>
    </row>
    <row r="760" spans="1:20" ht="15.75">
      <c r="A760" s="13">
        <v>64650</v>
      </c>
      <c r="B760" s="44">
        <f t="shared" si="2"/>
        <v>31</v>
      </c>
      <c r="C760" s="35">
        <v>122.58</v>
      </c>
      <c r="D760" s="35">
        <v>297.94099999999997</v>
      </c>
      <c r="E760" s="41">
        <v>729.47900000000004</v>
      </c>
      <c r="F760" s="35">
        <v>1150</v>
      </c>
      <c r="G760" s="35">
        <v>100</v>
      </c>
      <c r="H760" s="43">
        <v>600</v>
      </c>
      <c r="I760" s="35">
        <v>695</v>
      </c>
      <c r="J760" s="35">
        <v>50</v>
      </c>
      <c r="K760" s="36"/>
      <c r="L760" s="36"/>
      <c r="M760" s="36"/>
      <c r="N760" s="36"/>
      <c r="O760" s="36"/>
      <c r="P760" s="36"/>
      <c r="Q760" s="36"/>
      <c r="R760" s="36"/>
      <c r="S760" s="36"/>
      <c r="T760" s="36"/>
    </row>
    <row r="761" spans="1:20" ht="15.75">
      <c r="A761" s="13">
        <v>64681</v>
      </c>
      <c r="B761" s="44">
        <f t="shared" si="2"/>
        <v>31</v>
      </c>
      <c r="C761" s="35">
        <v>122.58</v>
      </c>
      <c r="D761" s="35">
        <v>297.94099999999997</v>
      </c>
      <c r="E761" s="41">
        <v>729.47900000000004</v>
      </c>
      <c r="F761" s="35">
        <v>1150</v>
      </c>
      <c r="G761" s="35">
        <v>100</v>
      </c>
      <c r="H761" s="43">
        <v>600</v>
      </c>
      <c r="I761" s="35">
        <v>695</v>
      </c>
      <c r="J761" s="35">
        <v>50</v>
      </c>
      <c r="K761" s="36"/>
      <c r="L761" s="36"/>
      <c r="M761" s="36"/>
      <c r="N761" s="36"/>
      <c r="O761" s="36"/>
      <c r="P761" s="36"/>
      <c r="Q761" s="36"/>
      <c r="R761" s="36"/>
      <c r="S761" s="36"/>
      <c r="T761" s="36"/>
    </row>
    <row r="762" spans="1:20" ht="15.75">
      <c r="A762" s="13">
        <v>64709</v>
      </c>
      <c r="B762" s="44">
        <f t="shared" si="2"/>
        <v>28</v>
      </c>
      <c r="C762" s="35">
        <v>122.58</v>
      </c>
      <c r="D762" s="35">
        <v>297.94099999999997</v>
      </c>
      <c r="E762" s="41">
        <v>729.47900000000004</v>
      </c>
      <c r="F762" s="35">
        <v>1150</v>
      </c>
      <c r="G762" s="35">
        <v>100</v>
      </c>
      <c r="H762" s="43">
        <v>600</v>
      </c>
      <c r="I762" s="35">
        <v>695</v>
      </c>
      <c r="J762" s="35">
        <v>50</v>
      </c>
      <c r="K762" s="36"/>
      <c r="L762" s="36"/>
      <c r="M762" s="36"/>
      <c r="N762" s="36"/>
      <c r="O762" s="36"/>
      <c r="P762" s="36"/>
      <c r="Q762" s="36"/>
      <c r="R762" s="36"/>
      <c r="S762" s="36"/>
      <c r="T762" s="36"/>
    </row>
    <row r="763" spans="1:20" ht="15.75">
      <c r="A763" s="13">
        <v>64740</v>
      </c>
      <c r="B763" s="44">
        <f t="shared" si="2"/>
        <v>31</v>
      </c>
      <c r="C763" s="35">
        <v>122.58</v>
      </c>
      <c r="D763" s="35">
        <v>297.94099999999997</v>
      </c>
      <c r="E763" s="41">
        <v>729.47900000000004</v>
      </c>
      <c r="F763" s="35">
        <v>1150</v>
      </c>
      <c r="G763" s="35">
        <v>100</v>
      </c>
      <c r="H763" s="43">
        <v>600</v>
      </c>
      <c r="I763" s="35">
        <v>695</v>
      </c>
      <c r="J763" s="35">
        <v>50</v>
      </c>
      <c r="K763" s="36"/>
      <c r="L763" s="36"/>
      <c r="M763" s="36"/>
      <c r="N763" s="36"/>
      <c r="O763" s="36"/>
      <c r="P763" s="36"/>
      <c r="Q763" s="36"/>
      <c r="R763" s="36"/>
      <c r="S763" s="36"/>
      <c r="T763" s="36"/>
    </row>
    <row r="764" spans="1:20" ht="15.75">
      <c r="A764" s="13">
        <v>64770</v>
      </c>
      <c r="B764" s="44">
        <f t="shared" si="2"/>
        <v>30</v>
      </c>
      <c r="C764" s="35">
        <v>141.29300000000001</v>
      </c>
      <c r="D764" s="35">
        <v>267.99299999999999</v>
      </c>
      <c r="E764" s="41">
        <v>829.71400000000006</v>
      </c>
      <c r="F764" s="35">
        <v>1239</v>
      </c>
      <c r="G764" s="35">
        <v>100</v>
      </c>
      <c r="H764" s="43">
        <v>600</v>
      </c>
      <c r="I764" s="35">
        <v>695</v>
      </c>
      <c r="J764" s="35">
        <v>50</v>
      </c>
      <c r="K764" s="36"/>
      <c r="L764" s="36"/>
      <c r="M764" s="36"/>
      <c r="N764" s="36"/>
      <c r="O764" s="36"/>
      <c r="P764" s="36"/>
      <c r="Q764" s="36"/>
      <c r="R764" s="36"/>
      <c r="S764" s="36"/>
      <c r="T764" s="36"/>
    </row>
    <row r="765" spans="1:20" ht="15.75">
      <c r="A765" s="13">
        <v>64801</v>
      </c>
      <c r="B765" s="44">
        <f t="shared" si="2"/>
        <v>31</v>
      </c>
      <c r="C765" s="35">
        <v>194.20500000000001</v>
      </c>
      <c r="D765" s="35">
        <v>267.46600000000001</v>
      </c>
      <c r="E765" s="41">
        <v>812.32899999999995</v>
      </c>
      <c r="F765" s="35">
        <v>1274</v>
      </c>
      <c r="G765" s="35">
        <v>75</v>
      </c>
      <c r="H765" s="43">
        <v>600</v>
      </c>
      <c r="I765" s="35">
        <v>695</v>
      </c>
      <c r="J765" s="35">
        <v>50</v>
      </c>
      <c r="K765" s="36"/>
      <c r="L765" s="36"/>
      <c r="M765" s="36"/>
      <c r="N765" s="36"/>
      <c r="O765" s="36"/>
      <c r="P765" s="36"/>
      <c r="Q765" s="36"/>
      <c r="R765" s="36"/>
      <c r="S765" s="36"/>
      <c r="T765" s="36"/>
    </row>
    <row r="766" spans="1:20" ht="15.75">
      <c r="A766" s="13">
        <v>64831</v>
      </c>
      <c r="B766" s="44">
        <f t="shared" si="2"/>
        <v>30</v>
      </c>
      <c r="C766" s="35">
        <v>194.20500000000001</v>
      </c>
      <c r="D766" s="35">
        <v>267.46600000000001</v>
      </c>
      <c r="E766" s="41">
        <v>812.32899999999995</v>
      </c>
      <c r="F766" s="35">
        <v>1274</v>
      </c>
      <c r="G766" s="35">
        <v>50</v>
      </c>
      <c r="H766" s="43">
        <v>600</v>
      </c>
      <c r="I766" s="35">
        <v>695</v>
      </c>
      <c r="J766" s="35">
        <v>50</v>
      </c>
      <c r="K766" s="36"/>
      <c r="L766" s="36"/>
      <c r="M766" s="36"/>
      <c r="N766" s="36"/>
      <c r="O766" s="36"/>
      <c r="P766" s="36"/>
      <c r="Q766" s="36"/>
      <c r="R766" s="36"/>
      <c r="S766" s="36"/>
      <c r="T766" s="36"/>
    </row>
    <row r="767" spans="1:20" ht="15.75">
      <c r="A767" s="13">
        <v>64862</v>
      </c>
      <c r="B767" s="44">
        <f t="shared" si="2"/>
        <v>31</v>
      </c>
      <c r="C767" s="35">
        <v>194.20500000000001</v>
      </c>
      <c r="D767" s="35">
        <v>267.46600000000001</v>
      </c>
      <c r="E767" s="41">
        <v>812.32899999999995</v>
      </c>
      <c r="F767" s="35">
        <v>1274</v>
      </c>
      <c r="G767" s="35">
        <v>50</v>
      </c>
      <c r="H767" s="43">
        <v>600</v>
      </c>
      <c r="I767" s="35">
        <v>695</v>
      </c>
      <c r="J767" s="35">
        <v>0</v>
      </c>
      <c r="K767" s="36"/>
      <c r="L767" s="36"/>
      <c r="M767" s="36"/>
      <c r="N767" s="36"/>
      <c r="O767" s="36"/>
      <c r="P767" s="36"/>
      <c r="Q767" s="36"/>
      <c r="R767" s="36"/>
      <c r="S767" s="36"/>
      <c r="T767" s="36"/>
    </row>
    <row r="768" spans="1:20" ht="15.75">
      <c r="A768" s="13">
        <v>64893</v>
      </c>
      <c r="B768" s="44">
        <f t="shared" si="2"/>
        <v>31</v>
      </c>
      <c r="C768" s="35">
        <v>194.20500000000001</v>
      </c>
      <c r="D768" s="35">
        <v>267.46600000000001</v>
      </c>
      <c r="E768" s="41">
        <v>812.32899999999995</v>
      </c>
      <c r="F768" s="35">
        <v>1274</v>
      </c>
      <c r="G768" s="35">
        <v>50</v>
      </c>
      <c r="H768" s="43">
        <v>600</v>
      </c>
      <c r="I768" s="35">
        <v>695</v>
      </c>
      <c r="J768" s="35">
        <v>0</v>
      </c>
      <c r="K768" s="36"/>
      <c r="L768" s="36"/>
      <c r="M768" s="36"/>
      <c r="N768" s="36"/>
      <c r="O768" s="36"/>
      <c r="P768" s="36"/>
      <c r="Q768" s="36"/>
      <c r="R768" s="36"/>
      <c r="S768" s="36"/>
      <c r="T768" s="36"/>
    </row>
    <row r="769" spans="1:20" ht="15.75">
      <c r="A769" s="13">
        <v>64923</v>
      </c>
      <c r="B769" s="44">
        <f t="shared" si="2"/>
        <v>30</v>
      </c>
      <c r="C769" s="35">
        <v>194.20500000000001</v>
      </c>
      <c r="D769" s="35">
        <v>267.46600000000001</v>
      </c>
      <c r="E769" s="41">
        <v>812.32899999999995</v>
      </c>
      <c r="F769" s="35">
        <v>1274</v>
      </c>
      <c r="G769" s="35">
        <v>50</v>
      </c>
      <c r="H769" s="43">
        <v>600</v>
      </c>
      <c r="I769" s="35">
        <v>695</v>
      </c>
      <c r="J769" s="35">
        <v>0</v>
      </c>
      <c r="K769" s="36"/>
      <c r="L769" s="36"/>
      <c r="M769" s="36"/>
      <c r="N769" s="36"/>
      <c r="O769" s="36"/>
      <c r="P769" s="36"/>
      <c r="Q769" s="36"/>
      <c r="R769" s="36"/>
      <c r="S769" s="36"/>
      <c r="T769" s="36"/>
    </row>
    <row r="770" spans="1:20" ht="15.75">
      <c r="A770" s="13">
        <v>64954</v>
      </c>
      <c r="B770" s="44">
        <f t="shared" si="2"/>
        <v>31</v>
      </c>
      <c r="C770" s="35">
        <v>131.881</v>
      </c>
      <c r="D770" s="35">
        <v>277.16699999999997</v>
      </c>
      <c r="E770" s="41">
        <v>829.952</v>
      </c>
      <c r="F770" s="35">
        <v>1239</v>
      </c>
      <c r="G770" s="35">
        <v>75</v>
      </c>
      <c r="H770" s="43">
        <v>600</v>
      </c>
      <c r="I770" s="35">
        <v>695</v>
      </c>
      <c r="J770" s="35">
        <v>0</v>
      </c>
      <c r="K770" s="36"/>
      <c r="L770" s="36"/>
      <c r="M770" s="36"/>
      <c r="N770" s="36"/>
      <c r="O770" s="36"/>
      <c r="P770" s="36"/>
      <c r="Q770" s="36"/>
      <c r="R770" s="36"/>
      <c r="S770" s="36"/>
      <c r="T770" s="36"/>
    </row>
    <row r="771" spans="1:20" ht="15.75">
      <c r="A771" s="13">
        <v>64984</v>
      </c>
      <c r="B771" s="44">
        <f t="shared" si="2"/>
        <v>30</v>
      </c>
      <c r="C771" s="35">
        <v>122.58</v>
      </c>
      <c r="D771" s="35">
        <v>297.94099999999997</v>
      </c>
      <c r="E771" s="41">
        <v>729.47900000000004</v>
      </c>
      <c r="F771" s="35">
        <v>1150</v>
      </c>
      <c r="G771" s="35">
        <v>100</v>
      </c>
      <c r="H771" s="43">
        <v>600</v>
      </c>
      <c r="I771" s="35">
        <v>695</v>
      </c>
      <c r="J771" s="35">
        <v>50</v>
      </c>
      <c r="K771" s="36"/>
      <c r="L771" s="36"/>
      <c r="M771" s="36"/>
      <c r="N771" s="36"/>
      <c r="O771" s="36"/>
      <c r="P771" s="36"/>
      <c r="Q771" s="36"/>
      <c r="R771" s="36"/>
      <c r="S771" s="36"/>
      <c r="T771" s="36"/>
    </row>
    <row r="772" spans="1:20" ht="15.75">
      <c r="A772" s="13">
        <v>65015</v>
      </c>
      <c r="B772" s="44">
        <f t="shared" si="2"/>
        <v>31</v>
      </c>
      <c r="C772" s="35">
        <v>122.58</v>
      </c>
      <c r="D772" s="35">
        <v>297.94099999999997</v>
      </c>
      <c r="E772" s="41">
        <v>729.47900000000004</v>
      </c>
      <c r="F772" s="35">
        <v>1150</v>
      </c>
      <c r="G772" s="35">
        <v>100</v>
      </c>
      <c r="H772" s="43">
        <v>600</v>
      </c>
      <c r="I772" s="35">
        <v>695</v>
      </c>
      <c r="J772" s="35">
        <v>50</v>
      </c>
      <c r="K772" s="36"/>
      <c r="L772" s="36"/>
      <c r="M772" s="36"/>
      <c r="N772" s="36"/>
      <c r="O772" s="36"/>
      <c r="P772" s="36"/>
      <c r="Q772" s="36"/>
      <c r="R772" s="36"/>
      <c r="S772" s="36"/>
      <c r="T772" s="36"/>
    </row>
    <row r="773" spans="1:20" ht="15.75">
      <c r="A773" s="13">
        <v>65046</v>
      </c>
      <c r="B773" s="44">
        <f t="shared" ref="B773:B836" si="3">EOMONTH(A773,0)-EOMONTH(A773,-1)</f>
        <v>31</v>
      </c>
      <c r="C773" s="35">
        <v>122.58</v>
      </c>
      <c r="D773" s="35">
        <v>297.94099999999997</v>
      </c>
      <c r="E773" s="41">
        <v>729.47900000000004</v>
      </c>
      <c r="F773" s="35">
        <v>1150</v>
      </c>
      <c r="G773" s="35">
        <v>100</v>
      </c>
      <c r="H773" s="43">
        <v>600</v>
      </c>
      <c r="I773" s="35">
        <v>695</v>
      </c>
      <c r="J773" s="35">
        <v>50</v>
      </c>
      <c r="K773" s="36"/>
      <c r="L773" s="36"/>
      <c r="M773" s="36"/>
      <c r="N773" s="36"/>
      <c r="O773" s="36"/>
      <c r="P773" s="36"/>
      <c r="Q773" s="36"/>
      <c r="R773" s="36"/>
      <c r="S773" s="36"/>
      <c r="T773" s="36"/>
    </row>
    <row r="774" spans="1:20" ht="15.75">
      <c r="A774" s="13">
        <v>65074</v>
      </c>
      <c r="B774" s="44">
        <f t="shared" si="3"/>
        <v>28</v>
      </c>
      <c r="C774" s="35">
        <v>122.58</v>
      </c>
      <c r="D774" s="35">
        <v>297.94099999999997</v>
      </c>
      <c r="E774" s="41">
        <v>729.47900000000004</v>
      </c>
      <c r="F774" s="35">
        <v>1150</v>
      </c>
      <c r="G774" s="35">
        <v>100</v>
      </c>
      <c r="H774" s="43">
        <v>600</v>
      </c>
      <c r="I774" s="35">
        <v>695</v>
      </c>
      <c r="J774" s="35">
        <v>50</v>
      </c>
      <c r="K774" s="36"/>
      <c r="L774" s="36"/>
      <c r="M774" s="36"/>
      <c r="N774" s="36"/>
      <c r="O774" s="36"/>
      <c r="P774" s="36"/>
      <c r="Q774" s="36"/>
      <c r="R774" s="36"/>
      <c r="S774" s="36"/>
      <c r="T774" s="36"/>
    </row>
    <row r="775" spans="1:20" ht="15.75">
      <c r="A775" s="13">
        <v>65105</v>
      </c>
      <c r="B775" s="44">
        <f t="shared" si="3"/>
        <v>31</v>
      </c>
      <c r="C775" s="35">
        <v>122.58</v>
      </c>
      <c r="D775" s="35">
        <v>297.94099999999997</v>
      </c>
      <c r="E775" s="41">
        <v>729.47900000000004</v>
      </c>
      <c r="F775" s="35">
        <v>1150</v>
      </c>
      <c r="G775" s="35">
        <v>100</v>
      </c>
      <c r="H775" s="43">
        <v>600</v>
      </c>
      <c r="I775" s="35">
        <v>695</v>
      </c>
      <c r="J775" s="35">
        <v>50</v>
      </c>
      <c r="K775" s="36"/>
      <c r="L775" s="36"/>
      <c r="M775" s="36"/>
      <c r="N775" s="36"/>
      <c r="O775" s="36"/>
      <c r="P775" s="36"/>
      <c r="Q775" s="36"/>
      <c r="R775" s="36"/>
      <c r="S775" s="36"/>
      <c r="T775" s="36"/>
    </row>
    <row r="776" spans="1:20" ht="15.75">
      <c r="A776" s="13">
        <v>65135</v>
      </c>
      <c r="B776" s="44">
        <f t="shared" si="3"/>
        <v>30</v>
      </c>
      <c r="C776" s="35">
        <v>141.29300000000001</v>
      </c>
      <c r="D776" s="35">
        <v>267.99299999999999</v>
      </c>
      <c r="E776" s="41">
        <v>829.71400000000006</v>
      </c>
      <c r="F776" s="35">
        <v>1239</v>
      </c>
      <c r="G776" s="35">
        <v>100</v>
      </c>
      <c r="H776" s="43">
        <v>600</v>
      </c>
      <c r="I776" s="35">
        <v>695</v>
      </c>
      <c r="J776" s="35">
        <v>50</v>
      </c>
      <c r="K776" s="36"/>
      <c r="L776" s="36"/>
      <c r="M776" s="36"/>
      <c r="N776" s="36"/>
      <c r="O776" s="36"/>
      <c r="P776" s="36"/>
      <c r="Q776" s="36"/>
      <c r="R776" s="36"/>
      <c r="S776" s="36"/>
      <c r="T776" s="36"/>
    </row>
    <row r="777" spans="1:20" ht="15.75">
      <c r="A777" s="13">
        <v>65166</v>
      </c>
      <c r="B777" s="44">
        <f t="shared" si="3"/>
        <v>31</v>
      </c>
      <c r="C777" s="35">
        <v>194.20500000000001</v>
      </c>
      <c r="D777" s="35">
        <v>267.46600000000001</v>
      </c>
      <c r="E777" s="41">
        <v>812.32899999999995</v>
      </c>
      <c r="F777" s="35">
        <v>1274</v>
      </c>
      <c r="G777" s="35">
        <v>75</v>
      </c>
      <c r="H777" s="43">
        <v>600</v>
      </c>
      <c r="I777" s="35">
        <v>695</v>
      </c>
      <c r="J777" s="35">
        <v>50</v>
      </c>
      <c r="K777" s="36"/>
      <c r="L777" s="36"/>
      <c r="M777" s="36"/>
      <c r="N777" s="36"/>
      <c r="O777" s="36"/>
      <c r="P777" s="36"/>
      <c r="Q777" s="36"/>
      <c r="R777" s="36"/>
      <c r="S777" s="36"/>
      <c r="T777" s="36"/>
    </row>
    <row r="778" spans="1:20" ht="15.75">
      <c r="A778" s="13">
        <v>65196</v>
      </c>
      <c r="B778" s="44">
        <f t="shared" si="3"/>
        <v>30</v>
      </c>
      <c r="C778" s="35">
        <v>194.20500000000001</v>
      </c>
      <c r="D778" s="35">
        <v>267.46600000000001</v>
      </c>
      <c r="E778" s="41">
        <v>812.32899999999995</v>
      </c>
      <c r="F778" s="35">
        <v>1274</v>
      </c>
      <c r="G778" s="35">
        <v>50</v>
      </c>
      <c r="H778" s="43">
        <v>600</v>
      </c>
      <c r="I778" s="35">
        <v>695</v>
      </c>
      <c r="J778" s="35">
        <v>50</v>
      </c>
      <c r="K778" s="36"/>
      <c r="L778" s="36"/>
      <c r="M778" s="36"/>
      <c r="N778" s="36"/>
      <c r="O778" s="36"/>
      <c r="P778" s="36"/>
      <c r="Q778" s="36"/>
      <c r="R778" s="36"/>
      <c r="S778" s="36"/>
      <c r="T778" s="36"/>
    </row>
    <row r="779" spans="1:20" ht="15.75">
      <c r="A779" s="13">
        <v>65227</v>
      </c>
      <c r="B779" s="44">
        <f t="shared" si="3"/>
        <v>31</v>
      </c>
      <c r="C779" s="35">
        <v>194.20500000000001</v>
      </c>
      <c r="D779" s="35">
        <v>267.46600000000001</v>
      </c>
      <c r="E779" s="41">
        <v>812.32899999999995</v>
      </c>
      <c r="F779" s="35">
        <v>1274</v>
      </c>
      <c r="G779" s="35">
        <v>50</v>
      </c>
      <c r="H779" s="43">
        <v>600</v>
      </c>
      <c r="I779" s="35">
        <v>695</v>
      </c>
      <c r="J779" s="35">
        <v>0</v>
      </c>
      <c r="K779" s="36"/>
      <c r="L779" s="36"/>
      <c r="M779" s="36"/>
      <c r="N779" s="36"/>
      <c r="O779" s="36"/>
      <c r="P779" s="36"/>
      <c r="Q779" s="36"/>
      <c r="R779" s="36"/>
      <c r="S779" s="36"/>
      <c r="T779" s="36"/>
    </row>
    <row r="780" spans="1:20" ht="15.75">
      <c r="A780" s="13">
        <v>65258</v>
      </c>
      <c r="B780" s="44">
        <f t="shared" si="3"/>
        <v>31</v>
      </c>
      <c r="C780" s="35">
        <v>194.20500000000001</v>
      </c>
      <c r="D780" s="35">
        <v>267.46600000000001</v>
      </c>
      <c r="E780" s="41">
        <v>812.32899999999995</v>
      </c>
      <c r="F780" s="35">
        <v>1274</v>
      </c>
      <c r="G780" s="35">
        <v>50</v>
      </c>
      <c r="H780" s="43">
        <v>600</v>
      </c>
      <c r="I780" s="35">
        <v>695</v>
      </c>
      <c r="J780" s="35">
        <v>0</v>
      </c>
      <c r="K780" s="36"/>
      <c r="L780" s="36"/>
      <c r="M780" s="36"/>
      <c r="N780" s="36"/>
      <c r="O780" s="36"/>
      <c r="P780" s="36"/>
      <c r="Q780" s="36"/>
      <c r="R780" s="36"/>
      <c r="S780" s="36"/>
      <c r="T780" s="36"/>
    </row>
    <row r="781" spans="1:20" ht="15.75">
      <c r="A781" s="13">
        <v>65288</v>
      </c>
      <c r="B781" s="44">
        <f t="shared" si="3"/>
        <v>30</v>
      </c>
      <c r="C781" s="35">
        <v>194.20500000000001</v>
      </c>
      <c r="D781" s="35">
        <v>267.46600000000001</v>
      </c>
      <c r="E781" s="41">
        <v>812.32899999999995</v>
      </c>
      <c r="F781" s="35">
        <v>1274</v>
      </c>
      <c r="G781" s="35">
        <v>50</v>
      </c>
      <c r="H781" s="43">
        <v>600</v>
      </c>
      <c r="I781" s="35">
        <v>695</v>
      </c>
      <c r="J781" s="35">
        <v>0</v>
      </c>
      <c r="K781" s="36"/>
      <c r="L781" s="36"/>
      <c r="M781" s="36"/>
      <c r="N781" s="36"/>
      <c r="O781" s="36"/>
      <c r="P781" s="36"/>
      <c r="Q781" s="36"/>
      <c r="R781" s="36"/>
      <c r="S781" s="36"/>
      <c r="T781" s="36"/>
    </row>
    <row r="782" spans="1:20" ht="15.75">
      <c r="A782" s="13">
        <v>65319</v>
      </c>
      <c r="B782" s="44">
        <f t="shared" si="3"/>
        <v>31</v>
      </c>
      <c r="C782" s="35">
        <v>131.881</v>
      </c>
      <c r="D782" s="35">
        <v>277.16699999999997</v>
      </c>
      <c r="E782" s="41">
        <v>829.952</v>
      </c>
      <c r="F782" s="35">
        <v>1239</v>
      </c>
      <c r="G782" s="35">
        <v>75</v>
      </c>
      <c r="H782" s="43">
        <v>600</v>
      </c>
      <c r="I782" s="35">
        <v>695</v>
      </c>
      <c r="J782" s="35">
        <v>0</v>
      </c>
      <c r="K782" s="36"/>
      <c r="L782" s="36"/>
      <c r="M782" s="36"/>
      <c r="N782" s="36"/>
      <c r="O782" s="36"/>
      <c r="P782" s="36"/>
      <c r="Q782" s="36"/>
      <c r="R782" s="36"/>
      <c r="S782" s="36"/>
      <c r="T782" s="36"/>
    </row>
    <row r="783" spans="1:20" ht="15.75">
      <c r="A783" s="13">
        <v>65349</v>
      </c>
      <c r="B783" s="44">
        <f t="shared" si="3"/>
        <v>30</v>
      </c>
      <c r="C783" s="35">
        <v>122.58</v>
      </c>
      <c r="D783" s="35">
        <v>297.94099999999997</v>
      </c>
      <c r="E783" s="41">
        <v>729.47900000000004</v>
      </c>
      <c r="F783" s="35">
        <v>1150</v>
      </c>
      <c r="G783" s="35">
        <v>100</v>
      </c>
      <c r="H783" s="43">
        <v>600</v>
      </c>
      <c r="I783" s="35">
        <v>695</v>
      </c>
      <c r="J783" s="35">
        <v>50</v>
      </c>
      <c r="K783" s="36"/>
      <c r="L783" s="36"/>
      <c r="M783" s="36"/>
      <c r="N783" s="36"/>
      <c r="O783" s="36"/>
      <c r="P783" s="36"/>
      <c r="Q783" s="36"/>
      <c r="R783" s="36"/>
      <c r="S783" s="36"/>
      <c r="T783" s="36"/>
    </row>
    <row r="784" spans="1:20" ht="15.75">
      <c r="A784" s="13">
        <v>65380</v>
      </c>
      <c r="B784" s="44">
        <f t="shared" si="3"/>
        <v>31</v>
      </c>
      <c r="C784" s="35">
        <v>122.58</v>
      </c>
      <c r="D784" s="35">
        <v>297.94099999999997</v>
      </c>
      <c r="E784" s="41">
        <v>729.47900000000004</v>
      </c>
      <c r="F784" s="35">
        <v>1150</v>
      </c>
      <c r="G784" s="35">
        <v>100</v>
      </c>
      <c r="H784" s="43">
        <v>600</v>
      </c>
      <c r="I784" s="35">
        <v>695</v>
      </c>
      <c r="J784" s="35">
        <v>50</v>
      </c>
      <c r="K784" s="36"/>
      <c r="L784" s="36"/>
      <c r="M784" s="36"/>
      <c r="N784" s="36"/>
      <c r="O784" s="36"/>
      <c r="P784" s="36"/>
      <c r="Q784" s="36"/>
      <c r="R784" s="36"/>
      <c r="S784" s="36"/>
      <c r="T784" s="36"/>
    </row>
    <row r="785" spans="1:20" ht="15.75">
      <c r="A785" s="13">
        <v>65411</v>
      </c>
      <c r="B785" s="44">
        <f t="shared" si="3"/>
        <v>31</v>
      </c>
      <c r="C785" s="35">
        <v>122.58</v>
      </c>
      <c r="D785" s="35">
        <v>297.94099999999997</v>
      </c>
      <c r="E785" s="41">
        <v>729.47900000000004</v>
      </c>
      <c r="F785" s="35">
        <v>1150</v>
      </c>
      <c r="G785" s="35">
        <v>100</v>
      </c>
      <c r="H785" s="43">
        <v>600</v>
      </c>
      <c r="I785" s="35">
        <v>695</v>
      </c>
      <c r="J785" s="35">
        <v>50</v>
      </c>
      <c r="K785" s="36"/>
      <c r="L785" s="36"/>
      <c r="M785" s="36"/>
      <c r="N785" s="36"/>
      <c r="O785" s="36"/>
      <c r="P785" s="36"/>
      <c r="Q785" s="36"/>
      <c r="R785" s="36"/>
      <c r="S785" s="36"/>
      <c r="T785" s="36"/>
    </row>
    <row r="786" spans="1:20" ht="15.75">
      <c r="A786" s="13">
        <v>65439</v>
      </c>
      <c r="B786" s="44">
        <f t="shared" si="3"/>
        <v>28</v>
      </c>
      <c r="C786" s="35">
        <v>122.58</v>
      </c>
      <c r="D786" s="35">
        <v>297.94099999999997</v>
      </c>
      <c r="E786" s="41">
        <v>729.47900000000004</v>
      </c>
      <c r="F786" s="35">
        <v>1150</v>
      </c>
      <c r="G786" s="35">
        <v>100</v>
      </c>
      <c r="H786" s="43">
        <v>600</v>
      </c>
      <c r="I786" s="35">
        <v>695</v>
      </c>
      <c r="J786" s="35">
        <v>50</v>
      </c>
      <c r="K786" s="36"/>
      <c r="L786" s="36"/>
      <c r="M786" s="36"/>
      <c r="N786" s="36"/>
      <c r="O786" s="36"/>
      <c r="P786" s="36"/>
      <c r="Q786" s="36"/>
      <c r="R786" s="36"/>
      <c r="S786" s="36"/>
      <c r="T786" s="36"/>
    </row>
    <row r="787" spans="1:20" ht="15.75">
      <c r="A787" s="13">
        <v>65470</v>
      </c>
      <c r="B787" s="44">
        <f t="shared" si="3"/>
        <v>31</v>
      </c>
      <c r="C787" s="35">
        <v>122.58</v>
      </c>
      <c r="D787" s="35">
        <v>297.94099999999997</v>
      </c>
      <c r="E787" s="41">
        <v>729.47900000000004</v>
      </c>
      <c r="F787" s="35">
        <v>1150</v>
      </c>
      <c r="G787" s="35">
        <v>100</v>
      </c>
      <c r="H787" s="43">
        <v>600</v>
      </c>
      <c r="I787" s="35">
        <v>695</v>
      </c>
      <c r="J787" s="35">
        <v>50</v>
      </c>
      <c r="K787" s="36"/>
      <c r="L787" s="36"/>
      <c r="M787" s="36"/>
      <c r="N787" s="36"/>
      <c r="O787" s="36"/>
      <c r="P787" s="36"/>
      <c r="Q787" s="36"/>
      <c r="R787" s="36"/>
      <c r="S787" s="36"/>
      <c r="T787" s="36"/>
    </row>
    <row r="788" spans="1:20" ht="15.75">
      <c r="A788" s="13">
        <v>65500</v>
      </c>
      <c r="B788" s="44">
        <f t="shared" si="3"/>
        <v>30</v>
      </c>
      <c r="C788" s="35">
        <v>141.29300000000001</v>
      </c>
      <c r="D788" s="35">
        <v>267.99299999999999</v>
      </c>
      <c r="E788" s="41">
        <v>829.71400000000006</v>
      </c>
      <c r="F788" s="35">
        <v>1239</v>
      </c>
      <c r="G788" s="35">
        <v>100</v>
      </c>
      <c r="H788" s="43">
        <v>600</v>
      </c>
      <c r="I788" s="35">
        <v>695</v>
      </c>
      <c r="J788" s="35">
        <v>50</v>
      </c>
      <c r="K788" s="36"/>
      <c r="L788" s="36"/>
      <c r="M788" s="36"/>
      <c r="N788" s="36"/>
      <c r="O788" s="36"/>
      <c r="P788" s="36"/>
      <c r="Q788" s="36"/>
      <c r="R788" s="36"/>
      <c r="S788" s="36"/>
      <c r="T788" s="36"/>
    </row>
    <row r="789" spans="1:20" ht="15.75">
      <c r="A789" s="13">
        <v>65531</v>
      </c>
      <c r="B789" s="44">
        <f t="shared" si="3"/>
        <v>31</v>
      </c>
      <c r="C789" s="35">
        <v>194.20500000000001</v>
      </c>
      <c r="D789" s="35">
        <v>267.46600000000001</v>
      </c>
      <c r="E789" s="41">
        <v>812.32899999999995</v>
      </c>
      <c r="F789" s="35">
        <v>1274</v>
      </c>
      <c r="G789" s="35">
        <v>75</v>
      </c>
      <c r="H789" s="43">
        <v>600</v>
      </c>
      <c r="I789" s="35">
        <v>695</v>
      </c>
      <c r="J789" s="35">
        <v>50</v>
      </c>
      <c r="K789" s="36"/>
      <c r="L789" s="36"/>
      <c r="M789" s="36"/>
      <c r="N789" s="36"/>
      <c r="O789" s="36"/>
      <c r="P789" s="36"/>
      <c r="Q789" s="36"/>
      <c r="R789" s="36"/>
      <c r="S789" s="36"/>
      <c r="T789" s="36"/>
    </row>
    <row r="790" spans="1:20" ht="15.75">
      <c r="A790" s="13">
        <v>65561</v>
      </c>
      <c r="B790" s="44">
        <f t="shared" si="3"/>
        <v>30</v>
      </c>
      <c r="C790" s="35">
        <v>194.20500000000001</v>
      </c>
      <c r="D790" s="35">
        <v>267.46600000000001</v>
      </c>
      <c r="E790" s="41">
        <v>812.32899999999995</v>
      </c>
      <c r="F790" s="35">
        <v>1274</v>
      </c>
      <c r="G790" s="35">
        <v>50</v>
      </c>
      <c r="H790" s="43">
        <v>600</v>
      </c>
      <c r="I790" s="35">
        <v>695</v>
      </c>
      <c r="J790" s="35">
        <v>50</v>
      </c>
      <c r="K790" s="36"/>
      <c r="L790" s="36"/>
      <c r="M790" s="36"/>
      <c r="N790" s="36"/>
      <c r="O790" s="36"/>
      <c r="P790" s="36"/>
      <c r="Q790" s="36"/>
      <c r="R790" s="36"/>
      <c r="S790" s="36"/>
      <c r="T790" s="36"/>
    </row>
    <row r="791" spans="1:20" ht="15.75">
      <c r="A791" s="13">
        <v>65592</v>
      </c>
      <c r="B791" s="44">
        <f t="shared" si="3"/>
        <v>31</v>
      </c>
      <c r="C791" s="35">
        <v>194.20500000000001</v>
      </c>
      <c r="D791" s="35">
        <v>267.46600000000001</v>
      </c>
      <c r="E791" s="41">
        <v>812.32899999999995</v>
      </c>
      <c r="F791" s="35">
        <v>1274</v>
      </c>
      <c r="G791" s="35">
        <v>50</v>
      </c>
      <c r="H791" s="43">
        <v>600</v>
      </c>
      <c r="I791" s="35">
        <v>695</v>
      </c>
      <c r="J791" s="35">
        <v>0</v>
      </c>
      <c r="K791" s="36"/>
      <c r="L791" s="36"/>
      <c r="M791" s="36"/>
      <c r="N791" s="36"/>
      <c r="O791" s="36"/>
      <c r="P791" s="36"/>
      <c r="Q791" s="36"/>
      <c r="R791" s="36"/>
      <c r="S791" s="36"/>
      <c r="T791" s="36"/>
    </row>
    <row r="792" spans="1:20" ht="15.75">
      <c r="A792" s="13">
        <v>65623</v>
      </c>
      <c r="B792" s="44">
        <f t="shared" si="3"/>
        <v>31</v>
      </c>
      <c r="C792" s="35">
        <v>194.20500000000001</v>
      </c>
      <c r="D792" s="35">
        <v>267.46600000000001</v>
      </c>
      <c r="E792" s="41">
        <v>812.32899999999995</v>
      </c>
      <c r="F792" s="35">
        <v>1274</v>
      </c>
      <c r="G792" s="35">
        <v>50</v>
      </c>
      <c r="H792" s="43">
        <v>600</v>
      </c>
      <c r="I792" s="35">
        <v>695</v>
      </c>
      <c r="J792" s="35">
        <v>0</v>
      </c>
      <c r="K792" s="36"/>
      <c r="L792" s="36"/>
      <c r="M792" s="36"/>
      <c r="N792" s="36"/>
      <c r="O792" s="36"/>
      <c r="P792" s="36"/>
      <c r="Q792" s="36"/>
      <c r="R792" s="36"/>
      <c r="S792" s="36"/>
      <c r="T792" s="36"/>
    </row>
    <row r="793" spans="1:20" ht="15.75">
      <c r="A793" s="13">
        <v>65653</v>
      </c>
      <c r="B793" s="44">
        <f t="shared" si="3"/>
        <v>30</v>
      </c>
      <c r="C793" s="35">
        <v>194.20500000000001</v>
      </c>
      <c r="D793" s="35">
        <v>267.46600000000001</v>
      </c>
      <c r="E793" s="41">
        <v>812.32899999999995</v>
      </c>
      <c r="F793" s="35">
        <v>1274</v>
      </c>
      <c r="G793" s="35">
        <v>50</v>
      </c>
      <c r="H793" s="43">
        <v>600</v>
      </c>
      <c r="I793" s="35">
        <v>695</v>
      </c>
      <c r="J793" s="35">
        <v>0</v>
      </c>
      <c r="K793" s="36"/>
      <c r="L793" s="36"/>
      <c r="M793" s="36"/>
      <c r="N793" s="36"/>
      <c r="O793" s="36"/>
      <c r="P793" s="36"/>
      <c r="Q793" s="36"/>
      <c r="R793" s="36"/>
      <c r="S793" s="36"/>
      <c r="T793" s="36"/>
    </row>
    <row r="794" spans="1:20" ht="15.75">
      <c r="A794" s="13">
        <v>65684</v>
      </c>
      <c r="B794" s="44">
        <f t="shared" si="3"/>
        <v>31</v>
      </c>
      <c r="C794" s="35">
        <v>131.881</v>
      </c>
      <c r="D794" s="35">
        <v>277.16699999999997</v>
      </c>
      <c r="E794" s="41">
        <v>829.952</v>
      </c>
      <c r="F794" s="35">
        <v>1239</v>
      </c>
      <c r="G794" s="35">
        <v>75</v>
      </c>
      <c r="H794" s="43">
        <v>600</v>
      </c>
      <c r="I794" s="35">
        <v>695</v>
      </c>
      <c r="J794" s="35">
        <v>0</v>
      </c>
      <c r="K794" s="36"/>
      <c r="L794" s="36"/>
      <c r="M794" s="36"/>
      <c r="N794" s="36"/>
      <c r="O794" s="36"/>
      <c r="P794" s="36"/>
      <c r="Q794" s="36"/>
      <c r="R794" s="36"/>
      <c r="S794" s="36"/>
      <c r="T794" s="36"/>
    </row>
    <row r="795" spans="1:20" ht="15.75">
      <c r="A795" s="13">
        <v>65714</v>
      </c>
      <c r="B795" s="44">
        <f t="shared" si="3"/>
        <v>30</v>
      </c>
      <c r="C795" s="35">
        <v>122.58</v>
      </c>
      <c r="D795" s="35">
        <v>297.94099999999997</v>
      </c>
      <c r="E795" s="41">
        <v>729.47900000000004</v>
      </c>
      <c r="F795" s="35">
        <v>1150</v>
      </c>
      <c r="G795" s="35">
        <v>100</v>
      </c>
      <c r="H795" s="43">
        <v>600</v>
      </c>
      <c r="I795" s="35">
        <v>695</v>
      </c>
      <c r="J795" s="35">
        <v>50</v>
      </c>
      <c r="K795" s="36"/>
      <c r="L795" s="36"/>
      <c r="M795" s="36"/>
      <c r="N795" s="36"/>
      <c r="O795" s="36"/>
      <c r="P795" s="36"/>
      <c r="Q795" s="36"/>
      <c r="R795" s="36"/>
      <c r="S795" s="36"/>
      <c r="T795" s="36"/>
    </row>
    <row r="796" spans="1:20" ht="15.75">
      <c r="A796" s="13">
        <v>65745</v>
      </c>
      <c r="B796" s="44">
        <f t="shared" si="3"/>
        <v>31</v>
      </c>
      <c r="C796" s="35">
        <v>122.58</v>
      </c>
      <c r="D796" s="35">
        <v>297.94099999999997</v>
      </c>
      <c r="E796" s="41">
        <v>729.47900000000004</v>
      </c>
      <c r="F796" s="35">
        <v>1150</v>
      </c>
      <c r="G796" s="35">
        <v>100</v>
      </c>
      <c r="H796" s="43">
        <v>600</v>
      </c>
      <c r="I796" s="35">
        <v>695</v>
      </c>
      <c r="J796" s="35">
        <v>50</v>
      </c>
      <c r="K796" s="36"/>
      <c r="L796" s="36"/>
      <c r="M796" s="36"/>
      <c r="N796" s="36"/>
      <c r="O796" s="36"/>
      <c r="P796" s="36"/>
      <c r="Q796" s="36"/>
      <c r="R796" s="36"/>
      <c r="S796" s="36"/>
      <c r="T796" s="36"/>
    </row>
    <row r="797" spans="1:20" ht="15.75">
      <c r="A797" s="13">
        <v>65776</v>
      </c>
      <c r="B797" s="44">
        <f t="shared" si="3"/>
        <v>31</v>
      </c>
      <c r="C797" s="35">
        <v>122.58</v>
      </c>
      <c r="D797" s="35">
        <v>297.94099999999997</v>
      </c>
      <c r="E797" s="41">
        <v>729.47900000000004</v>
      </c>
      <c r="F797" s="35">
        <v>1150</v>
      </c>
      <c r="G797" s="35">
        <v>100</v>
      </c>
      <c r="H797" s="43">
        <v>600</v>
      </c>
      <c r="I797" s="35">
        <v>695</v>
      </c>
      <c r="J797" s="35">
        <v>50</v>
      </c>
      <c r="K797" s="36"/>
      <c r="L797" s="36"/>
      <c r="M797" s="36"/>
      <c r="N797" s="36"/>
      <c r="O797" s="36"/>
      <c r="P797" s="36"/>
      <c r="Q797" s="36"/>
      <c r="R797" s="36"/>
      <c r="S797" s="36"/>
      <c r="T797" s="36"/>
    </row>
    <row r="798" spans="1:20" ht="15.75">
      <c r="A798" s="13">
        <v>65805</v>
      </c>
      <c r="B798" s="44">
        <f t="shared" si="3"/>
        <v>29</v>
      </c>
      <c r="C798" s="35">
        <v>122.58</v>
      </c>
      <c r="D798" s="35">
        <v>297.94099999999997</v>
      </c>
      <c r="E798" s="41">
        <v>729.47900000000004</v>
      </c>
      <c r="F798" s="35">
        <v>1150</v>
      </c>
      <c r="G798" s="35">
        <v>100</v>
      </c>
      <c r="H798" s="43">
        <v>600</v>
      </c>
      <c r="I798" s="35">
        <v>695</v>
      </c>
      <c r="J798" s="35">
        <v>50</v>
      </c>
      <c r="K798" s="36"/>
      <c r="L798" s="36"/>
      <c r="M798" s="36"/>
      <c r="N798" s="36"/>
      <c r="O798" s="36"/>
      <c r="P798" s="36"/>
      <c r="Q798" s="36"/>
      <c r="R798" s="36"/>
      <c r="S798" s="36"/>
      <c r="T798" s="36"/>
    </row>
    <row r="799" spans="1:20" ht="15.75">
      <c r="A799" s="13">
        <v>65836</v>
      </c>
      <c r="B799" s="44">
        <f t="shared" si="3"/>
        <v>31</v>
      </c>
      <c r="C799" s="35">
        <v>122.58</v>
      </c>
      <c r="D799" s="35">
        <v>297.94099999999997</v>
      </c>
      <c r="E799" s="41">
        <v>729.47900000000004</v>
      </c>
      <c r="F799" s="35">
        <v>1150</v>
      </c>
      <c r="G799" s="35">
        <v>100</v>
      </c>
      <c r="H799" s="43">
        <v>600</v>
      </c>
      <c r="I799" s="35">
        <v>695</v>
      </c>
      <c r="J799" s="35">
        <v>50</v>
      </c>
      <c r="K799" s="36"/>
      <c r="L799" s="36"/>
      <c r="M799" s="36"/>
      <c r="N799" s="36"/>
      <c r="O799" s="36"/>
      <c r="P799" s="36"/>
      <c r="Q799" s="36"/>
      <c r="R799" s="36"/>
      <c r="S799" s="36"/>
      <c r="T799" s="36"/>
    </row>
    <row r="800" spans="1:20" ht="15.75">
      <c r="A800" s="13">
        <v>65866</v>
      </c>
      <c r="B800" s="44">
        <f t="shared" si="3"/>
        <v>30</v>
      </c>
      <c r="C800" s="35">
        <v>141.29300000000001</v>
      </c>
      <c r="D800" s="35">
        <v>267.99299999999999</v>
      </c>
      <c r="E800" s="41">
        <v>829.71400000000006</v>
      </c>
      <c r="F800" s="35">
        <v>1239</v>
      </c>
      <c r="G800" s="35">
        <v>100</v>
      </c>
      <c r="H800" s="43">
        <v>600</v>
      </c>
      <c r="I800" s="35">
        <v>695</v>
      </c>
      <c r="J800" s="35">
        <v>50</v>
      </c>
      <c r="K800" s="36"/>
      <c r="L800" s="36"/>
      <c r="M800" s="36"/>
      <c r="N800" s="36"/>
      <c r="O800" s="36"/>
      <c r="P800" s="36"/>
      <c r="Q800" s="36"/>
      <c r="R800" s="36"/>
      <c r="S800" s="36"/>
      <c r="T800" s="36"/>
    </row>
    <row r="801" spans="1:20" ht="15.75">
      <c r="A801" s="13">
        <v>65897</v>
      </c>
      <c r="B801" s="44">
        <f t="shared" si="3"/>
        <v>31</v>
      </c>
      <c r="C801" s="35">
        <v>194.20500000000001</v>
      </c>
      <c r="D801" s="35">
        <v>267.46600000000001</v>
      </c>
      <c r="E801" s="41">
        <v>812.32899999999995</v>
      </c>
      <c r="F801" s="35">
        <v>1274</v>
      </c>
      <c r="G801" s="35">
        <v>75</v>
      </c>
      <c r="H801" s="43">
        <v>600</v>
      </c>
      <c r="I801" s="35">
        <v>695</v>
      </c>
      <c r="J801" s="35">
        <v>50</v>
      </c>
      <c r="K801" s="36"/>
      <c r="L801" s="36"/>
      <c r="M801" s="36"/>
      <c r="N801" s="36"/>
      <c r="O801" s="36"/>
      <c r="P801" s="36"/>
      <c r="Q801" s="36"/>
      <c r="R801" s="36"/>
      <c r="S801" s="36"/>
      <c r="T801" s="36"/>
    </row>
    <row r="802" spans="1:20" ht="15.75">
      <c r="A802" s="13">
        <v>65927</v>
      </c>
      <c r="B802" s="44">
        <f t="shared" si="3"/>
        <v>30</v>
      </c>
      <c r="C802" s="35">
        <v>194.20500000000001</v>
      </c>
      <c r="D802" s="35">
        <v>267.46600000000001</v>
      </c>
      <c r="E802" s="41">
        <v>812.32899999999995</v>
      </c>
      <c r="F802" s="35">
        <v>1274</v>
      </c>
      <c r="G802" s="35">
        <v>50</v>
      </c>
      <c r="H802" s="43">
        <v>600</v>
      </c>
      <c r="I802" s="35">
        <v>695</v>
      </c>
      <c r="J802" s="35">
        <v>50</v>
      </c>
      <c r="K802" s="36"/>
      <c r="L802" s="36"/>
      <c r="M802" s="36"/>
      <c r="N802" s="36"/>
      <c r="O802" s="36"/>
      <c r="P802" s="36"/>
      <c r="Q802" s="36"/>
      <c r="R802" s="36"/>
      <c r="S802" s="36"/>
      <c r="T802" s="36"/>
    </row>
    <row r="803" spans="1:20" ht="15.75">
      <c r="A803" s="13">
        <v>65958</v>
      </c>
      <c r="B803" s="44">
        <f t="shared" si="3"/>
        <v>31</v>
      </c>
      <c r="C803" s="35">
        <v>194.20500000000001</v>
      </c>
      <c r="D803" s="35">
        <v>267.46600000000001</v>
      </c>
      <c r="E803" s="41">
        <v>812.32899999999995</v>
      </c>
      <c r="F803" s="35">
        <v>1274</v>
      </c>
      <c r="G803" s="35">
        <v>50</v>
      </c>
      <c r="H803" s="43">
        <v>600</v>
      </c>
      <c r="I803" s="35">
        <v>695</v>
      </c>
      <c r="J803" s="35">
        <v>0</v>
      </c>
      <c r="K803" s="36"/>
      <c r="L803" s="36"/>
      <c r="M803" s="36"/>
      <c r="N803" s="36"/>
      <c r="O803" s="36"/>
      <c r="P803" s="36"/>
      <c r="Q803" s="36"/>
      <c r="R803" s="36"/>
      <c r="S803" s="36"/>
      <c r="T803" s="36"/>
    </row>
    <row r="804" spans="1:20" ht="15.75">
      <c r="A804" s="13">
        <v>65989</v>
      </c>
      <c r="B804" s="44">
        <f t="shared" si="3"/>
        <v>31</v>
      </c>
      <c r="C804" s="35">
        <v>194.20500000000001</v>
      </c>
      <c r="D804" s="35">
        <v>267.46600000000001</v>
      </c>
      <c r="E804" s="41">
        <v>812.32899999999995</v>
      </c>
      <c r="F804" s="35">
        <v>1274</v>
      </c>
      <c r="G804" s="35">
        <v>50</v>
      </c>
      <c r="H804" s="43">
        <v>600</v>
      </c>
      <c r="I804" s="35">
        <v>695</v>
      </c>
      <c r="J804" s="35">
        <v>0</v>
      </c>
      <c r="K804" s="36"/>
      <c r="L804" s="36"/>
      <c r="M804" s="36"/>
      <c r="N804" s="36"/>
      <c r="O804" s="36"/>
      <c r="P804" s="36"/>
      <c r="Q804" s="36"/>
      <c r="R804" s="36"/>
      <c r="S804" s="36"/>
      <c r="T804" s="36"/>
    </row>
    <row r="805" spans="1:20" ht="15.75">
      <c r="A805" s="13">
        <v>66019</v>
      </c>
      <c r="B805" s="44">
        <f t="shared" si="3"/>
        <v>30</v>
      </c>
      <c r="C805" s="35">
        <v>194.20500000000001</v>
      </c>
      <c r="D805" s="35">
        <v>267.46600000000001</v>
      </c>
      <c r="E805" s="41">
        <v>812.32899999999995</v>
      </c>
      <c r="F805" s="35">
        <v>1274</v>
      </c>
      <c r="G805" s="35">
        <v>50</v>
      </c>
      <c r="H805" s="43">
        <v>600</v>
      </c>
      <c r="I805" s="35">
        <v>695</v>
      </c>
      <c r="J805" s="35">
        <v>0</v>
      </c>
      <c r="K805" s="36"/>
      <c r="L805" s="36"/>
      <c r="M805" s="36"/>
      <c r="N805" s="36"/>
      <c r="O805" s="36"/>
      <c r="P805" s="36"/>
      <c r="Q805" s="36"/>
      <c r="R805" s="36"/>
      <c r="S805" s="36"/>
      <c r="T805" s="36"/>
    </row>
    <row r="806" spans="1:20" ht="15.75">
      <c r="A806" s="13">
        <v>66050</v>
      </c>
      <c r="B806" s="44">
        <f t="shared" si="3"/>
        <v>31</v>
      </c>
      <c r="C806" s="35">
        <v>131.881</v>
      </c>
      <c r="D806" s="35">
        <v>277.16699999999997</v>
      </c>
      <c r="E806" s="41">
        <v>829.952</v>
      </c>
      <c r="F806" s="35">
        <v>1239</v>
      </c>
      <c r="G806" s="35">
        <v>75</v>
      </c>
      <c r="H806" s="43">
        <v>600</v>
      </c>
      <c r="I806" s="35">
        <v>695</v>
      </c>
      <c r="J806" s="35">
        <v>0</v>
      </c>
      <c r="K806" s="36"/>
      <c r="L806" s="36"/>
      <c r="M806" s="36"/>
      <c r="N806" s="36"/>
      <c r="O806" s="36"/>
      <c r="P806" s="36"/>
      <c r="Q806" s="36"/>
      <c r="R806" s="36"/>
      <c r="S806" s="36"/>
      <c r="T806" s="36"/>
    </row>
    <row r="807" spans="1:20" ht="15.75">
      <c r="A807" s="13">
        <v>66080</v>
      </c>
      <c r="B807" s="44">
        <f t="shared" si="3"/>
        <v>30</v>
      </c>
      <c r="C807" s="35">
        <v>122.58</v>
      </c>
      <c r="D807" s="35">
        <v>297.94099999999997</v>
      </c>
      <c r="E807" s="41">
        <v>729.47900000000004</v>
      </c>
      <c r="F807" s="35">
        <v>1150</v>
      </c>
      <c r="G807" s="35">
        <v>100</v>
      </c>
      <c r="H807" s="43">
        <v>600</v>
      </c>
      <c r="I807" s="35">
        <v>695</v>
      </c>
      <c r="J807" s="35">
        <v>50</v>
      </c>
      <c r="K807" s="36"/>
      <c r="L807" s="36"/>
      <c r="M807" s="36"/>
      <c r="N807" s="36"/>
      <c r="O807" s="36"/>
      <c r="P807" s="36"/>
      <c r="Q807" s="36"/>
      <c r="R807" s="36"/>
      <c r="S807" s="36"/>
      <c r="T807" s="36"/>
    </row>
    <row r="808" spans="1:20" ht="15.75">
      <c r="A808" s="13">
        <v>66111</v>
      </c>
      <c r="B808" s="44">
        <f t="shared" si="3"/>
        <v>31</v>
      </c>
      <c r="C808" s="35">
        <v>122.58</v>
      </c>
      <c r="D808" s="35">
        <v>297.94099999999997</v>
      </c>
      <c r="E808" s="41">
        <v>729.47900000000004</v>
      </c>
      <c r="F808" s="35">
        <v>1150</v>
      </c>
      <c r="G808" s="35">
        <v>100</v>
      </c>
      <c r="H808" s="43">
        <v>600</v>
      </c>
      <c r="I808" s="35">
        <v>695</v>
      </c>
      <c r="J808" s="35">
        <v>50</v>
      </c>
      <c r="K808" s="36"/>
      <c r="L808" s="36"/>
      <c r="M808" s="36"/>
      <c r="N808" s="36"/>
      <c r="O808" s="36"/>
      <c r="P808" s="36"/>
      <c r="Q808" s="36"/>
      <c r="R808" s="36"/>
      <c r="S808" s="36"/>
      <c r="T808" s="36"/>
    </row>
    <row r="809" spans="1:20" ht="15.75">
      <c r="A809" s="13">
        <v>66142</v>
      </c>
      <c r="B809" s="44">
        <f t="shared" si="3"/>
        <v>31</v>
      </c>
      <c r="C809" s="35">
        <v>122.58</v>
      </c>
      <c r="D809" s="35">
        <v>297.94099999999997</v>
      </c>
      <c r="E809" s="41">
        <v>729.47900000000004</v>
      </c>
      <c r="F809" s="35">
        <v>1150</v>
      </c>
      <c r="G809" s="35">
        <v>100</v>
      </c>
      <c r="H809" s="43">
        <v>600</v>
      </c>
      <c r="I809" s="35">
        <v>695</v>
      </c>
      <c r="J809" s="35">
        <v>50</v>
      </c>
      <c r="K809" s="36"/>
      <c r="L809" s="36"/>
      <c r="M809" s="36"/>
      <c r="N809" s="36"/>
      <c r="O809" s="36"/>
      <c r="P809" s="36"/>
      <c r="Q809" s="36"/>
      <c r="R809" s="36"/>
      <c r="S809" s="36"/>
      <c r="T809" s="36"/>
    </row>
    <row r="810" spans="1:20" ht="15.75">
      <c r="A810" s="13">
        <v>66170</v>
      </c>
      <c r="B810" s="44">
        <f t="shared" si="3"/>
        <v>28</v>
      </c>
      <c r="C810" s="35">
        <v>122.58</v>
      </c>
      <c r="D810" s="35">
        <v>297.94099999999997</v>
      </c>
      <c r="E810" s="41">
        <v>729.47900000000004</v>
      </c>
      <c r="F810" s="35">
        <v>1150</v>
      </c>
      <c r="G810" s="35">
        <v>100</v>
      </c>
      <c r="H810" s="43">
        <v>600</v>
      </c>
      <c r="I810" s="35">
        <v>695</v>
      </c>
      <c r="J810" s="35">
        <v>50</v>
      </c>
      <c r="K810" s="36"/>
      <c r="L810" s="36"/>
      <c r="M810" s="36"/>
      <c r="N810" s="36"/>
      <c r="O810" s="36"/>
      <c r="P810" s="36"/>
      <c r="Q810" s="36"/>
      <c r="R810" s="36"/>
      <c r="S810" s="36"/>
      <c r="T810" s="36"/>
    </row>
    <row r="811" spans="1:20" ht="15.75">
      <c r="A811" s="13">
        <v>66201</v>
      </c>
      <c r="B811" s="44">
        <f t="shared" si="3"/>
        <v>31</v>
      </c>
      <c r="C811" s="35">
        <v>122.58</v>
      </c>
      <c r="D811" s="35">
        <v>297.94099999999997</v>
      </c>
      <c r="E811" s="41">
        <v>729.47900000000004</v>
      </c>
      <c r="F811" s="35">
        <v>1150</v>
      </c>
      <c r="G811" s="35">
        <v>100</v>
      </c>
      <c r="H811" s="43">
        <v>600</v>
      </c>
      <c r="I811" s="35">
        <v>695</v>
      </c>
      <c r="J811" s="35">
        <v>50</v>
      </c>
      <c r="K811" s="36"/>
      <c r="L811" s="36"/>
      <c r="M811" s="36"/>
      <c r="N811" s="36"/>
      <c r="O811" s="36"/>
      <c r="P811" s="36"/>
      <c r="Q811" s="36"/>
      <c r="R811" s="36"/>
      <c r="S811" s="36"/>
      <c r="T811" s="36"/>
    </row>
    <row r="812" spans="1:20" ht="15.75">
      <c r="A812" s="13">
        <v>66231</v>
      </c>
      <c r="B812" s="44">
        <f t="shared" si="3"/>
        <v>30</v>
      </c>
      <c r="C812" s="35">
        <v>141.29300000000001</v>
      </c>
      <c r="D812" s="35">
        <v>267.99299999999999</v>
      </c>
      <c r="E812" s="41">
        <v>829.71400000000006</v>
      </c>
      <c r="F812" s="35">
        <v>1239</v>
      </c>
      <c r="G812" s="35">
        <v>100</v>
      </c>
      <c r="H812" s="43">
        <v>600</v>
      </c>
      <c r="I812" s="35">
        <v>695</v>
      </c>
      <c r="J812" s="35">
        <v>50</v>
      </c>
      <c r="K812" s="36"/>
      <c r="L812" s="36"/>
      <c r="M812" s="36"/>
      <c r="N812" s="36"/>
      <c r="O812" s="36"/>
      <c r="P812" s="36"/>
      <c r="Q812" s="36"/>
      <c r="R812" s="36"/>
      <c r="S812" s="36"/>
      <c r="T812" s="36"/>
    </row>
    <row r="813" spans="1:20" ht="15.75">
      <c r="A813" s="13">
        <v>66262</v>
      </c>
      <c r="B813" s="44">
        <f t="shared" si="3"/>
        <v>31</v>
      </c>
      <c r="C813" s="35">
        <v>194.20500000000001</v>
      </c>
      <c r="D813" s="35">
        <v>267.46600000000001</v>
      </c>
      <c r="E813" s="41">
        <v>812.32899999999995</v>
      </c>
      <c r="F813" s="35">
        <v>1274</v>
      </c>
      <c r="G813" s="35">
        <v>75</v>
      </c>
      <c r="H813" s="43">
        <v>600</v>
      </c>
      <c r="I813" s="35">
        <v>695</v>
      </c>
      <c r="J813" s="35">
        <v>50</v>
      </c>
      <c r="K813" s="36"/>
      <c r="L813" s="36"/>
      <c r="M813" s="36"/>
      <c r="N813" s="36"/>
      <c r="O813" s="36"/>
      <c r="P813" s="36"/>
      <c r="Q813" s="36"/>
      <c r="R813" s="36"/>
      <c r="S813" s="36"/>
      <c r="T813" s="36"/>
    </row>
    <row r="814" spans="1:20" ht="15.75">
      <c r="A814" s="13">
        <v>66292</v>
      </c>
      <c r="B814" s="44">
        <f t="shared" si="3"/>
        <v>30</v>
      </c>
      <c r="C814" s="35">
        <v>194.20500000000001</v>
      </c>
      <c r="D814" s="35">
        <v>267.46600000000001</v>
      </c>
      <c r="E814" s="41">
        <v>812.32899999999995</v>
      </c>
      <c r="F814" s="35">
        <v>1274</v>
      </c>
      <c r="G814" s="35">
        <v>50</v>
      </c>
      <c r="H814" s="43">
        <v>600</v>
      </c>
      <c r="I814" s="35">
        <v>695</v>
      </c>
      <c r="J814" s="35">
        <v>50</v>
      </c>
      <c r="K814" s="36"/>
      <c r="L814" s="36"/>
      <c r="M814" s="36"/>
      <c r="N814" s="36"/>
      <c r="O814" s="36"/>
      <c r="P814" s="36"/>
      <c r="Q814" s="36"/>
      <c r="R814" s="36"/>
      <c r="S814" s="36"/>
      <c r="T814" s="36"/>
    </row>
    <row r="815" spans="1:20" ht="15.75">
      <c r="A815" s="13">
        <v>66323</v>
      </c>
      <c r="B815" s="44">
        <f t="shared" si="3"/>
        <v>31</v>
      </c>
      <c r="C815" s="35">
        <v>194.20500000000001</v>
      </c>
      <c r="D815" s="35">
        <v>267.46600000000001</v>
      </c>
      <c r="E815" s="41">
        <v>812.32899999999995</v>
      </c>
      <c r="F815" s="35">
        <v>1274</v>
      </c>
      <c r="G815" s="35">
        <v>50</v>
      </c>
      <c r="H815" s="43">
        <v>600</v>
      </c>
      <c r="I815" s="35">
        <v>695</v>
      </c>
      <c r="J815" s="35">
        <v>0</v>
      </c>
      <c r="K815" s="36"/>
      <c r="L815" s="36"/>
      <c r="M815" s="36"/>
      <c r="N815" s="36"/>
      <c r="O815" s="36"/>
      <c r="P815" s="36"/>
      <c r="Q815" s="36"/>
      <c r="R815" s="36"/>
      <c r="S815" s="36"/>
      <c r="T815" s="36"/>
    </row>
    <row r="816" spans="1:20" ht="15.75">
      <c r="A816" s="13">
        <v>66354</v>
      </c>
      <c r="B816" s="44">
        <f t="shared" si="3"/>
        <v>31</v>
      </c>
      <c r="C816" s="35">
        <v>194.20500000000001</v>
      </c>
      <c r="D816" s="35">
        <v>267.46600000000001</v>
      </c>
      <c r="E816" s="41">
        <v>812.32899999999995</v>
      </c>
      <c r="F816" s="35">
        <v>1274</v>
      </c>
      <c r="G816" s="35">
        <v>50</v>
      </c>
      <c r="H816" s="43">
        <v>600</v>
      </c>
      <c r="I816" s="35">
        <v>695</v>
      </c>
      <c r="J816" s="35">
        <v>0</v>
      </c>
      <c r="K816" s="36"/>
      <c r="L816" s="36"/>
      <c r="M816" s="36"/>
      <c r="N816" s="36"/>
      <c r="O816" s="36"/>
      <c r="P816" s="36"/>
      <c r="Q816" s="36"/>
      <c r="R816" s="36"/>
      <c r="S816" s="36"/>
      <c r="T816" s="36"/>
    </row>
    <row r="817" spans="1:20" ht="15.75">
      <c r="A817" s="13">
        <v>66384</v>
      </c>
      <c r="B817" s="44">
        <f t="shared" si="3"/>
        <v>30</v>
      </c>
      <c r="C817" s="35">
        <v>194.20500000000001</v>
      </c>
      <c r="D817" s="35">
        <v>267.46600000000001</v>
      </c>
      <c r="E817" s="41">
        <v>812.32899999999995</v>
      </c>
      <c r="F817" s="35">
        <v>1274</v>
      </c>
      <c r="G817" s="35">
        <v>50</v>
      </c>
      <c r="H817" s="43">
        <v>600</v>
      </c>
      <c r="I817" s="35">
        <v>695</v>
      </c>
      <c r="J817" s="35">
        <v>0</v>
      </c>
      <c r="K817" s="36"/>
      <c r="L817" s="36"/>
      <c r="M817" s="36"/>
      <c r="N817" s="36"/>
      <c r="O817" s="36"/>
      <c r="P817" s="36"/>
      <c r="Q817" s="36"/>
      <c r="R817" s="36"/>
      <c r="S817" s="36"/>
      <c r="T817" s="36"/>
    </row>
    <row r="818" spans="1:20" ht="15.75">
      <c r="A818" s="13">
        <v>66415</v>
      </c>
      <c r="B818" s="44">
        <f t="shared" si="3"/>
        <v>31</v>
      </c>
      <c r="C818" s="35">
        <v>131.881</v>
      </c>
      <c r="D818" s="35">
        <v>277.16699999999997</v>
      </c>
      <c r="E818" s="41">
        <v>829.952</v>
      </c>
      <c r="F818" s="35">
        <v>1239</v>
      </c>
      <c r="G818" s="35">
        <v>75</v>
      </c>
      <c r="H818" s="43">
        <v>600</v>
      </c>
      <c r="I818" s="35">
        <v>695</v>
      </c>
      <c r="J818" s="35">
        <v>0</v>
      </c>
      <c r="K818" s="36"/>
      <c r="L818" s="36"/>
      <c r="M818" s="36"/>
      <c r="N818" s="36"/>
      <c r="O818" s="36"/>
      <c r="P818" s="36"/>
      <c r="Q818" s="36"/>
      <c r="R818" s="36"/>
      <c r="S818" s="36"/>
      <c r="T818" s="36"/>
    </row>
    <row r="819" spans="1:20" ht="15.75">
      <c r="A819" s="13">
        <v>66445</v>
      </c>
      <c r="B819" s="44">
        <f t="shared" si="3"/>
        <v>30</v>
      </c>
      <c r="C819" s="35">
        <v>122.58</v>
      </c>
      <c r="D819" s="35">
        <v>297.94099999999997</v>
      </c>
      <c r="E819" s="41">
        <v>729.47900000000004</v>
      </c>
      <c r="F819" s="35">
        <v>1150</v>
      </c>
      <c r="G819" s="35">
        <v>100</v>
      </c>
      <c r="H819" s="43">
        <v>600</v>
      </c>
      <c r="I819" s="35">
        <v>695</v>
      </c>
      <c r="J819" s="35">
        <v>50</v>
      </c>
      <c r="K819" s="36"/>
      <c r="L819" s="36"/>
      <c r="M819" s="36"/>
      <c r="N819" s="36"/>
      <c r="O819" s="36"/>
      <c r="P819" s="36"/>
      <c r="Q819" s="36"/>
      <c r="R819" s="36"/>
      <c r="S819" s="36"/>
      <c r="T819" s="36"/>
    </row>
    <row r="820" spans="1:20" ht="15.75">
      <c r="A820" s="13">
        <v>66476</v>
      </c>
      <c r="B820" s="44">
        <f t="shared" si="3"/>
        <v>31</v>
      </c>
      <c r="C820" s="35">
        <v>122.58</v>
      </c>
      <c r="D820" s="35">
        <v>297.94099999999997</v>
      </c>
      <c r="E820" s="41">
        <v>729.47900000000004</v>
      </c>
      <c r="F820" s="35">
        <v>1150</v>
      </c>
      <c r="G820" s="35">
        <v>100</v>
      </c>
      <c r="H820" s="43">
        <v>600</v>
      </c>
      <c r="I820" s="35">
        <v>695</v>
      </c>
      <c r="J820" s="35">
        <v>50</v>
      </c>
      <c r="K820" s="36"/>
      <c r="L820" s="36"/>
      <c r="M820" s="36"/>
      <c r="N820" s="36"/>
      <c r="O820" s="36"/>
      <c r="P820" s="36"/>
      <c r="Q820" s="36"/>
      <c r="R820" s="36"/>
      <c r="S820" s="36"/>
      <c r="T820" s="36"/>
    </row>
    <row r="821" spans="1:20" ht="15.75">
      <c r="A821" s="13">
        <v>66507</v>
      </c>
      <c r="B821" s="44">
        <f t="shared" si="3"/>
        <v>31</v>
      </c>
      <c r="C821" s="35">
        <v>122.58</v>
      </c>
      <c r="D821" s="35">
        <v>297.94099999999997</v>
      </c>
      <c r="E821" s="41">
        <v>729.47900000000004</v>
      </c>
      <c r="F821" s="35">
        <v>1150</v>
      </c>
      <c r="G821" s="35">
        <v>100</v>
      </c>
      <c r="H821" s="43">
        <v>600</v>
      </c>
      <c r="I821" s="35">
        <v>695</v>
      </c>
      <c r="J821" s="35">
        <v>50</v>
      </c>
      <c r="K821" s="36"/>
      <c r="L821" s="36"/>
      <c r="M821" s="36"/>
      <c r="N821" s="36"/>
      <c r="O821" s="36"/>
      <c r="P821" s="36"/>
      <c r="Q821" s="36"/>
      <c r="R821" s="36"/>
      <c r="S821" s="36"/>
      <c r="T821" s="36"/>
    </row>
    <row r="822" spans="1:20" ht="15.75">
      <c r="A822" s="13">
        <v>66535</v>
      </c>
      <c r="B822" s="44">
        <f t="shared" si="3"/>
        <v>28</v>
      </c>
      <c r="C822" s="35">
        <v>122.58</v>
      </c>
      <c r="D822" s="35">
        <v>297.94099999999997</v>
      </c>
      <c r="E822" s="41">
        <v>729.47900000000004</v>
      </c>
      <c r="F822" s="35">
        <v>1150</v>
      </c>
      <c r="G822" s="35">
        <v>100</v>
      </c>
      <c r="H822" s="43">
        <v>600</v>
      </c>
      <c r="I822" s="35">
        <v>695</v>
      </c>
      <c r="J822" s="35">
        <v>50</v>
      </c>
      <c r="K822" s="36"/>
      <c r="L822" s="36"/>
      <c r="M822" s="36"/>
      <c r="N822" s="36"/>
      <c r="O822" s="36"/>
      <c r="P822" s="36"/>
      <c r="Q822" s="36"/>
      <c r="R822" s="36"/>
      <c r="S822" s="36"/>
      <c r="T822" s="36"/>
    </row>
    <row r="823" spans="1:20" ht="15.75">
      <c r="A823" s="13">
        <v>66566</v>
      </c>
      <c r="B823" s="44">
        <f t="shared" si="3"/>
        <v>31</v>
      </c>
      <c r="C823" s="35">
        <v>122.58</v>
      </c>
      <c r="D823" s="35">
        <v>297.94099999999997</v>
      </c>
      <c r="E823" s="41">
        <v>729.47900000000004</v>
      </c>
      <c r="F823" s="35">
        <v>1150</v>
      </c>
      <c r="G823" s="35">
        <v>100</v>
      </c>
      <c r="H823" s="43">
        <v>600</v>
      </c>
      <c r="I823" s="35">
        <v>695</v>
      </c>
      <c r="J823" s="35">
        <v>50</v>
      </c>
      <c r="K823" s="36"/>
      <c r="L823" s="36"/>
      <c r="M823" s="36"/>
      <c r="N823" s="36"/>
      <c r="O823" s="36"/>
      <c r="P823" s="36"/>
      <c r="Q823" s="36"/>
      <c r="R823" s="36"/>
      <c r="S823" s="36"/>
      <c r="T823" s="36"/>
    </row>
    <row r="824" spans="1:20" ht="15.75">
      <c r="A824" s="13">
        <v>66596</v>
      </c>
      <c r="B824" s="44">
        <f t="shared" si="3"/>
        <v>30</v>
      </c>
      <c r="C824" s="35">
        <v>141.29300000000001</v>
      </c>
      <c r="D824" s="35">
        <v>267.99299999999999</v>
      </c>
      <c r="E824" s="41">
        <v>829.71400000000006</v>
      </c>
      <c r="F824" s="35">
        <v>1239</v>
      </c>
      <c r="G824" s="35">
        <v>100</v>
      </c>
      <c r="H824" s="43">
        <v>600</v>
      </c>
      <c r="I824" s="35">
        <v>695</v>
      </c>
      <c r="J824" s="35">
        <v>50</v>
      </c>
      <c r="K824" s="36"/>
      <c r="L824" s="36"/>
      <c r="M824" s="36"/>
      <c r="N824" s="36"/>
      <c r="O824" s="36"/>
      <c r="P824" s="36"/>
      <c r="Q824" s="36"/>
      <c r="R824" s="36"/>
      <c r="S824" s="36"/>
      <c r="T824" s="36"/>
    </row>
    <row r="825" spans="1:20" ht="15.75">
      <c r="A825" s="13">
        <v>66627</v>
      </c>
      <c r="B825" s="44">
        <f t="shared" si="3"/>
        <v>31</v>
      </c>
      <c r="C825" s="35">
        <v>194.20500000000001</v>
      </c>
      <c r="D825" s="35">
        <v>267.46600000000001</v>
      </c>
      <c r="E825" s="41">
        <v>812.32899999999995</v>
      </c>
      <c r="F825" s="35">
        <v>1274</v>
      </c>
      <c r="G825" s="35">
        <v>75</v>
      </c>
      <c r="H825" s="43">
        <v>600</v>
      </c>
      <c r="I825" s="35">
        <v>695</v>
      </c>
      <c r="J825" s="35">
        <v>50</v>
      </c>
      <c r="K825" s="36"/>
      <c r="L825" s="36"/>
      <c r="M825" s="36"/>
      <c r="N825" s="36"/>
      <c r="O825" s="36"/>
      <c r="P825" s="36"/>
      <c r="Q825" s="36"/>
      <c r="R825" s="36"/>
      <c r="S825" s="36"/>
      <c r="T825" s="36"/>
    </row>
    <row r="826" spans="1:20" ht="15.75">
      <c r="A826" s="13">
        <v>66657</v>
      </c>
      <c r="B826" s="44">
        <f t="shared" si="3"/>
        <v>30</v>
      </c>
      <c r="C826" s="35">
        <v>194.20500000000001</v>
      </c>
      <c r="D826" s="35">
        <v>267.46600000000001</v>
      </c>
      <c r="E826" s="41">
        <v>812.32899999999995</v>
      </c>
      <c r="F826" s="35">
        <v>1274</v>
      </c>
      <c r="G826" s="35">
        <v>50</v>
      </c>
      <c r="H826" s="43">
        <v>600</v>
      </c>
      <c r="I826" s="35">
        <v>695</v>
      </c>
      <c r="J826" s="35">
        <v>50</v>
      </c>
      <c r="K826" s="36"/>
      <c r="L826" s="36"/>
      <c r="M826" s="36"/>
      <c r="N826" s="36"/>
      <c r="O826" s="36"/>
      <c r="P826" s="36"/>
      <c r="Q826" s="36"/>
      <c r="R826" s="36"/>
      <c r="S826" s="36"/>
      <c r="T826" s="36"/>
    </row>
    <row r="827" spans="1:20" ht="15.75">
      <c r="A827" s="13">
        <v>66688</v>
      </c>
      <c r="B827" s="44">
        <f t="shared" si="3"/>
        <v>31</v>
      </c>
      <c r="C827" s="35">
        <v>194.20500000000001</v>
      </c>
      <c r="D827" s="35">
        <v>267.46600000000001</v>
      </c>
      <c r="E827" s="41">
        <v>812.32899999999995</v>
      </c>
      <c r="F827" s="35">
        <v>1274</v>
      </c>
      <c r="G827" s="35">
        <v>50</v>
      </c>
      <c r="H827" s="43">
        <v>600</v>
      </c>
      <c r="I827" s="35">
        <v>695</v>
      </c>
      <c r="J827" s="35">
        <v>0</v>
      </c>
      <c r="K827" s="36"/>
      <c r="L827" s="36"/>
      <c r="M827" s="36"/>
      <c r="N827" s="36"/>
      <c r="O827" s="36"/>
      <c r="P827" s="36"/>
      <c r="Q827" s="36"/>
      <c r="R827" s="36"/>
      <c r="S827" s="36"/>
      <c r="T827" s="36"/>
    </row>
    <row r="828" spans="1:20" ht="15.75">
      <c r="A828" s="13">
        <v>66719</v>
      </c>
      <c r="B828" s="44">
        <f t="shared" si="3"/>
        <v>31</v>
      </c>
      <c r="C828" s="35">
        <v>194.20500000000001</v>
      </c>
      <c r="D828" s="35">
        <v>267.46600000000001</v>
      </c>
      <c r="E828" s="41">
        <v>812.32899999999995</v>
      </c>
      <c r="F828" s="35">
        <v>1274</v>
      </c>
      <c r="G828" s="35">
        <v>50</v>
      </c>
      <c r="H828" s="43">
        <v>600</v>
      </c>
      <c r="I828" s="35">
        <v>695</v>
      </c>
      <c r="J828" s="35">
        <v>0</v>
      </c>
      <c r="K828" s="36"/>
      <c r="L828" s="36"/>
      <c r="M828" s="36"/>
      <c r="N828" s="36"/>
      <c r="O828" s="36"/>
      <c r="P828" s="36"/>
      <c r="Q828" s="36"/>
      <c r="R828" s="36"/>
      <c r="S828" s="36"/>
      <c r="T828" s="36"/>
    </row>
    <row r="829" spans="1:20" ht="15.75">
      <c r="A829" s="13">
        <v>66749</v>
      </c>
      <c r="B829" s="44">
        <f t="shared" si="3"/>
        <v>30</v>
      </c>
      <c r="C829" s="35">
        <v>194.20500000000001</v>
      </c>
      <c r="D829" s="35">
        <v>267.46600000000001</v>
      </c>
      <c r="E829" s="41">
        <v>812.32899999999995</v>
      </c>
      <c r="F829" s="35">
        <v>1274</v>
      </c>
      <c r="G829" s="35">
        <v>50</v>
      </c>
      <c r="H829" s="43">
        <v>600</v>
      </c>
      <c r="I829" s="35">
        <v>695</v>
      </c>
      <c r="J829" s="35">
        <v>0</v>
      </c>
      <c r="K829" s="36"/>
      <c r="L829" s="36"/>
      <c r="M829" s="36"/>
      <c r="N829" s="36"/>
      <c r="O829" s="36"/>
      <c r="P829" s="36"/>
      <c r="Q829" s="36"/>
      <c r="R829" s="36"/>
      <c r="S829" s="36"/>
      <c r="T829" s="36"/>
    </row>
    <row r="830" spans="1:20" ht="15.75">
      <c r="A830" s="13">
        <v>66780</v>
      </c>
      <c r="B830" s="44">
        <f t="shared" si="3"/>
        <v>31</v>
      </c>
      <c r="C830" s="35">
        <v>131.881</v>
      </c>
      <c r="D830" s="35">
        <v>277.16699999999997</v>
      </c>
      <c r="E830" s="41">
        <v>829.952</v>
      </c>
      <c r="F830" s="35">
        <v>1239</v>
      </c>
      <c r="G830" s="35">
        <v>75</v>
      </c>
      <c r="H830" s="43">
        <v>600</v>
      </c>
      <c r="I830" s="35">
        <v>695</v>
      </c>
      <c r="J830" s="35">
        <v>0</v>
      </c>
      <c r="K830" s="36"/>
      <c r="L830" s="36"/>
      <c r="M830" s="36"/>
      <c r="N830" s="36"/>
      <c r="O830" s="36"/>
      <c r="P830" s="36"/>
      <c r="Q830" s="36"/>
      <c r="R830" s="36"/>
      <c r="S830" s="36"/>
      <c r="T830" s="36"/>
    </row>
    <row r="831" spans="1:20" ht="15.75">
      <c r="A831" s="13">
        <v>66810</v>
      </c>
      <c r="B831" s="44">
        <f t="shared" si="3"/>
        <v>30</v>
      </c>
      <c r="C831" s="35">
        <v>122.58</v>
      </c>
      <c r="D831" s="35">
        <v>297.94099999999997</v>
      </c>
      <c r="E831" s="41">
        <v>729.47900000000004</v>
      </c>
      <c r="F831" s="35">
        <v>1150</v>
      </c>
      <c r="G831" s="35">
        <v>100</v>
      </c>
      <c r="H831" s="43">
        <v>600</v>
      </c>
      <c r="I831" s="35">
        <v>695</v>
      </c>
      <c r="J831" s="35">
        <v>50</v>
      </c>
      <c r="K831" s="36"/>
      <c r="L831" s="36"/>
      <c r="M831" s="36"/>
      <c r="N831" s="36"/>
      <c r="O831" s="36"/>
      <c r="P831" s="36"/>
      <c r="Q831" s="36"/>
      <c r="R831" s="36"/>
      <c r="S831" s="36"/>
      <c r="T831" s="36"/>
    </row>
    <row r="832" spans="1:20" ht="15.75">
      <c r="A832" s="13">
        <v>66841</v>
      </c>
      <c r="B832" s="44">
        <f t="shared" si="3"/>
        <v>31</v>
      </c>
      <c r="C832" s="35">
        <v>122.58</v>
      </c>
      <c r="D832" s="35">
        <v>297.94099999999997</v>
      </c>
      <c r="E832" s="41">
        <v>729.47900000000004</v>
      </c>
      <c r="F832" s="35">
        <v>1150</v>
      </c>
      <c r="G832" s="35">
        <v>100</v>
      </c>
      <c r="H832" s="43">
        <v>600</v>
      </c>
      <c r="I832" s="35">
        <v>695</v>
      </c>
      <c r="J832" s="35">
        <v>50</v>
      </c>
      <c r="K832" s="36"/>
      <c r="L832" s="36"/>
      <c r="M832" s="36"/>
      <c r="N832" s="36"/>
      <c r="O832" s="36"/>
      <c r="P832" s="36"/>
      <c r="Q832" s="36"/>
      <c r="R832" s="36"/>
      <c r="S832" s="36"/>
      <c r="T832" s="36"/>
    </row>
    <row r="833" spans="1:20" ht="15.75">
      <c r="A833" s="13">
        <v>66872</v>
      </c>
      <c r="B833" s="44">
        <f t="shared" si="3"/>
        <v>31</v>
      </c>
      <c r="C833" s="35">
        <v>122.58</v>
      </c>
      <c r="D833" s="35">
        <v>297.94099999999997</v>
      </c>
      <c r="E833" s="41">
        <v>729.47900000000004</v>
      </c>
      <c r="F833" s="35">
        <v>1150</v>
      </c>
      <c r="G833" s="35">
        <v>100</v>
      </c>
      <c r="H833" s="43">
        <v>600</v>
      </c>
      <c r="I833" s="35">
        <v>695</v>
      </c>
      <c r="J833" s="35">
        <v>50</v>
      </c>
      <c r="K833" s="36"/>
      <c r="L833" s="36"/>
      <c r="M833" s="36"/>
      <c r="N833" s="36"/>
      <c r="O833" s="36"/>
      <c r="P833" s="36"/>
      <c r="Q833" s="36"/>
      <c r="R833" s="36"/>
      <c r="S833" s="36"/>
      <c r="T833" s="36"/>
    </row>
    <row r="834" spans="1:20" ht="15.75">
      <c r="A834" s="13">
        <v>66900</v>
      </c>
      <c r="B834" s="44">
        <f t="shared" si="3"/>
        <v>28</v>
      </c>
      <c r="C834" s="35">
        <v>122.58</v>
      </c>
      <c r="D834" s="35">
        <v>297.94099999999997</v>
      </c>
      <c r="E834" s="41">
        <v>729.47900000000004</v>
      </c>
      <c r="F834" s="35">
        <v>1150</v>
      </c>
      <c r="G834" s="35">
        <v>100</v>
      </c>
      <c r="H834" s="43">
        <v>600</v>
      </c>
      <c r="I834" s="35">
        <v>695</v>
      </c>
      <c r="J834" s="35">
        <v>50</v>
      </c>
      <c r="K834" s="36"/>
      <c r="L834" s="36"/>
      <c r="M834" s="36"/>
      <c r="N834" s="36"/>
      <c r="O834" s="36"/>
      <c r="P834" s="36"/>
      <c r="Q834" s="36"/>
      <c r="R834" s="36"/>
      <c r="S834" s="36"/>
      <c r="T834" s="36"/>
    </row>
    <row r="835" spans="1:20" ht="15.75">
      <c r="A835" s="13">
        <v>66931</v>
      </c>
      <c r="B835" s="44">
        <f t="shared" si="3"/>
        <v>31</v>
      </c>
      <c r="C835" s="35">
        <v>122.58</v>
      </c>
      <c r="D835" s="35">
        <v>297.94099999999997</v>
      </c>
      <c r="E835" s="41">
        <v>729.47900000000004</v>
      </c>
      <c r="F835" s="35">
        <v>1150</v>
      </c>
      <c r="G835" s="35">
        <v>100</v>
      </c>
      <c r="H835" s="43">
        <v>600</v>
      </c>
      <c r="I835" s="35">
        <v>695</v>
      </c>
      <c r="J835" s="35">
        <v>50</v>
      </c>
      <c r="K835" s="36"/>
      <c r="L835" s="36"/>
      <c r="M835" s="36"/>
      <c r="N835" s="36"/>
      <c r="O835" s="36"/>
      <c r="P835" s="36"/>
      <c r="Q835" s="36"/>
      <c r="R835" s="36"/>
      <c r="S835" s="36"/>
      <c r="T835" s="36"/>
    </row>
    <row r="836" spans="1:20" ht="15.75">
      <c r="A836" s="13">
        <v>66961</v>
      </c>
      <c r="B836" s="44">
        <f t="shared" si="3"/>
        <v>30</v>
      </c>
      <c r="C836" s="35">
        <v>141.29300000000001</v>
      </c>
      <c r="D836" s="35">
        <v>267.99299999999999</v>
      </c>
      <c r="E836" s="41">
        <v>829.71400000000006</v>
      </c>
      <c r="F836" s="35">
        <v>1239</v>
      </c>
      <c r="G836" s="35">
        <v>100</v>
      </c>
      <c r="H836" s="43">
        <v>600</v>
      </c>
      <c r="I836" s="35">
        <v>695</v>
      </c>
      <c r="J836" s="35">
        <v>50</v>
      </c>
      <c r="K836" s="36"/>
      <c r="L836" s="36"/>
      <c r="M836" s="36"/>
      <c r="N836" s="36"/>
      <c r="O836" s="36"/>
      <c r="P836" s="36"/>
      <c r="Q836" s="36"/>
      <c r="R836" s="36"/>
      <c r="S836" s="36"/>
      <c r="T836" s="36"/>
    </row>
    <row r="837" spans="1:20" ht="15.75">
      <c r="A837" s="13">
        <v>66992</v>
      </c>
      <c r="B837" s="44">
        <f t="shared" ref="B837:B900" si="4">EOMONTH(A837,0)-EOMONTH(A837,-1)</f>
        <v>31</v>
      </c>
      <c r="C837" s="35">
        <v>194.20500000000001</v>
      </c>
      <c r="D837" s="35">
        <v>267.46600000000001</v>
      </c>
      <c r="E837" s="41">
        <v>812.32899999999995</v>
      </c>
      <c r="F837" s="35">
        <v>1274</v>
      </c>
      <c r="G837" s="35">
        <v>75</v>
      </c>
      <c r="H837" s="43">
        <v>600</v>
      </c>
      <c r="I837" s="35">
        <v>695</v>
      </c>
      <c r="J837" s="35">
        <v>50</v>
      </c>
      <c r="K837" s="36"/>
      <c r="L837" s="36"/>
      <c r="M837" s="36"/>
      <c r="N837" s="36"/>
      <c r="O837" s="36"/>
      <c r="P837" s="36"/>
      <c r="Q837" s="36"/>
      <c r="R837" s="36"/>
      <c r="S837" s="36"/>
      <c r="T837" s="36"/>
    </row>
    <row r="838" spans="1:20" ht="15.75">
      <c r="A838" s="13">
        <v>67022</v>
      </c>
      <c r="B838" s="44">
        <f t="shared" si="4"/>
        <v>30</v>
      </c>
      <c r="C838" s="35">
        <v>194.20500000000001</v>
      </c>
      <c r="D838" s="35">
        <v>267.46600000000001</v>
      </c>
      <c r="E838" s="41">
        <v>812.32899999999995</v>
      </c>
      <c r="F838" s="35">
        <v>1274</v>
      </c>
      <c r="G838" s="35">
        <v>50</v>
      </c>
      <c r="H838" s="43">
        <v>600</v>
      </c>
      <c r="I838" s="35">
        <v>695</v>
      </c>
      <c r="J838" s="35">
        <v>50</v>
      </c>
      <c r="K838" s="36"/>
      <c r="L838" s="36"/>
      <c r="M838" s="36"/>
      <c r="N838" s="36"/>
      <c r="O838" s="36"/>
      <c r="P838" s="36"/>
      <c r="Q838" s="36"/>
      <c r="R838" s="36"/>
      <c r="S838" s="36"/>
      <c r="T838" s="36"/>
    </row>
    <row r="839" spans="1:20" ht="15.75">
      <c r="A839" s="13">
        <v>67053</v>
      </c>
      <c r="B839" s="44">
        <f t="shared" si="4"/>
        <v>31</v>
      </c>
      <c r="C839" s="35">
        <v>194.20500000000001</v>
      </c>
      <c r="D839" s="35">
        <v>267.46600000000001</v>
      </c>
      <c r="E839" s="41">
        <v>812.32899999999995</v>
      </c>
      <c r="F839" s="35">
        <v>1274</v>
      </c>
      <c r="G839" s="35">
        <v>50</v>
      </c>
      <c r="H839" s="43">
        <v>600</v>
      </c>
      <c r="I839" s="35">
        <v>695</v>
      </c>
      <c r="J839" s="35">
        <v>0</v>
      </c>
      <c r="K839" s="36"/>
      <c r="L839" s="36"/>
      <c r="M839" s="36"/>
      <c r="N839" s="36"/>
      <c r="O839" s="36"/>
      <c r="P839" s="36"/>
      <c r="Q839" s="36"/>
      <c r="R839" s="36"/>
      <c r="S839" s="36"/>
      <c r="T839" s="36"/>
    </row>
    <row r="840" spans="1:20" ht="15.75">
      <c r="A840" s="13">
        <v>67084</v>
      </c>
      <c r="B840" s="44">
        <f t="shared" si="4"/>
        <v>31</v>
      </c>
      <c r="C840" s="35">
        <v>194.20500000000001</v>
      </c>
      <c r="D840" s="35">
        <v>267.46600000000001</v>
      </c>
      <c r="E840" s="41">
        <v>812.32899999999995</v>
      </c>
      <c r="F840" s="35">
        <v>1274</v>
      </c>
      <c r="G840" s="35">
        <v>50</v>
      </c>
      <c r="H840" s="43">
        <v>600</v>
      </c>
      <c r="I840" s="35">
        <v>695</v>
      </c>
      <c r="J840" s="35">
        <v>0</v>
      </c>
      <c r="K840" s="36"/>
      <c r="L840" s="36"/>
      <c r="M840" s="36"/>
      <c r="N840" s="36"/>
      <c r="O840" s="36"/>
      <c r="P840" s="36"/>
      <c r="Q840" s="36"/>
      <c r="R840" s="36"/>
      <c r="S840" s="36"/>
      <c r="T840" s="36"/>
    </row>
    <row r="841" spans="1:20" ht="15.75">
      <c r="A841" s="13">
        <v>67114</v>
      </c>
      <c r="B841" s="44">
        <f t="shared" si="4"/>
        <v>30</v>
      </c>
      <c r="C841" s="35">
        <v>194.20500000000001</v>
      </c>
      <c r="D841" s="35">
        <v>267.46600000000001</v>
      </c>
      <c r="E841" s="41">
        <v>812.32899999999995</v>
      </c>
      <c r="F841" s="35">
        <v>1274</v>
      </c>
      <c r="G841" s="35">
        <v>50</v>
      </c>
      <c r="H841" s="43">
        <v>600</v>
      </c>
      <c r="I841" s="35">
        <v>695</v>
      </c>
      <c r="J841" s="35">
        <v>0</v>
      </c>
      <c r="K841" s="36"/>
      <c r="L841" s="36"/>
      <c r="M841" s="36"/>
      <c r="N841" s="36"/>
      <c r="O841" s="36"/>
      <c r="P841" s="36"/>
      <c r="Q841" s="36"/>
      <c r="R841" s="36"/>
      <c r="S841" s="36"/>
      <c r="T841" s="36"/>
    </row>
    <row r="842" spans="1:20" ht="15.75">
      <c r="A842" s="13">
        <v>67145</v>
      </c>
      <c r="B842" s="44">
        <f t="shared" si="4"/>
        <v>31</v>
      </c>
      <c r="C842" s="35">
        <v>131.881</v>
      </c>
      <c r="D842" s="35">
        <v>277.16699999999997</v>
      </c>
      <c r="E842" s="41">
        <v>829.952</v>
      </c>
      <c r="F842" s="35">
        <v>1239</v>
      </c>
      <c r="G842" s="35">
        <v>75</v>
      </c>
      <c r="H842" s="43">
        <v>600</v>
      </c>
      <c r="I842" s="35">
        <v>695</v>
      </c>
      <c r="J842" s="35">
        <v>0</v>
      </c>
      <c r="K842" s="36"/>
      <c r="L842" s="36"/>
      <c r="M842" s="36"/>
      <c r="N842" s="36"/>
      <c r="O842" s="36"/>
      <c r="P842" s="36"/>
      <c r="Q842" s="36"/>
      <c r="R842" s="36"/>
      <c r="S842" s="36"/>
      <c r="T842" s="36"/>
    </row>
    <row r="843" spans="1:20" ht="15.75">
      <c r="A843" s="13">
        <v>67175</v>
      </c>
      <c r="B843" s="44">
        <f t="shared" si="4"/>
        <v>30</v>
      </c>
      <c r="C843" s="35">
        <v>122.58</v>
      </c>
      <c r="D843" s="35">
        <v>297.94099999999997</v>
      </c>
      <c r="E843" s="41">
        <v>729.47900000000004</v>
      </c>
      <c r="F843" s="35">
        <v>1150</v>
      </c>
      <c r="G843" s="35">
        <v>100</v>
      </c>
      <c r="H843" s="43">
        <v>600</v>
      </c>
      <c r="I843" s="35">
        <v>695</v>
      </c>
      <c r="J843" s="35">
        <v>50</v>
      </c>
      <c r="K843" s="36"/>
      <c r="L843" s="36"/>
      <c r="M843" s="36"/>
      <c r="N843" s="36"/>
      <c r="O843" s="36"/>
      <c r="P843" s="36"/>
      <c r="Q843" s="36"/>
      <c r="R843" s="36"/>
      <c r="S843" s="36"/>
      <c r="T843" s="36"/>
    </row>
    <row r="844" spans="1:20" ht="15.75">
      <c r="A844" s="13">
        <v>67206</v>
      </c>
      <c r="B844" s="44">
        <f t="shared" si="4"/>
        <v>31</v>
      </c>
      <c r="C844" s="35">
        <v>122.58</v>
      </c>
      <c r="D844" s="35">
        <v>297.94099999999997</v>
      </c>
      <c r="E844" s="41">
        <v>729.47900000000004</v>
      </c>
      <c r="F844" s="35">
        <v>1150</v>
      </c>
      <c r="G844" s="35">
        <v>100</v>
      </c>
      <c r="H844" s="43">
        <v>600</v>
      </c>
      <c r="I844" s="35">
        <v>695</v>
      </c>
      <c r="J844" s="35">
        <v>50</v>
      </c>
      <c r="K844" s="36"/>
      <c r="L844" s="36"/>
      <c r="M844" s="36"/>
      <c r="N844" s="36"/>
      <c r="O844" s="36"/>
      <c r="P844" s="36"/>
      <c r="Q844" s="36"/>
      <c r="R844" s="36"/>
      <c r="S844" s="36"/>
      <c r="T844" s="36"/>
    </row>
    <row r="845" spans="1:20" ht="15.75">
      <c r="A845" s="13">
        <v>67237</v>
      </c>
      <c r="B845" s="44">
        <f t="shared" si="4"/>
        <v>31</v>
      </c>
      <c r="C845" s="35">
        <v>122.58</v>
      </c>
      <c r="D845" s="35">
        <v>297.94099999999997</v>
      </c>
      <c r="E845" s="41">
        <v>729.47900000000004</v>
      </c>
      <c r="F845" s="35">
        <v>1150</v>
      </c>
      <c r="G845" s="35">
        <v>100</v>
      </c>
      <c r="H845" s="43">
        <v>600</v>
      </c>
      <c r="I845" s="35">
        <v>695</v>
      </c>
      <c r="J845" s="35">
        <v>50</v>
      </c>
      <c r="K845" s="36"/>
      <c r="L845" s="36"/>
      <c r="M845" s="36"/>
      <c r="N845" s="36"/>
      <c r="O845" s="36"/>
      <c r="P845" s="36"/>
      <c r="Q845" s="36"/>
      <c r="R845" s="36"/>
      <c r="S845" s="36"/>
      <c r="T845" s="36"/>
    </row>
    <row r="846" spans="1:20" ht="15.75">
      <c r="A846" s="13">
        <v>67266</v>
      </c>
      <c r="B846" s="44">
        <f t="shared" si="4"/>
        <v>29</v>
      </c>
      <c r="C846" s="35">
        <v>122.58</v>
      </c>
      <c r="D846" s="35">
        <v>297.94099999999997</v>
      </c>
      <c r="E846" s="41">
        <v>729.47900000000004</v>
      </c>
      <c r="F846" s="35">
        <v>1150</v>
      </c>
      <c r="G846" s="35">
        <v>100</v>
      </c>
      <c r="H846" s="43">
        <v>600</v>
      </c>
      <c r="I846" s="35">
        <v>695</v>
      </c>
      <c r="J846" s="35">
        <v>50</v>
      </c>
      <c r="K846" s="36"/>
      <c r="L846" s="36"/>
      <c r="M846" s="36"/>
      <c r="N846" s="36"/>
      <c r="O846" s="36"/>
      <c r="P846" s="36"/>
      <c r="Q846" s="36"/>
      <c r="R846" s="36"/>
      <c r="S846" s="36"/>
      <c r="T846" s="36"/>
    </row>
    <row r="847" spans="1:20" ht="15.75">
      <c r="A847" s="13">
        <v>67297</v>
      </c>
      <c r="B847" s="44">
        <f t="shared" si="4"/>
        <v>31</v>
      </c>
      <c r="C847" s="35">
        <v>122.58</v>
      </c>
      <c r="D847" s="35">
        <v>297.94099999999997</v>
      </c>
      <c r="E847" s="41">
        <v>729.47900000000004</v>
      </c>
      <c r="F847" s="35">
        <v>1150</v>
      </c>
      <c r="G847" s="35">
        <v>100</v>
      </c>
      <c r="H847" s="43">
        <v>600</v>
      </c>
      <c r="I847" s="35">
        <v>695</v>
      </c>
      <c r="J847" s="35">
        <v>50</v>
      </c>
      <c r="K847" s="36"/>
      <c r="L847" s="36"/>
      <c r="M847" s="36"/>
      <c r="N847" s="36"/>
      <c r="O847" s="36"/>
      <c r="P847" s="36"/>
      <c r="Q847" s="36"/>
      <c r="R847" s="36"/>
      <c r="S847" s="36"/>
      <c r="T847" s="36"/>
    </row>
    <row r="848" spans="1:20" ht="15.75">
      <c r="A848" s="13">
        <v>67327</v>
      </c>
      <c r="B848" s="44">
        <f t="shared" si="4"/>
        <v>30</v>
      </c>
      <c r="C848" s="35">
        <v>141.29300000000001</v>
      </c>
      <c r="D848" s="35">
        <v>267.99299999999999</v>
      </c>
      <c r="E848" s="41">
        <v>829.71400000000006</v>
      </c>
      <c r="F848" s="35">
        <v>1239</v>
      </c>
      <c r="G848" s="35">
        <v>100</v>
      </c>
      <c r="H848" s="43">
        <v>600</v>
      </c>
      <c r="I848" s="35">
        <v>695</v>
      </c>
      <c r="J848" s="35">
        <v>50</v>
      </c>
      <c r="K848" s="36"/>
      <c r="L848" s="36"/>
      <c r="M848" s="36"/>
      <c r="N848" s="36"/>
      <c r="O848" s="36"/>
      <c r="P848" s="36"/>
      <c r="Q848" s="36"/>
      <c r="R848" s="36"/>
      <c r="S848" s="36"/>
      <c r="T848" s="36"/>
    </row>
    <row r="849" spans="1:20" ht="15.75">
      <c r="A849" s="13">
        <v>67358</v>
      </c>
      <c r="B849" s="44">
        <f t="shared" si="4"/>
        <v>31</v>
      </c>
      <c r="C849" s="35">
        <v>194.20500000000001</v>
      </c>
      <c r="D849" s="35">
        <v>267.46600000000001</v>
      </c>
      <c r="E849" s="41">
        <v>812.32899999999995</v>
      </c>
      <c r="F849" s="35">
        <v>1274</v>
      </c>
      <c r="G849" s="35">
        <v>75</v>
      </c>
      <c r="H849" s="43">
        <v>600</v>
      </c>
      <c r="I849" s="35">
        <v>695</v>
      </c>
      <c r="J849" s="35">
        <v>50</v>
      </c>
      <c r="K849" s="36"/>
      <c r="L849" s="36"/>
      <c r="M849" s="36"/>
      <c r="N849" s="36"/>
      <c r="O849" s="36"/>
      <c r="P849" s="36"/>
      <c r="Q849" s="36"/>
      <c r="R849" s="36"/>
      <c r="S849" s="36"/>
      <c r="T849" s="36"/>
    </row>
    <row r="850" spans="1:20" ht="15.75">
      <c r="A850" s="13">
        <v>67388</v>
      </c>
      <c r="B850" s="44">
        <f t="shared" si="4"/>
        <v>30</v>
      </c>
      <c r="C850" s="35">
        <v>194.20500000000001</v>
      </c>
      <c r="D850" s="35">
        <v>267.46600000000001</v>
      </c>
      <c r="E850" s="41">
        <v>812.32899999999995</v>
      </c>
      <c r="F850" s="35">
        <v>1274</v>
      </c>
      <c r="G850" s="35">
        <v>50</v>
      </c>
      <c r="H850" s="43">
        <v>600</v>
      </c>
      <c r="I850" s="35">
        <v>695</v>
      </c>
      <c r="J850" s="35">
        <v>50</v>
      </c>
      <c r="K850" s="36"/>
      <c r="L850" s="36"/>
      <c r="M850" s="36"/>
      <c r="N850" s="36"/>
      <c r="O850" s="36"/>
      <c r="P850" s="36"/>
      <c r="Q850" s="36"/>
      <c r="R850" s="36"/>
      <c r="S850" s="36"/>
      <c r="T850" s="36"/>
    </row>
    <row r="851" spans="1:20" ht="15.75">
      <c r="A851" s="13">
        <v>67419</v>
      </c>
      <c r="B851" s="44">
        <f t="shared" si="4"/>
        <v>31</v>
      </c>
      <c r="C851" s="35">
        <v>194.20500000000001</v>
      </c>
      <c r="D851" s="35">
        <v>267.46600000000001</v>
      </c>
      <c r="E851" s="41">
        <v>812.32899999999995</v>
      </c>
      <c r="F851" s="35">
        <v>1274</v>
      </c>
      <c r="G851" s="35">
        <v>50</v>
      </c>
      <c r="H851" s="43">
        <v>600</v>
      </c>
      <c r="I851" s="35">
        <v>695</v>
      </c>
      <c r="J851" s="35">
        <v>0</v>
      </c>
      <c r="K851" s="36"/>
      <c r="L851" s="36"/>
      <c r="M851" s="36"/>
      <c r="N851" s="36"/>
      <c r="O851" s="36"/>
      <c r="P851" s="36"/>
      <c r="Q851" s="36"/>
      <c r="R851" s="36"/>
      <c r="S851" s="36"/>
      <c r="T851" s="36"/>
    </row>
    <row r="852" spans="1:20" ht="15.75">
      <c r="A852" s="13">
        <v>67450</v>
      </c>
      <c r="B852" s="44">
        <f t="shared" si="4"/>
        <v>31</v>
      </c>
      <c r="C852" s="35">
        <v>194.20500000000001</v>
      </c>
      <c r="D852" s="35">
        <v>267.46600000000001</v>
      </c>
      <c r="E852" s="41">
        <v>812.32899999999995</v>
      </c>
      <c r="F852" s="35">
        <v>1274</v>
      </c>
      <c r="G852" s="35">
        <v>50</v>
      </c>
      <c r="H852" s="43">
        <v>600</v>
      </c>
      <c r="I852" s="35">
        <v>695</v>
      </c>
      <c r="J852" s="35">
        <v>0</v>
      </c>
      <c r="K852" s="36"/>
      <c r="L852" s="36"/>
      <c r="M852" s="36"/>
      <c r="N852" s="36"/>
      <c r="O852" s="36"/>
      <c r="P852" s="36"/>
      <c r="Q852" s="36"/>
      <c r="R852" s="36"/>
      <c r="S852" s="36"/>
      <c r="T852" s="36"/>
    </row>
    <row r="853" spans="1:20" ht="15.75">
      <c r="A853" s="13">
        <v>67480</v>
      </c>
      <c r="B853" s="44">
        <f t="shared" si="4"/>
        <v>30</v>
      </c>
      <c r="C853" s="35">
        <v>194.20500000000001</v>
      </c>
      <c r="D853" s="35">
        <v>267.46600000000001</v>
      </c>
      <c r="E853" s="41">
        <v>812.32899999999995</v>
      </c>
      <c r="F853" s="35">
        <v>1274</v>
      </c>
      <c r="G853" s="35">
        <v>50</v>
      </c>
      <c r="H853" s="43">
        <v>600</v>
      </c>
      <c r="I853" s="35">
        <v>695</v>
      </c>
      <c r="J853" s="35">
        <v>0</v>
      </c>
      <c r="K853" s="36"/>
      <c r="L853" s="36"/>
      <c r="M853" s="36"/>
      <c r="N853" s="36"/>
      <c r="O853" s="36"/>
      <c r="P853" s="36"/>
      <c r="Q853" s="36"/>
      <c r="R853" s="36"/>
      <c r="S853" s="36"/>
      <c r="T853" s="36"/>
    </row>
    <row r="854" spans="1:20" ht="15.75">
      <c r="A854" s="13">
        <v>67511</v>
      </c>
      <c r="B854" s="44">
        <f t="shared" si="4"/>
        <v>31</v>
      </c>
      <c r="C854" s="35">
        <v>131.881</v>
      </c>
      <c r="D854" s="35">
        <v>277.16699999999997</v>
      </c>
      <c r="E854" s="41">
        <v>829.952</v>
      </c>
      <c r="F854" s="35">
        <v>1239</v>
      </c>
      <c r="G854" s="35">
        <v>75</v>
      </c>
      <c r="H854" s="43">
        <v>600</v>
      </c>
      <c r="I854" s="35">
        <v>695</v>
      </c>
      <c r="J854" s="35">
        <v>0</v>
      </c>
      <c r="K854" s="36"/>
      <c r="L854" s="36"/>
      <c r="M854" s="36"/>
      <c r="N854" s="36"/>
      <c r="O854" s="36"/>
      <c r="P854" s="36"/>
      <c r="Q854" s="36"/>
      <c r="R854" s="36"/>
      <c r="S854" s="36"/>
      <c r="T854" s="36"/>
    </row>
    <row r="855" spans="1:20" ht="15.75">
      <c r="A855" s="13">
        <v>67541</v>
      </c>
      <c r="B855" s="44">
        <f t="shared" si="4"/>
        <v>30</v>
      </c>
      <c r="C855" s="35">
        <v>122.58</v>
      </c>
      <c r="D855" s="35">
        <v>297.94099999999997</v>
      </c>
      <c r="E855" s="41">
        <v>729.47900000000004</v>
      </c>
      <c r="F855" s="35">
        <v>1150</v>
      </c>
      <c r="G855" s="35">
        <v>100</v>
      </c>
      <c r="H855" s="43">
        <v>600</v>
      </c>
      <c r="I855" s="35">
        <v>695</v>
      </c>
      <c r="J855" s="35">
        <v>50</v>
      </c>
      <c r="K855" s="36"/>
      <c r="L855" s="36"/>
      <c r="M855" s="36"/>
      <c r="N855" s="36"/>
      <c r="O855" s="36"/>
      <c r="P855" s="36"/>
      <c r="Q855" s="36"/>
      <c r="R855" s="36"/>
      <c r="S855" s="36"/>
      <c r="T855" s="36"/>
    </row>
    <row r="856" spans="1:20" ht="15.75">
      <c r="A856" s="13">
        <v>67572</v>
      </c>
      <c r="B856" s="44">
        <f t="shared" si="4"/>
        <v>31</v>
      </c>
      <c r="C856" s="35">
        <v>122.58</v>
      </c>
      <c r="D856" s="35">
        <v>297.94099999999997</v>
      </c>
      <c r="E856" s="41">
        <v>729.47900000000004</v>
      </c>
      <c r="F856" s="35">
        <v>1150</v>
      </c>
      <c r="G856" s="35">
        <v>100</v>
      </c>
      <c r="H856" s="43">
        <v>600</v>
      </c>
      <c r="I856" s="35">
        <v>695</v>
      </c>
      <c r="J856" s="35">
        <v>50</v>
      </c>
      <c r="K856" s="36"/>
      <c r="L856" s="36"/>
      <c r="M856" s="36"/>
      <c r="N856" s="36"/>
      <c r="O856" s="36"/>
      <c r="P856" s="36"/>
      <c r="Q856" s="36"/>
      <c r="R856" s="36"/>
      <c r="S856" s="36"/>
      <c r="T856" s="36"/>
    </row>
    <row r="857" spans="1:20" ht="15.75">
      <c r="A857" s="13">
        <v>67603</v>
      </c>
      <c r="B857" s="44">
        <f t="shared" si="4"/>
        <v>31</v>
      </c>
      <c r="C857" s="35">
        <v>122.58</v>
      </c>
      <c r="D857" s="35">
        <v>297.94099999999997</v>
      </c>
      <c r="E857" s="41">
        <v>729.47900000000004</v>
      </c>
      <c r="F857" s="35">
        <v>1150</v>
      </c>
      <c r="G857" s="35">
        <v>100</v>
      </c>
      <c r="H857" s="43">
        <v>600</v>
      </c>
      <c r="I857" s="35">
        <v>695</v>
      </c>
      <c r="J857" s="35">
        <v>50</v>
      </c>
      <c r="K857" s="36"/>
      <c r="L857" s="36"/>
      <c r="M857" s="36"/>
      <c r="N857" s="36"/>
      <c r="O857" s="36"/>
      <c r="P857" s="36"/>
      <c r="Q857" s="36"/>
      <c r="R857" s="36"/>
      <c r="S857" s="36"/>
      <c r="T857" s="36"/>
    </row>
    <row r="858" spans="1:20" ht="15.75">
      <c r="A858" s="13">
        <v>67631</v>
      </c>
      <c r="B858" s="44">
        <f t="shared" si="4"/>
        <v>28</v>
      </c>
      <c r="C858" s="35">
        <v>122.58</v>
      </c>
      <c r="D858" s="35">
        <v>297.94099999999997</v>
      </c>
      <c r="E858" s="41">
        <v>729.47900000000004</v>
      </c>
      <c r="F858" s="35">
        <v>1150</v>
      </c>
      <c r="G858" s="35">
        <v>100</v>
      </c>
      <c r="H858" s="43">
        <v>600</v>
      </c>
      <c r="I858" s="35">
        <v>695</v>
      </c>
      <c r="J858" s="35">
        <v>50</v>
      </c>
      <c r="K858" s="36"/>
      <c r="L858" s="36"/>
      <c r="M858" s="36"/>
      <c r="N858" s="36"/>
      <c r="O858" s="36"/>
      <c r="P858" s="36"/>
      <c r="Q858" s="36"/>
      <c r="R858" s="36"/>
      <c r="S858" s="36"/>
      <c r="T858" s="36"/>
    </row>
    <row r="859" spans="1:20" ht="15.75">
      <c r="A859" s="13">
        <v>67662</v>
      </c>
      <c r="B859" s="44">
        <f t="shared" si="4"/>
        <v>31</v>
      </c>
      <c r="C859" s="35">
        <v>122.58</v>
      </c>
      <c r="D859" s="35">
        <v>297.94099999999997</v>
      </c>
      <c r="E859" s="41">
        <v>729.47900000000004</v>
      </c>
      <c r="F859" s="35">
        <v>1150</v>
      </c>
      <c r="G859" s="35">
        <v>100</v>
      </c>
      <c r="H859" s="43">
        <v>600</v>
      </c>
      <c r="I859" s="35">
        <v>695</v>
      </c>
      <c r="J859" s="35">
        <v>50</v>
      </c>
      <c r="K859" s="36"/>
      <c r="L859" s="36"/>
      <c r="M859" s="36"/>
      <c r="N859" s="36"/>
      <c r="O859" s="36"/>
      <c r="P859" s="36"/>
      <c r="Q859" s="36"/>
      <c r="R859" s="36"/>
      <c r="S859" s="36"/>
      <c r="T859" s="36"/>
    </row>
    <row r="860" spans="1:20" ht="15.75">
      <c r="A860" s="13">
        <v>67692</v>
      </c>
      <c r="B860" s="44">
        <f t="shared" si="4"/>
        <v>30</v>
      </c>
      <c r="C860" s="35">
        <v>141.29300000000001</v>
      </c>
      <c r="D860" s="35">
        <v>267.99299999999999</v>
      </c>
      <c r="E860" s="41">
        <v>829.71400000000006</v>
      </c>
      <c r="F860" s="35">
        <v>1239</v>
      </c>
      <c r="G860" s="35">
        <v>100</v>
      </c>
      <c r="H860" s="43">
        <v>600</v>
      </c>
      <c r="I860" s="35">
        <v>695</v>
      </c>
      <c r="J860" s="35">
        <v>50</v>
      </c>
      <c r="K860" s="36"/>
      <c r="L860" s="36"/>
      <c r="M860" s="36"/>
      <c r="N860" s="36"/>
      <c r="O860" s="36"/>
      <c r="P860" s="36"/>
      <c r="Q860" s="36"/>
      <c r="R860" s="36"/>
      <c r="S860" s="36"/>
      <c r="T860" s="36"/>
    </row>
    <row r="861" spans="1:20" ht="15.75">
      <c r="A861" s="13">
        <v>67723</v>
      </c>
      <c r="B861" s="44">
        <f t="shared" si="4"/>
        <v>31</v>
      </c>
      <c r="C861" s="35">
        <v>194.20500000000001</v>
      </c>
      <c r="D861" s="35">
        <v>267.46600000000001</v>
      </c>
      <c r="E861" s="41">
        <v>812.32899999999995</v>
      </c>
      <c r="F861" s="35">
        <v>1274</v>
      </c>
      <c r="G861" s="35">
        <v>75</v>
      </c>
      <c r="H861" s="43">
        <v>600</v>
      </c>
      <c r="I861" s="35">
        <v>695</v>
      </c>
      <c r="J861" s="35">
        <v>50</v>
      </c>
      <c r="K861" s="36"/>
      <c r="L861" s="36"/>
      <c r="M861" s="36"/>
      <c r="N861" s="36"/>
      <c r="O861" s="36"/>
      <c r="P861" s="36"/>
      <c r="Q861" s="36"/>
      <c r="R861" s="36"/>
      <c r="S861" s="36"/>
      <c r="T861" s="36"/>
    </row>
    <row r="862" spans="1:20" ht="15.75">
      <c r="A862" s="13">
        <v>67753</v>
      </c>
      <c r="B862" s="44">
        <f t="shared" si="4"/>
        <v>30</v>
      </c>
      <c r="C862" s="35">
        <v>194.20500000000001</v>
      </c>
      <c r="D862" s="35">
        <v>267.46600000000001</v>
      </c>
      <c r="E862" s="41">
        <v>812.32899999999995</v>
      </c>
      <c r="F862" s="35">
        <v>1274</v>
      </c>
      <c r="G862" s="35">
        <v>50</v>
      </c>
      <c r="H862" s="43">
        <v>600</v>
      </c>
      <c r="I862" s="35">
        <v>695</v>
      </c>
      <c r="J862" s="35">
        <v>50</v>
      </c>
      <c r="K862" s="36"/>
      <c r="L862" s="36"/>
      <c r="M862" s="36"/>
      <c r="N862" s="36"/>
      <c r="O862" s="36"/>
      <c r="P862" s="36"/>
      <c r="Q862" s="36"/>
      <c r="R862" s="36"/>
      <c r="S862" s="36"/>
      <c r="T862" s="36"/>
    </row>
    <row r="863" spans="1:20" ht="15.75">
      <c r="A863" s="13">
        <v>67784</v>
      </c>
      <c r="B863" s="44">
        <f t="shared" si="4"/>
        <v>31</v>
      </c>
      <c r="C863" s="35">
        <v>194.20500000000001</v>
      </c>
      <c r="D863" s="35">
        <v>267.46600000000001</v>
      </c>
      <c r="E863" s="41">
        <v>812.32899999999995</v>
      </c>
      <c r="F863" s="35">
        <v>1274</v>
      </c>
      <c r="G863" s="35">
        <v>50</v>
      </c>
      <c r="H863" s="43">
        <v>600</v>
      </c>
      <c r="I863" s="35">
        <v>695</v>
      </c>
      <c r="J863" s="35">
        <v>0</v>
      </c>
      <c r="K863" s="36"/>
      <c r="L863" s="36"/>
      <c r="M863" s="36"/>
      <c r="N863" s="36"/>
      <c r="O863" s="36"/>
      <c r="P863" s="36"/>
      <c r="Q863" s="36"/>
      <c r="R863" s="36"/>
      <c r="S863" s="36"/>
      <c r="T863" s="36"/>
    </row>
    <row r="864" spans="1:20" ht="15.75">
      <c r="A864" s="13">
        <v>67815</v>
      </c>
      <c r="B864" s="44">
        <f t="shared" si="4"/>
        <v>31</v>
      </c>
      <c r="C864" s="35">
        <v>194.20500000000001</v>
      </c>
      <c r="D864" s="35">
        <v>267.46600000000001</v>
      </c>
      <c r="E864" s="41">
        <v>812.32899999999995</v>
      </c>
      <c r="F864" s="35">
        <v>1274</v>
      </c>
      <c r="G864" s="35">
        <v>50</v>
      </c>
      <c r="H864" s="43">
        <v>600</v>
      </c>
      <c r="I864" s="35">
        <v>695</v>
      </c>
      <c r="J864" s="35">
        <v>0</v>
      </c>
      <c r="K864" s="36"/>
      <c r="L864" s="36"/>
      <c r="M864" s="36"/>
      <c r="N864" s="36"/>
      <c r="O864" s="36"/>
      <c r="P864" s="36"/>
      <c r="Q864" s="36"/>
      <c r="R864" s="36"/>
      <c r="S864" s="36"/>
      <c r="T864" s="36"/>
    </row>
    <row r="865" spans="1:20" ht="15.75">
      <c r="A865" s="13">
        <v>67845</v>
      </c>
      <c r="B865" s="44">
        <f t="shared" si="4"/>
        <v>30</v>
      </c>
      <c r="C865" s="35">
        <v>194.20500000000001</v>
      </c>
      <c r="D865" s="35">
        <v>267.46600000000001</v>
      </c>
      <c r="E865" s="41">
        <v>812.32899999999995</v>
      </c>
      <c r="F865" s="35">
        <v>1274</v>
      </c>
      <c r="G865" s="35">
        <v>50</v>
      </c>
      <c r="H865" s="43">
        <v>600</v>
      </c>
      <c r="I865" s="35">
        <v>695</v>
      </c>
      <c r="J865" s="35">
        <v>0</v>
      </c>
      <c r="K865" s="36"/>
      <c r="L865" s="36"/>
      <c r="M865" s="36"/>
      <c r="N865" s="36"/>
      <c r="O865" s="36"/>
      <c r="P865" s="36"/>
      <c r="Q865" s="36"/>
      <c r="R865" s="36"/>
      <c r="S865" s="36"/>
      <c r="T865" s="36"/>
    </row>
    <row r="866" spans="1:20" ht="15.75">
      <c r="A866" s="13">
        <v>67876</v>
      </c>
      <c r="B866" s="44">
        <f t="shared" si="4"/>
        <v>31</v>
      </c>
      <c r="C866" s="35">
        <v>131.881</v>
      </c>
      <c r="D866" s="35">
        <v>277.16699999999997</v>
      </c>
      <c r="E866" s="41">
        <v>829.952</v>
      </c>
      <c r="F866" s="35">
        <v>1239</v>
      </c>
      <c r="G866" s="35">
        <v>75</v>
      </c>
      <c r="H866" s="43">
        <v>600</v>
      </c>
      <c r="I866" s="35">
        <v>695</v>
      </c>
      <c r="J866" s="35">
        <v>0</v>
      </c>
      <c r="K866" s="36"/>
      <c r="L866" s="36"/>
      <c r="M866" s="36"/>
      <c r="N866" s="36"/>
      <c r="O866" s="36"/>
      <c r="P866" s="36"/>
      <c r="Q866" s="36"/>
      <c r="R866" s="36"/>
      <c r="S866" s="36"/>
      <c r="T866" s="36"/>
    </row>
    <row r="867" spans="1:20" ht="15.75">
      <c r="A867" s="13">
        <v>67906</v>
      </c>
      <c r="B867" s="44">
        <f t="shared" si="4"/>
        <v>30</v>
      </c>
      <c r="C867" s="35">
        <v>122.58</v>
      </c>
      <c r="D867" s="35">
        <v>297.94099999999997</v>
      </c>
      <c r="E867" s="41">
        <v>729.47900000000004</v>
      </c>
      <c r="F867" s="35">
        <v>1150</v>
      </c>
      <c r="G867" s="35">
        <v>100</v>
      </c>
      <c r="H867" s="43">
        <v>600</v>
      </c>
      <c r="I867" s="35">
        <v>695</v>
      </c>
      <c r="J867" s="35">
        <v>50</v>
      </c>
      <c r="K867" s="36"/>
      <c r="L867" s="36"/>
      <c r="M867" s="36"/>
      <c r="N867" s="36"/>
      <c r="O867" s="36"/>
      <c r="P867" s="36"/>
      <c r="Q867" s="36"/>
      <c r="R867" s="36"/>
      <c r="S867" s="36"/>
      <c r="T867" s="36"/>
    </row>
    <row r="868" spans="1:20" ht="15.75">
      <c r="A868" s="13">
        <v>67937</v>
      </c>
      <c r="B868" s="44">
        <f t="shared" si="4"/>
        <v>31</v>
      </c>
      <c r="C868" s="35">
        <v>122.58</v>
      </c>
      <c r="D868" s="35">
        <v>297.94099999999997</v>
      </c>
      <c r="E868" s="41">
        <v>729.47900000000004</v>
      </c>
      <c r="F868" s="35">
        <v>1150</v>
      </c>
      <c r="G868" s="35">
        <v>100</v>
      </c>
      <c r="H868" s="43">
        <v>600</v>
      </c>
      <c r="I868" s="35">
        <v>695</v>
      </c>
      <c r="J868" s="35">
        <v>50</v>
      </c>
      <c r="K868" s="36"/>
      <c r="L868" s="36"/>
      <c r="M868" s="36"/>
      <c r="N868" s="36"/>
      <c r="O868" s="36"/>
      <c r="P868" s="36"/>
      <c r="Q868" s="36"/>
      <c r="R868" s="36"/>
      <c r="S868" s="36"/>
      <c r="T868" s="36"/>
    </row>
    <row r="869" spans="1:20" ht="15.75">
      <c r="A869" s="13">
        <v>67968</v>
      </c>
      <c r="B869" s="44">
        <f t="shared" si="4"/>
        <v>31</v>
      </c>
      <c r="C869" s="35">
        <v>122.58</v>
      </c>
      <c r="D869" s="35">
        <v>297.94099999999997</v>
      </c>
      <c r="E869" s="41">
        <v>729.47900000000004</v>
      </c>
      <c r="F869" s="35">
        <v>1150</v>
      </c>
      <c r="G869" s="35">
        <v>100</v>
      </c>
      <c r="H869" s="43">
        <v>600</v>
      </c>
      <c r="I869" s="35">
        <v>695</v>
      </c>
      <c r="J869" s="35">
        <v>50</v>
      </c>
      <c r="K869" s="36"/>
      <c r="L869" s="36"/>
      <c r="M869" s="36"/>
      <c r="N869" s="36"/>
      <c r="O869" s="36"/>
      <c r="P869" s="36"/>
      <c r="Q869" s="36"/>
      <c r="R869" s="36"/>
      <c r="S869" s="36"/>
      <c r="T869" s="36"/>
    </row>
    <row r="870" spans="1:20" ht="15.75">
      <c r="A870" s="13">
        <v>67996</v>
      </c>
      <c r="B870" s="44">
        <f t="shared" si="4"/>
        <v>28</v>
      </c>
      <c r="C870" s="35">
        <v>122.58</v>
      </c>
      <c r="D870" s="35">
        <v>297.94099999999997</v>
      </c>
      <c r="E870" s="41">
        <v>729.47900000000004</v>
      </c>
      <c r="F870" s="35">
        <v>1150</v>
      </c>
      <c r="G870" s="35">
        <v>100</v>
      </c>
      <c r="H870" s="43">
        <v>600</v>
      </c>
      <c r="I870" s="35">
        <v>695</v>
      </c>
      <c r="J870" s="35">
        <v>50</v>
      </c>
      <c r="K870" s="36"/>
      <c r="L870" s="36"/>
      <c r="M870" s="36"/>
      <c r="N870" s="36"/>
      <c r="O870" s="36"/>
      <c r="P870" s="36"/>
      <c r="Q870" s="36"/>
      <c r="R870" s="36"/>
      <c r="S870" s="36"/>
      <c r="T870" s="36"/>
    </row>
    <row r="871" spans="1:20" ht="15.75">
      <c r="A871" s="13">
        <v>68027</v>
      </c>
      <c r="B871" s="44">
        <f t="shared" si="4"/>
        <v>31</v>
      </c>
      <c r="C871" s="35">
        <v>122.58</v>
      </c>
      <c r="D871" s="35">
        <v>297.94099999999997</v>
      </c>
      <c r="E871" s="41">
        <v>729.47900000000004</v>
      </c>
      <c r="F871" s="35">
        <v>1150</v>
      </c>
      <c r="G871" s="35">
        <v>100</v>
      </c>
      <c r="H871" s="43">
        <v>600</v>
      </c>
      <c r="I871" s="35">
        <v>695</v>
      </c>
      <c r="J871" s="35">
        <v>50</v>
      </c>
      <c r="K871" s="36"/>
      <c r="L871" s="36"/>
      <c r="M871" s="36"/>
      <c r="N871" s="36"/>
      <c r="O871" s="36"/>
      <c r="P871" s="36"/>
      <c r="Q871" s="36"/>
      <c r="R871" s="36"/>
      <c r="S871" s="36"/>
      <c r="T871" s="36"/>
    </row>
    <row r="872" spans="1:20" ht="15.75">
      <c r="A872" s="13">
        <v>68057</v>
      </c>
      <c r="B872" s="44">
        <f t="shared" si="4"/>
        <v>30</v>
      </c>
      <c r="C872" s="35">
        <v>141.29300000000001</v>
      </c>
      <c r="D872" s="35">
        <v>267.99299999999999</v>
      </c>
      <c r="E872" s="41">
        <v>829.71400000000006</v>
      </c>
      <c r="F872" s="35">
        <v>1239</v>
      </c>
      <c r="G872" s="35">
        <v>100</v>
      </c>
      <c r="H872" s="43">
        <v>600</v>
      </c>
      <c r="I872" s="35">
        <v>695</v>
      </c>
      <c r="J872" s="35">
        <v>50</v>
      </c>
      <c r="K872" s="36"/>
      <c r="L872" s="36"/>
      <c r="M872" s="36"/>
      <c r="N872" s="36"/>
      <c r="O872" s="36"/>
      <c r="P872" s="36"/>
      <c r="Q872" s="36"/>
      <c r="R872" s="36"/>
      <c r="S872" s="36"/>
      <c r="T872" s="36"/>
    </row>
    <row r="873" spans="1:20" ht="15.75">
      <c r="A873" s="13">
        <v>68088</v>
      </c>
      <c r="B873" s="44">
        <f t="shared" si="4"/>
        <v>31</v>
      </c>
      <c r="C873" s="35">
        <v>194.20500000000001</v>
      </c>
      <c r="D873" s="35">
        <v>267.46600000000001</v>
      </c>
      <c r="E873" s="41">
        <v>812.32899999999995</v>
      </c>
      <c r="F873" s="35">
        <v>1274</v>
      </c>
      <c r="G873" s="35">
        <v>75</v>
      </c>
      <c r="H873" s="43">
        <v>600</v>
      </c>
      <c r="I873" s="35">
        <v>695</v>
      </c>
      <c r="J873" s="35">
        <v>50</v>
      </c>
      <c r="K873" s="36"/>
      <c r="L873" s="36"/>
      <c r="M873" s="36"/>
      <c r="N873" s="36"/>
      <c r="O873" s="36"/>
      <c r="P873" s="36"/>
      <c r="Q873" s="36"/>
      <c r="R873" s="36"/>
      <c r="S873" s="36"/>
      <c r="T873" s="36"/>
    </row>
    <row r="874" spans="1:20" ht="15.75">
      <c r="A874" s="13">
        <v>68118</v>
      </c>
      <c r="B874" s="44">
        <f t="shared" si="4"/>
        <v>30</v>
      </c>
      <c r="C874" s="35">
        <v>194.20500000000001</v>
      </c>
      <c r="D874" s="35">
        <v>267.46600000000001</v>
      </c>
      <c r="E874" s="41">
        <v>812.32899999999995</v>
      </c>
      <c r="F874" s="35">
        <v>1274</v>
      </c>
      <c r="G874" s="35">
        <v>50</v>
      </c>
      <c r="H874" s="43">
        <v>600</v>
      </c>
      <c r="I874" s="35">
        <v>695</v>
      </c>
      <c r="J874" s="35">
        <v>50</v>
      </c>
      <c r="K874" s="36"/>
      <c r="L874" s="36"/>
      <c r="M874" s="36"/>
      <c r="N874" s="36"/>
      <c r="O874" s="36"/>
      <c r="P874" s="36"/>
      <c r="Q874" s="36"/>
      <c r="R874" s="36"/>
      <c r="S874" s="36"/>
      <c r="T874" s="36"/>
    </row>
    <row r="875" spans="1:20" ht="15.75">
      <c r="A875" s="13">
        <v>68149</v>
      </c>
      <c r="B875" s="44">
        <f t="shared" si="4"/>
        <v>31</v>
      </c>
      <c r="C875" s="35">
        <v>194.20500000000001</v>
      </c>
      <c r="D875" s="35">
        <v>267.46600000000001</v>
      </c>
      <c r="E875" s="41">
        <v>812.32899999999995</v>
      </c>
      <c r="F875" s="35">
        <v>1274</v>
      </c>
      <c r="G875" s="35">
        <v>50</v>
      </c>
      <c r="H875" s="43">
        <v>600</v>
      </c>
      <c r="I875" s="35">
        <v>695</v>
      </c>
      <c r="J875" s="35">
        <v>0</v>
      </c>
      <c r="K875" s="36"/>
      <c r="L875" s="36"/>
      <c r="M875" s="36"/>
      <c r="N875" s="36"/>
      <c r="O875" s="36"/>
      <c r="P875" s="36"/>
      <c r="Q875" s="36"/>
      <c r="R875" s="36"/>
      <c r="S875" s="36"/>
      <c r="T875" s="36"/>
    </row>
    <row r="876" spans="1:20" ht="15.75">
      <c r="A876" s="13">
        <v>68180</v>
      </c>
      <c r="B876" s="44">
        <f t="shared" si="4"/>
        <v>31</v>
      </c>
      <c r="C876" s="35">
        <v>194.20500000000001</v>
      </c>
      <c r="D876" s="35">
        <v>267.46600000000001</v>
      </c>
      <c r="E876" s="41">
        <v>812.32899999999995</v>
      </c>
      <c r="F876" s="35">
        <v>1274</v>
      </c>
      <c r="G876" s="35">
        <v>50</v>
      </c>
      <c r="H876" s="43">
        <v>600</v>
      </c>
      <c r="I876" s="35">
        <v>695</v>
      </c>
      <c r="J876" s="35">
        <v>0</v>
      </c>
      <c r="K876" s="36"/>
      <c r="L876" s="36"/>
      <c r="M876" s="36"/>
      <c r="N876" s="36"/>
      <c r="O876" s="36"/>
      <c r="P876" s="36"/>
      <c r="Q876" s="36"/>
      <c r="R876" s="36"/>
      <c r="S876" s="36"/>
      <c r="T876" s="36"/>
    </row>
    <row r="877" spans="1:20" ht="15.75">
      <c r="A877" s="13">
        <v>68210</v>
      </c>
      <c r="B877" s="44">
        <f t="shared" si="4"/>
        <v>30</v>
      </c>
      <c r="C877" s="35">
        <v>194.20500000000001</v>
      </c>
      <c r="D877" s="35">
        <v>267.46600000000001</v>
      </c>
      <c r="E877" s="41">
        <v>812.32899999999995</v>
      </c>
      <c r="F877" s="35">
        <v>1274</v>
      </c>
      <c r="G877" s="35">
        <v>50</v>
      </c>
      <c r="H877" s="43">
        <v>600</v>
      </c>
      <c r="I877" s="35">
        <v>695</v>
      </c>
      <c r="J877" s="35">
        <v>0</v>
      </c>
      <c r="K877" s="36"/>
      <c r="L877" s="36"/>
      <c r="M877" s="36"/>
      <c r="N877" s="36"/>
      <c r="O877" s="36"/>
      <c r="P877" s="36"/>
      <c r="Q877" s="36"/>
      <c r="R877" s="36"/>
      <c r="S877" s="36"/>
      <c r="T877" s="36"/>
    </row>
    <row r="878" spans="1:20" ht="15.75">
      <c r="A878" s="13">
        <v>68241</v>
      </c>
      <c r="B878" s="44">
        <f t="shared" si="4"/>
        <v>31</v>
      </c>
      <c r="C878" s="35">
        <v>131.881</v>
      </c>
      <c r="D878" s="35">
        <v>277.16699999999997</v>
      </c>
      <c r="E878" s="41">
        <v>829.952</v>
      </c>
      <c r="F878" s="35">
        <v>1239</v>
      </c>
      <c r="G878" s="35">
        <v>75</v>
      </c>
      <c r="H878" s="43">
        <v>600</v>
      </c>
      <c r="I878" s="35">
        <v>695</v>
      </c>
      <c r="J878" s="35">
        <v>0</v>
      </c>
      <c r="K878" s="36"/>
      <c r="L878" s="36"/>
      <c r="M878" s="36"/>
      <c r="N878" s="36"/>
      <c r="O878" s="36"/>
      <c r="P878" s="36"/>
      <c r="Q878" s="36"/>
      <c r="R878" s="36"/>
      <c r="S878" s="36"/>
      <c r="T878" s="36"/>
    </row>
    <row r="879" spans="1:20" ht="15.75">
      <c r="A879" s="13">
        <v>68271</v>
      </c>
      <c r="B879" s="44">
        <f t="shared" si="4"/>
        <v>30</v>
      </c>
      <c r="C879" s="35">
        <v>122.58</v>
      </c>
      <c r="D879" s="35">
        <v>297.94099999999997</v>
      </c>
      <c r="E879" s="41">
        <v>729.47900000000004</v>
      </c>
      <c r="F879" s="35">
        <v>1150</v>
      </c>
      <c r="G879" s="35">
        <v>100</v>
      </c>
      <c r="H879" s="43">
        <v>600</v>
      </c>
      <c r="I879" s="35">
        <v>695</v>
      </c>
      <c r="J879" s="35">
        <v>50</v>
      </c>
      <c r="K879" s="36"/>
      <c r="L879" s="36"/>
      <c r="M879" s="36"/>
      <c r="N879" s="36"/>
      <c r="O879" s="36"/>
      <c r="P879" s="36"/>
      <c r="Q879" s="36"/>
      <c r="R879" s="36"/>
      <c r="S879" s="36"/>
      <c r="T879" s="36"/>
    </row>
    <row r="880" spans="1:20" ht="15.75">
      <c r="A880" s="13">
        <v>68302</v>
      </c>
      <c r="B880" s="44">
        <f t="shared" si="4"/>
        <v>31</v>
      </c>
      <c r="C880" s="35">
        <v>122.58</v>
      </c>
      <c r="D880" s="35">
        <v>297.94099999999997</v>
      </c>
      <c r="E880" s="41">
        <v>729.47900000000004</v>
      </c>
      <c r="F880" s="35">
        <v>1150</v>
      </c>
      <c r="G880" s="35">
        <v>100</v>
      </c>
      <c r="H880" s="43">
        <v>600</v>
      </c>
      <c r="I880" s="35">
        <v>695</v>
      </c>
      <c r="J880" s="35">
        <v>50</v>
      </c>
      <c r="K880" s="36"/>
      <c r="L880" s="36"/>
      <c r="M880" s="36"/>
      <c r="N880" s="36"/>
      <c r="O880" s="36"/>
      <c r="P880" s="36"/>
      <c r="Q880" s="36"/>
      <c r="R880" s="36"/>
      <c r="S880" s="36"/>
      <c r="T880" s="36"/>
    </row>
    <row r="881" spans="1:20" ht="15.75">
      <c r="A881" s="13">
        <v>68333</v>
      </c>
      <c r="B881" s="44">
        <f t="shared" si="4"/>
        <v>31</v>
      </c>
      <c r="C881" s="35">
        <v>122.58</v>
      </c>
      <c r="D881" s="35">
        <v>297.94099999999997</v>
      </c>
      <c r="E881" s="41">
        <v>729.47900000000004</v>
      </c>
      <c r="F881" s="35">
        <v>1150</v>
      </c>
      <c r="G881" s="35">
        <v>100</v>
      </c>
      <c r="H881" s="43">
        <v>600</v>
      </c>
      <c r="I881" s="35">
        <v>695</v>
      </c>
      <c r="J881" s="35">
        <v>50</v>
      </c>
      <c r="K881" s="36"/>
      <c r="L881" s="36"/>
      <c r="M881" s="36"/>
      <c r="N881" s="36"/>
      <c r="O881" s="36"/>
      <c r="P881" s="36"/>
      <c r="Q881" s="36"/>
      <c r="R881" s="36"/>
      <c r="S881" s="36"/>
      <c r="T881" s="36"/>
    </row>
    <row r="882" spans="1:20" ht="15.75">
      <c r="A882" s="13">
        <v>68361</v>
      </c>
      <c r="B882" s="44">
        <f t="shared" si="4"/>
        <v>28</v>
      </c>
      <c r="C882" s="35">
        <v>122.58</v>
      </c>
      <c r="D882" s="35">
        <v>297.94099999999997</v>
      </c>
      <c r="E882" s="41">
        <v>729.47900000000004</v>
      </c>
      <c r="F882" s="35">
        <v>1150</v>
      </c>
      <c r="G882" s="35">
        <v>100</v>
      </c>
      <c r="H882" s="43">
        <v>600</v>
      </c>
      <c r="I882" s="35">
        <v>695</v>
      </c>
      <c r="J882" s="35">
        <v>50</v>
      </c>
      <c r="K882" s="36"/>
      <c r="L882" s="36"/>
      <c r="M882" s="36"/>
      <c r="N882" s="36"/>
      <c r="O882" s="36"/>
      <c r="P882" s="36"/>
      <c r="Q882" s="36"/>
      <c r="R882" s="36"/>
      <c r="S882" s="36"/>
      <c r="T882" s="36"/>
    </row>
    <row r="883" spans="1:20" ht="15.75">
      <c r="A883" s="13">
        <v>68392</v>
      </c>
      <c r="B883" s="44">
        <f t="shared" si="4"/>
        <v>31</v>
      </c>
      <c r="C883" s="35">
        <v>122.58</v>
      </c>
      <c r="D883" s="35">
        <v>297.94099999999997</v>
      </c>
      <c r="E883" s="41">
        <v>729.47900000000004</v>
      </c>
      <c r="F883" s="35">
        <v>1150</v>
      </c>
      <c r="G883" s="35">
        <v>100</v>
      </c>
      <c r="H883" s="43">
        <v>600</v>
      </c>
      <c r="I883" s="35">
        <v>695</v>
      </c>
      <c r="J883" s="35">
        <v>50</v>
      </c>
      <c r="K883" s="36"/>
      <c r="L883" s="36"/>
      <c r="M883" s="36"/>
      <c r="N883" s="36"/>
      <c r="O883" s="36"/>
      <c r="P883" s="36"/>
      <c r="Q883" s="36"/>
      <c r="R883" s="36"/>
      <c r="S883" s="36"/>
      <c r="T883" s="36"/>
    </row>
    <row r="884" spans="1:20" ht="15.75">
      <c r="A884" s="13">
        <v>68422</v>
      </c>
      <c r="B884" s="44">
        <f t="shared" si="4"/>
        <v>30</v>
      </c>
      <c r="C884" s="35">
        <v>141.29300000000001</v>
      </c>
      <c r="D884" s="35">
        <v>267.99299999999999</v>
      </c>
      <c r="E884" s="41">
        <v>829.71400000000006</v>
      </c>
      <c r="F884" s="35">
        <v>1239</v>
      </c>
      <c r="G884" s="35">
        <v>100</v>
      </c>
      <c r="H884" s="43">
        <v>600</v>
      </c>
      <c r="I884" s="35">
        <v>695</v>
      </c>
      <c r="J884" s="35">
        <v>50</v>
      </c>
      <c r="K884" s="36"/>
      <c r="L884" s="36"/>
      <c r="M884" s="36"/>
      <c r="N884" s="36"/>
      <c r="O884" s="36"/>
      <c r="P884" s="36"/>
      <c r="Q884" s="36"/>
      <c r="R884" s="36"/>
      <c r="S884" s="36"/>
      <c r="T884" s="36"/>
    </row>
    <row r="885" spans="1:20" ht="15.75">
      <c r="A885" s="13">
        <v>68453</v>
      </c>
      <c r="B885" s="44">
        <f t="shared" si="4"/>
        <v>31</v>
      </c>
      <c r="C885" s="35">
        <v>194.20500000000001</v>
      </c>
      <c r="D885" s="35">
        <v>267.46600000000001</v>
      </c>
      <c r="E885" s="41">
        <v>812.32899999999995</v>
      </c>
      <c r="F885" s="35">
        <v>1274</v>
      </c>
      <c r="G885" s="35">
        <v>75</v>
      </c>
      <c r="H885" s="43">
        <v>600</v>
      </c>
      <c r="I885" s="35">
        <v>695</v>
      </c>
      <c r="J885" s="35">
        <v>50</v>
      </c>
      <c r="K885" s="36"/>
      <c r="L885" s="36"/>
      <c r="M885" s="36"/>
      <c r="N885" s="36"/>
      <c r="O885" s="36"/>
      <c r="P885" s="36"/>
      <c r="Q885" s="36"/>
      <c r="R885" s="36"/>
      <c r="S885" s="36"/>
      <c r="T885" s="36"/>
    </row>
    <row r="886" spans="1:20" ht="15.75">
      <c r="A886" s="13">
        <v>68483</v>
      </c>
      <c r="B886" s="44">
        <f t="shared" si="4"/>
        <v>30</v>
      </c>
      <c r="C886" s="35">
        <v>194.20500000000001</v>
      </c>
      <c r="D886" s="35">
        <v>267.46600000000001</v>
      </c>
      <c r="E886" s="41">
        <v>812.32899999999995</v>
      </c>
      <c r="F886" s="35">
        <v>1274</v>
      </c>
      <c r="G886" s="35">
        <v>50</v>
      </c>
      <c r="H886" s="43">
        <v>600</v>
      </c>
      <c r="I886" s="35">
        <v>695</v>
      </c>
      <c r="J886" s="35">
        <v>50</v>
      </c>
      <c r="K886" s="36"/>
      <c r="L886" s="36"/>
      <c r="M886" s="36"/>
      <c r="N886" s="36"/>
      <c r="O886" s="36"/>
      <c r="P886" s="36"/>
      <c r="Q886" s="36"/>
      <c r="R886" s="36"/>
      <c r="S886" s="36"/>
      <c r="T886" s="36"/>
    </row>
    <row r="887" spans="1:20" ht="15.75">
      <c r="A887" s="13">
        <v>68514</v>
      </c>
      <c r="B887" s="44">
        <f t="shared" si="4"/>
        <v>31</v>
      </c>
      <c r="C887" s="35">
        <v>194.20500000000001</v>
      </c>
      <c r="D887" s="35">
        <v>267.46600000000001</v>
      </c>
      <c r="E887" s="41">
        <v>812.32899999999995</v>
      </c>
      <c r="F887" s="35">
        <v>1274</v>
      </c>
      <c r="G887" s="35">
        <v>50</v>
      </c>
      <c r="H887" s="43">
        <v>600</v>
      </c>
      <c r="I887" s="35">
        <v>695</v>
      </c>
      <c r="J887" s="35">
        <v>0</v>
      </c>
      <c r="K887" s="36"/>
      <c r="L887" s="36"/>
      <c r="M887" s="36"/>
      <c r="N887" s="36"/>
      <c r="O887" s="36"/>
      <c r="P887" s="36"/>
      <c r="Q887" s="36"/>
      <c r="R887" s="36"/>
      <c r="S887" s="36"/>
      <c r="T887" s="36"/>
    </row>
    <row r="888" spans="1:20" ht="15.75">
      <c r="A888" s="13">
        <v>68545</v>
      </c>
      <c r="B888" s="44">
        <f t="shared" si="4"/>
        <v>31</v>
      </c>
      <c r="C888" s="35">
        <v>194.20500000000001</v>
      </c>
      <c r="D888" s="35">
        <v>267.46600000000001</v>
      </c>
      <c r="E888" s="41">
        <v>812.32899999999995</v>
      </c>
      <c r="F888" s="35">
        <v>1274</v>
      </c>
      <c r="G888" s="35">
        <v>50</v>
      </c>
      <c r="H888" s="43">
        <v>600</v>
      </c>
      <c r="I888" s="35">
        <v>695</v>
      </c>
      <c r="J888" s="35">
        <v>0</v>
      </c>
      <c r="K888" s="36"/>
      <c r="L888" s="36"/>
      <c r="M888" s="36"/>
      <c r="N888" s="36"/>
      <c r="O888" s="36"/>
      <c r="P888" s="36"/>
      <c r="Q888" s="36"/>
      <c r="R888" s="36"/>
      <c r="S888" s="36"/>
      <c r="T888" s="36"/>
    </row>
    <row r="889" spans="1:20" ht="15.75">
      <c r="A889" s="13">
        <v>68575</v>
      </c>
      <c r="B889" s="44">
        <f t="shared" si="4"/>
        <v>30</v>
      </c>
      <c r="C889" s="35">
        <v>194.20500000000001</v>
      </c>
      <c r="D889" s="35">
        <v>267.46600000000001</v>
      </c>
      <c r="E889" s="41">
        <v>812.32899999999995</v>
      </c>
      <c r="F889" s="35">
        <v>1274</v>
      </c>
      <c r="G889" s="35">
        <v>50</v>
      </c>
      <c r="H889" s="43">
        <v>600</v>
      </c>
      <c r="I889" s="35">
        <v>695</v>
      </c>
      <c r="J889" s="35">
        <v>0</v>
      </c>
      <c r="K889" s="36"/>
      <c r="L889" s="36"/>
      <c r="M889" s="36"/>
      <c r="N889" s="36"/>
      <c r="O889" s="36"/>
      <c r="P889" s="36"/>
      <c r="Q889" s="36"/>
      <c r="R889" s="36"/>
      <c r="S889" s="36"/>
      <c r="T889" s="36"/>
    </row>
    <row r="890" spans="1:20" ht="15.75">
      <c r="A890" s="13">
        <v>68606</v>
      </c>
      <c r="B890" s="44">
        <f t="shared" si="4"/>
        <v>31</v>
      </c>
      <c r="C890" s="35">
        <v>131.881</v>
      </c>
      <c r="D890" s="35">
        <v>277.16699999999997</v>
      </c>
      <c r="E890" s="41">
        <v>829.952</v>
      </c>
      <c r="F890" s="35">
        <v>1239</v>
      </c>
      <c r="G890" s="35">
        <v>75</v>
      </c>
      <c r="H890" s="43">
        <v>600</v>
      </c>
      <c r="I890" s="35">
        <v>695</v>
      </c>
      <c r="J890" s="35">
        <v>0</v>
      </c>
      <c r="K890" s="36"/>
      <c r="L890" s="36"/>
      <c r="M890" s="36"/>
      <c r="N890" s="36"/>
      <c r="O890" s="36"/>
      <c r="P890" s="36"/>
      <c r="Q890" s="36"/>
      <c r="R890" s="36"/>
      <c r="S890" s="36"/>
      <c r="T890" s="36"/>
    </row>
    <row r="891" spans="1:20" ht="15.75">
      <c r="A891" s="13">
        <v>68636</v>
      </c>
      <c r="B891" s="44">
        <f t="shared" si="4"/>
        <v>30</v>
      </c>
      <c r="C891" s="35">
        <v>122.58</v>
      </c>
      <c r="D891" s="35">
        <v>297.94099999999997</v>
      </c>
      <c r="E891" s="41">
        <v>729.47900000000004</v>
      </c>
      <c r="F891" s="35">
        <v>1150</v>
      </c>
      <c r="G891" s="35">
        <v>100</v>
      </c>
      <c r="H891" s="43">
        <v>600</v>
      </c>
      <c r="I891" s="35">
        <v>695</v>
      </c>
      <c r="J891" s="35">
        <v>50</v>
      </c>
      <c r="K891" s="36"/>
      <c r="L891" s="36"/>
      <c r="M891" s="36"/>
      <c r="N891" s="36"/>
      <c r="O891" s="36"/>
      <c r="P891" s="36"/>
      <c r="Q891" s="36"/>
      <c r="R891" s="36"/>
      <c r="S891" s="36"/>
      <c r="T891" s="36"/>
    </row>
    <row r="892" spans="1:20" ht="15.75">
      <c r="A892" s="13">
        <v>68667</v>
      </c>
      <c r="B892" s="44">
        <f t="shared" si="4"/>
        <v>31</v>
      </c>
      <c r="C892" s="35">
        <v>122.58</v>
      </c>
      <c r="D892" s="35">
        <v>297.94099999999997</v>
      </c>
      <c r="E892" s="41">
        <v>729.47900000000004</v>
      </c>
      <c r="F892" s="35">
        <v>1150</v>
      </c>
      <c r="G892" s="35">
        <v>100</v>
      </c>
      <c r="H892" s="43">
        <v>600</v>
      </c>
      <c r="I892" s="35">
        <v>695</v>
      </c>
      <c r="J892" s="35">
        <v>50</v>
      </c>
      <c r="K892" s="36"/>
      <c r="L892" s="36"/>
      <c r="M892" s="36"/>
      <c r="N892" s="36"/>
      <c r="O892" s="36"/>
      <c r="P892" s="36"/>
      <c r="Q892" s="36"/>
      <c r="R892" s="36"/>
      <c r="S892" s="36"/>
      <c r="T892" s="36"/>
    </row>
    <row r="893" spans="1:20" ht="15.75">
      <c r="A893" s="13">
        <v>68698</v>
      </c>
      <c r="B893" s="44">
        <f t="shared" si="4"/>
        <v>31</v>
      </c>
      <c r="C893" s="35">
        <v>122.58</v>
      </c>
      <c r="D893" s="35">
        <v>297.94099999999997</v>
      </c>
      <c r="E893" s="41">
        <v>729.47900000000004</v>
      </c>
      <c r="F893" s="35">
        <v>1150</v>
      </c>
      <c r="G893" s="35">
        <v>100</v>
      </c>
      <c r="H893" s="43">
        <v>600</v>
      </c>
      <c r="I893" s="35">
        <v>695</v>
      </c>
      <c r="J893" s="35">
        <v>50</v>
      </c>
      <c r="K893" s="36"/>
      <c r="L893" s="36"/>
      <c r="M893" s="36"/>
      <c r="N893" s="36"/>
      <c r="O893" s="36"/>
      <c r="P893" s="36"/>
      <c r="Q893" s="36"/>
      <c r="R893" s="36"/>
      <c r="S893" s="36"/>
      <c r="T893" s="36"/>
    </row>
    <row r="894" spans="1:20" ht="15.75">
      <c r="A894" s="13">
        <v>68727</v>
      </c>
      <c r="B894" s="44">
        <f t="shared" si="4"/>
        <v>29</v>
      </c>
      <c r="C894" s="35">
        <v>122.58</v>
      </c>
      <c r="D894" s="35">
        <v>297.94099999999997</v>
      </c>
      <c r="E894" s="41">
        <v>729.47900000000004</v>
      </c>
      <c r="F894" s="35">
        <v>1150</v>
      </c>
      <c r="G894" s="35">
        <v>100</v>
      </c>
      <c r="H894" s="43">
        <v>600</v>
      </c>
      <c r="I894" s="35">
        <v>695</v>
      </c>
      <c r="J894" s="35">
        <v>50</v>
      </c>
      <c r="K894" s="36"/>
      <c r="L894" s="36"/>
      <c r="M894" s="36"/>
      <c r="N894" s="36"/>
      <c r="O894" s="36"/>
      <c r="P894" s="36"/>
      <c r="Q894" s="36"/>
      <c r="R894" s="36"/>
      <c r="S894" s="36"/>
      <c r="T894" s="36"/>
    </row>
    <row r="895" spans="1:20" ht="15.75">
      <c r="A895" s="13">
        <v>68758</v>
      </c>
      <c r="B895" s="44">
        <f t="shared" si="4"/>
        <v>31</v>
      </c>
      <c r="C895" s="35">
        <v>122.58</v>
      </c>
      <c r="D895" s="35">
        <v>297.94099999999997</v>
      </c>
      <c r="E895" s="41">
        <v>729.47900000000004</v>
      </c>
      <c r="F895" s="35">
        <v>1150</v>
      </c>
      <c r="G895" s="35">
        <v>100</v>
      </c>
      <c r="H895" s="43">
        <v>600</v>
      </c>
      <c r="I895" s="35">
        <v>695</v>
      </c>
      <c r="J895" s="35">
        <v>50</v>
      </c>
      <c r="K895" s="36"/>
      <c r="L895" s="36"/>
      <c r="M895" s="36"/>
      <c r="N895" s="36"/>
      <c r="O895" s="36"/>
      <c r="P895" s="36"/>
      <c r="Q895" s="36"/>
      <c r="R895" s="36"/>
      <c r="S895" s="36"/>
      <c r="T895" s="36"/>
    </row>
    <row r="896" spans="1:20" ht="15.75">
      <c r="A896" s="13">
        <v>68788</v>
      </c>
      <c r="B896" s="44">
        <f t="shared" si="4"/>
        <v>30</v>
      </c>
      <c r="C896" s="35">
        <v>141.29300000000001</v>
      </c>
      <c r="D896" s="35">
        <v>267.99299999999999</v>
      </c>
      <c r="E896" s="41">
        <v>829.71400000000006</v>
      </c>
      <c r="F896" s="35">
        <v>1239</v>
      </c>
      <c r="G896" s="35">
        <v>100</v>
      </c>
      <c r="H896" s="43">
        <v>600</v>
      </c>
      <c r="I896" s="35">
        <v>695</v>
      </c>
      <c r="J896" s="35">
        <v>50</v>
      </c>
      <c r="K896" s="36"/>
      <c r="L896" s="36"/>
      <c r="M896" s="36"/>
      <c r="N896" s="36"/>
      <c r="O896" s="36"/>
      <c r="P896" s="36"/>
      <c r="Q896" s="36"/>
      <c r="R896" s="36"/>
      <c r="S896" s="36"/>
      <c r="T896" s="36"/>
    </row>
    <row r="897" spans="1:20" ht="15.75">
      <c r="A897" s="13">
        <v>68819</v>
      </c>
      <c r="B897" s="44">
        <f t="shared" si="4"/>
        <v>31</v>
      </c>
      <c r="C897" s="35">
        <v>194.20500000000001</v>
      </c>
      <c r="D897" s="35">
        <v>267.46600000000001</v>
      </c>
      <c r="E897" s="41">
        <v>812.32899999999995</v>
      </c>
      <c r="F897" s="35">
        <v>1274</v>
      </c>
      <c r="G897" s="35">
        <v>75</v>
      </c>
      <c r="H897" s="43">
        <v>600</v>
      </c>
      <c r="I897" s="35">
        <v>695</v>
      </c>
      <c r="J897" s="35">
        <v>50</v>
      </c>
      <c r="K897" s="36"/>
      <c r="L897" s="36"/>
      <c r="M897" s="36"/>
      <c r="N897" s="36"/>
      <c r="O897" s="36"/>
      <c r="P897" s="36"/>
      <c r="Q897" s="36"/>
      <c r="R897" s="36"/>
      <c r="S897" s="36"/>
      <c r="T897" s="36"/>
    </row>
    <row r="898" spans="1:20" ht="15.75">
      <c r="A898" s="13">
        <v>68849</v>
      </c>
      <c r="B898" s="44">
        <f t="shared" si="4"/>
        <v>30</v>
      </c>
      <c r="C898" s="35">
        <v>194.20500000000001</v>
      </c>
      <c r="D898" s="35">
        <v>267.46600000000001</v>
      </c>
      <c r="E898" s="41">
        <v>812.32899999999995</v>
      </c>
      <c r="F898" s="35">
        <v>1274</v>
      </c>
      <c r="G898" s="35">
        <v>50</v>
      </c>
      <c r="H898" s="43">
        <v>600</v>
      </c>
      <c r="I898" s="35">
        <v>695</v>
      </c>
      <c r="J898" s="35">
        <v>50</v>
      </c>
      <c r="K898" s="36"/>
      <c r="L898" s="36"/>
      <c r="M898" s="36"/>
      <c r="N898" s="36"/>
      <c r="O898" s="36"/>
      <c r="P898" s="36"/>
      <c r="Q898" s="36"/>
      <c r="R898" s="36"/>
      <c r="S898" s="36"/>
      <c r="T898" s="36"/>
    </row>
    <row r="899" spans="1:20" ht="15.75">
      <c r="A899" s="13">
        <v>68880</v>
      </c>
      <c r="B899" s="44">
        <f t="shared" si="4"/>
        <v>31</v>
      </c>
      <c r="C899" s="35">
        <v>194.20500000000001</v>
      </c>
      <c r="D899" s="35">
        <v>267.46600000000001</v>
      </c>
      <c r="E899" s="41">
        <v>812.32899999999995</v>
      </c>
      <c r="F899" s="35">
        <v>1274</v>
      </c>
      <c r="G899" s="35">
        <v>50</v>
      </c>
      <c r="H899" s="43">
        <v>600</v>
      </c>
      <c r="I899" s="35">
        <v>695</v>
      </c>
      <c r="J899" s="35">
        <v>0</v>
      </c>
      <c r="K899" s="36"/>
      <c r="L899" s="36"/>
      <c r="M899" s="36"/>
      <c r="N899" s="36"/>
      <c r="O899" s="36"/>
      <c r="P899" s="36"/>
      <c r="Q899" s="36"/>
      <c r="R899" s="36"/>
      <c r="S899" s="36"/>
      <c r="T899" s="36"/>
    </row>
    <row r="900" spans="1:20" ht="15.75">
      <c r="A900" s="13">
        <v>68911</v>
      </c>
      <c r="B900" s="44">
        <f t="shared" si="4"/>
        <v>31</v>
      </c>
      <c r="C900" s="35">
        <v>194.20500000000001</v>
      </c>
      <c r="D900" s="35">
        <v>267.46600000000001</v>
      </c>
      <c r="E900" s="41">
        <v>812.32899999999995</v>
      </c>
      <c r="F900" s="35">
        <v>1274</v>
      </c>
      <c r="G900" s="35">
        <v>50</v>
      </c>
      <c r="H900" s="43">
        <v>600</v>
      </c>
      <c r="I900" s="35">
        <v>695</v>
      </c>
      <c r="J900" s="35">
        <v>0</v>
      </c>
      <c r="K900" s="36"/>
      <c r="L900" s="36"/>
      <c r="M900" s="36"/>
      <c r="N900" s="36"/>
      <c r="O900" s="36"/>
      <c r="P900" s="36"/>
      <c r="Q900" s="36"/>
      <c r="R900" s="36"/>
      <c r="S900" s="36"/>
      <c r="T900" s="36"/>
    </row>
    <row r="901" spans="1:20" ht="15.75">
      <c r="A901" s="13">
        <v>68941</v>
      </c>
      <c r="B901" s="44">
        <f t="shared" ref="B901:B964" si="5">EOMONTH(A901,0)-EOMONTH(A901,-1)</f>
        <v>30</v>
      </c>
      <c r="C901" s="35">
        <v>194.20500000000001</v>
      </c>
      <c r="D901" s="35">
        <v>267.46600000000001</v>
      </c>
      <c r="E901" s="41">
        <v>812.32899999999995</v>
      </c>
      <c r="F901" s="35">
        <v>1274</v>
      </c>
      <c r="G901" s="35">
        <v>50</v>
      </c>
      <c r="H901" s="43">
        <v>600</v>
      </c>
      <c r="I901" s="35">
        <v>695</v>
      </c>
      <c r="J901" s="35">
        <v>0</v>
      </c>
      <c r="K901" s="36"/>
      <c r="L901" s="36"/>
      <c r="M901" s="36"/>
      <c r="N901" s="36"/>
      <c r="O901" s="36"/>
      <c r="P901" s="36"/>
      <c r="Q901" s="36"/>
      <c r="R901" s="36"/>
      <c r="S901" s="36"/>
      <c r="T901" s="36"/>
    </row>
    <row r="902" spans="1:20" ht="15.75">
      <c r="A902" s="13">
        <v>68972</v>
      </c>
      <c r="B902" s="44">
        <f t="shared" si="5"/>
        <v>31</v>
      </c>
      <c r="C902" s="35">
        <v>131.881</v>
      </c>
      <c r="D902" s="35">
        <v>277.16699999999997</v>
      </c>
      <c r="E902" s="41">
        <v>829.952</v>
      </c>
      <c r="F902" s="35">
        <v>1239</v>
      </c>
      <c r="G902" s="35">
        <v>75</v>
      </c>
      <c r="H902" s="43">
        <v>600</v>
      </c>
      <c r="I902" s="35">
        <v>695</v>
      </c>
      <c r="J902" s="35">
        <v>0</v>
      </c>
      <c r="K902" s="36"/>
      <c r="L902" s="36"/>
      <c r="M902" s="36"/>
      <c r="N902" s="36"/>
      <c r="O902" s="36"/>
      <c r="P902" s="36"/>
      <c r="Q902" s="36"/>
      <c r="R902" s="36"/>
      <c r="S902" s="36"/>
      <c r="T902" s="36"/>
    </row>
    <row r="903" spans="1:20" ht="15.75">
      <c r="A903" s="13">
        <v>69002</v>
      </c>
      <c r="B903" s="44">
        <f t="shared" si="5"/>
        <v>30</v>
      </c>
      <c r="C903" s="35">
        <v>122.58</v>
      </c>
      <c r="D903" s="35">
        <v>297.94099999999997</v>
      </c>
      <c r="E903" s="41">
        <v>729.47900000000004</v>
      </c>
      <c r="F903" s="35">
        <v>1150</v>
      </c>
      <c r="G903" s="35">
        <v>100</v>
      </c>
      <c r="H903" s="43">
        <v>600</v>
      </c>
      <c r="I903" s="35">
        <v>695</v>
      </c>
      <c r="J903" s="35">
        <v>50</v>
      </c>
      <c r="K903" s="36"/>
      <c r="L903" s="36"/>
      <c r="M903" s="36"/>
      <c r="N903" s="36"/>
      <c r="O903" s="36"/>
      <c r="P903" s="36"/>
      <c r="Q903" s="36"/>
      <c r="R903" s="36"/>
      <c r="S903" s="36"/>
      <c r="T903" s="36"/>
    </row>
    <row r="904" spans="1:20" ht="15.75">
      <c r="A904" s="13">
        <v>69033</v>
      </c>
      <c r="B904" s="44">
        <f t="shared" si="5"/>
        <v>31</v>
      </c>
      <c r="C904" s="35">
        <v>122.58</v>
      </c>
      <c r="D904" s="35">
        <v>297.94099999999997</v>
      </c>
      <c r="E904" s="41">
        <v>729.47900000000004</v>
      </c>
      <c r="F904" s="35">
        <v>1150</v>
      </c>
      <c r="G904" s="35">
        <v>100</v>
      </c>
      <c r="H904" s="43">
        <v>600</v>
      </c>
      <c r="I904" s="35">
        <v>695</v>
      </c>
      <c r="J904" s="35">
        <v>50</v>
      </c>
      <c r="K904" s="36"/>
      <c r="L904" s="36"/>
      <c r="M904" s="36"/>
      <c r="N904" s="36"/>
      <c r="O904" s="36"/>
      <c r="P904" s="36"/>
      <c r="Q904" s="36"/>
      <c r="R904" s="36"/>
      <c r="S904" s="36"/>
      <c r="T904" s="36"/>
    </row>
    <row r="905" spans="1:20" ht="15.75">
      <c r="A905" s="13">
        <v>69064</v>
      </c>
      <c r="B905" s="44">
        <f t="shared" si="5"/>
        <v>31</v>
      </c>
      <c r="C905" s="35">
        <v>122.58</v>
      </c>
      <c r="D905" s="35">
        <v>297.94099999999997</v>
      </c>
      <c r="E905" s="41">
        <v>729.47900000000004</v>
      </c>
      <c r="F905" s="35">
        <v>1150</v>
      </c>
      <c r="G905" s="35">
        <v>100</v>
      </c>
      <c r="H905" s="43">
        <v>600</v>
      </c>
      <c r="I905" s="35">
        <v>695</v>
      </c>
      <c r="J905" s="35">
        <v>50</v>
      </c>
      <c r="K905" s="36"/>
      <c r="L905" s="36"/>
      <c r="M905" s="36"/>
      <c r="N905" s="36"/>
      <c r="O905" s="36"/>
      <c r="P905" s="36"/>
      <c r="Q905" s="36"/>
      <c r="R905" s="36"/>
      <c r="S905" s="36"/>
      <c r="T905" s="36"/>
    </row>
    <row r="906" spans="1:20" ht="15.75">
      <c r="A906" s="13">
        <v>69092</v>
      </c>
      <c r="B906" s="44">
        <f t="shared" si="5"/>
        <v>28</v>
      </c>
      <c r="C906" s="35">
        <v>122.58</v>
      </c>
      <c r="D906" s="35">
        <v>297.94099999999997</v>
      </c>
      <c r="E906" s="41">
        <v>729.47900000000004</v>
      </c>
      <c r="F906" s="35">
        <v>1150</v>
      </c>
      <c r="G906" s="35">
        <v>100</v>
      </c>
      <c r="H906" s="43">
        <v>600</v>
      </c>
      <c r="I906" s="35">
        <v>695</v>
      </c>
      <c r="J906" s="35">
        <v>50</v>
      </c>
      <c r="K906" s="36"/>
      <c r="L906" s="36"/>
      <c r="M906" s="36"/>
      <c r="N906" s="36"/>
      <c r="O906" s="36"/>
      <c r="P906" s="36"/>
      <c r="Q906" s="36"/>
      <c r="R906" s="36"/>
      <c r="S906" s="36"/>
      <c r="T906" s="36"/>
    </row>
    <row r="907" spans="1:20" ht="15.75">
      <c r="A907" s="13">
        <v>69123</v>
      </c>
      <c r="B907" s="44">
        <f t="shared" si="5"/>
        <v>31</v>
      </c>
      <c r="C907" s="35">
        <v>122.58</v>
      </c>
      <c r="D907" s="35">
        <v>297.94099999999997</v>
      </c>
      <c r="E907" s="41">
        <v>729.47900000000004</v>
      </c>
      <c r="F907" s="35">
        <v>1150</v>
      </c>
      <c r="G907" s="35">
        <v>100</v>
      </c>
      <c r="H907" s="43">
        <v>600</v>
      </c>
      <c r="I907" s="35">
        <v>695</v>
      </c>
      <c r="J907" s="35">
        <v>50</v>
      </c>
      <c r="K907" s="36"/>
      <c r="L907" s="36"/>
      <c r="M907" s="36"/>
      <c r="N907" s="36"/>
      <c r="O907" s="36"/>
      <c r="P907" s="36"/>
      <c r="Q907" s="36"/>
      <c r="R907" s="36"/>
      <c r="S907" s="36"/>
      <c r="T907" s="36"/>
    </row>
    <row r="908" spans="1:20" ht="15.75">
      <c r="A908" s="13">
        <v>69153</v>
      </c>
      <c r="B908" s="44">
        <f t="shared" si="5"/>
        <v>30</v>
      </c>
      <c r="C908" s="35">
        <v>141.29300000000001</v>
      </c>
      <c r="D908" s="35">
        <v>267.99299999999999</v>
      </c>
      <c r="E908" s="41">
        <v>829.71400000000006</v>
      </c>
      <c r="F908" s="35">
        <v>1239</v>
      </c>
      <c r="G908" s="35">
        <v>100</v>
      </c>
      <c r="H908" s="43">
        <v>600</v>
      </c>
      <c r="I908" s="35">
        <v>695</v>
      </c>
      <c r="J908" s="35">
        <v>50</v>
      </c>
      <c r="K908" s="36"/>
      <c r="L908" s="36"/>
      <c r="M908" s="36"/>
      <c r="N908" s="36"/>
      <c r="O908" s="36"/>
      <c r="P908" s="36"/>
      <c r="Q908" s="36"/>
      <c r="R908" s="36"/>
      <c r="S908" s="36"/>
      <c r="T908" s="36"/>
    </row>
    <row r="909" spans="1:20" ht="15.75">
      <c r="A909" s="13">
        <v>69184</v>
      </c>
      <c r="B909" s="44">
        <f t="shared" si="5"/>
        <v>31</v>
      </c>
      <c r="C909" s="35">
        <v>194.20500000000001</v>
      </c>
      <c r="D909" s="35">
        <v>267.46600000000001</v>
      </c>
      <c r="E909" s="41">
        <v>812.32899999999995</v>
      </c>
      <c r="F909" s="35">
        <v>1274</v>
      </c>
      <c r="G909" s="35">
        <v>75</v>
      </c>
      <c r="H909" s="43">
        <v>600</v>
      </c>
      <c r="I909" s="35">
        <v>695</v>
      </c>
      <c r="J909" s="35">
        <v>50</v>
      </c>
      <c r="K909" s="36"/>
      <c r="L909" s="36"/>
      <c r="M909" s="36"/>
      <c r="N909" s="36"/>
      <c r="O909" s="36"/>
      <c r="P909" s="36"/>
      <c r="Q909" s="36"/>
      <c r="R909" s="36"/>
      <c r="S909" s="36"/>
      <c r="T909" s="36"/>
    </row>
    <row r="910" spans="1:20" ht="15.75">
      <c r="A910" s="13">
        <v>69214</v>
      </c>
      <c r="B910" s="44">
        <f t="shared" si="5"/>
        <v>30</v>
      </c>
      <c r="C910" s="35">
        <v>194.20500000000001</v>
      </c>
      <c r="D910" s="35">
        <v>267.46600000000001</v>
      </c>
      <c r="E910" s="41">
        <v>812.32899999999995</v>
      </c>
      <c r="F910" s="35">
        <v>1274</v>
      </c>
      <c r="G910" s="35">
        <v>50</v>
      </c>
      <c r="H910" s="43">
        <v>600</v>
      </c>
      <c r="I910" s="35">
        <v>695</v>
      </c>
      <c r="J910" s="35">
        <v>50</v>
      </c>
      <c r="K910" s="36"/>
      <c r="L910" s="36"/>
      <c r="M910" s="36"/>
      <c r="N910" s="36"/>
      <c r="O910" s="36"/>
      <c r="P910" s="36"/>
      <c r="Q910" s="36"/>
      <c r="R910" s="36"/>
      <c r="S910" s="36"/>
      <c r="T910" s="36"/>
    </row>
    <row r="911" spans="1:20" ht="15.75">
      <c r="A911" s="13">
        <v>69245</v>
      </c>
      <c r="B911" s="44">
        <f t="shared" si="5"/>
        <v>31</v>
      </c>
      <c r="C911" s="35">
        <v>194.20500000000001</v>
      </c>
      <c r="D911" s="35">
        <v>267.46600000000001</v>
      </c>
      <c r="E911" s="41">
        <v>812.32899999999995</v>
      </c>
      <c r="F911" s="35">
        <v>1274</v>
      </c>
      <c r="G911" s="35">
        <v>50</v>
      </c>
      <c r="H911" s="43">
        <v>600</v>
      </c>
      <c r="I911" s="35">
        <v>695</v>
      </c>
      <c r="J911" s="35">
        <v>0</v>
      </c>
      <c r="K911" s="36"/>
      <c r="L911" s="36"/>
      <c r="M911" s="36"/>
      <c r="N911" s="36"/>
      <c r="O911" s="36"/>
      <c r="P911" s="36"/>
      <c r="Q911" s="36"/>
      <c r="R911" s="36"/>
      <c r="S911" s="36"/>
      <c r="T911" s="36"/>
    </row>
    <row r="912" spans="1:20" ht="15.75">
      <c r="A912" s="13">
        <v>69276</v>
      </c>
      <c r="B912" s="44">
        <f t="shared" si="5"/>
        <v>31</v>
      </c>
      <c r="C912" s="35">
        <v>194.20500000000001</v>
      </c>
      <c r="D912" s="35">
        <v>267.46600000000001</v>
      </c>
      <c r="E912" s="41">
        <v>812.32899999999995</v>
      </c>
      <c r="F912" s="35">
        <v>1274</v>
      </c>
      <c r="G912" s="35">
        <v>50</v>
      </c>
      <c r="H912" s="43">
        <v>600</v>
      </c>
      <c r="I912" s="35">
        <v>695</v>
      </c>
      <c r="J912" s="35">
        <v>0</v>
      </c>
      <c r="K912" s="36"/>
      <c r="L912" s="36"/>
      <c r="M912" s="36"/>
      <c r="N912" s="36"/>
      <c r="O912" s="36"/>
      <c r="P912" s="36"/>
      <c r="Q912" s="36"/>
      <c r="R912" s="36"/>
      <c r="S912" s="36"/>
      <c r="T912" s="36"/>
    </row>
    <row r="913" spans="1:20" ht="15.75">
      <c r="A913" s="13">
        <v>69306</v>
      </c>
      <c r="B913" s="44">
        <f t="shared" si="5"/>
        <v>30</v>
      </c>
      <c r="C913" s="35">
        <v>194.20500000000001</v>
      </c>
      <c r="D913" s="35">
        <v>267.46600000000001</v>
      </c>
      <c r="E913" s="41">
        <v>812.32899999999995</v>
      </c>
      <c r="F913" s="35">
        <v>1274</v>
      </c>
      <c r="G913" s="35">
        <v>50</v>
      </c>
      <c r="H913" s="43">
        <v>600</v>
      </c>
      <c r="I913" s="35">
        <v>695</v>
      </c>
      <c r="J913" s="35">
        <v>0</v>
      </c>
      <c r="K913" s="36"/>
      <c r="L913" s="36"/>
      <c r="M913" s="36"/>
      <c r="N913" s="36"/>
      <c r="O913" s="36"/>
      <c r="P913" s="36"/>
      <c r="Q913" s="36"/>
      <c r="R913" s="36"/>
      <c r="S913" s="36"/>
      <c r="T913" s="36"/>
    </row>
    <row r="914" spans="1:20" ht="15.75">
      <c r="A914" s="13">
        <v>69337</v>
      </c>
      <c r="B914" s="44">
        <f t="shared" si="5"/>
        <v>31</v>
      </c>
      <c r="C914" s="35">
        <v>131.881</v>
      </c>
      <c r="D914" s="35">
        <v>277.16699999999997</v>
      </c>
      <c r="E914" s="41">
        <v>829.952</v>
      </c>
      <c r="F914" s="35">
        <v>1239</v>
      </c>
      <c r="G914" s="35">
        <v>75</v>
      </c>
      <c r="H914" s="43">
        <v>600</v>
      </c>
      <c r="I914" s="35">
        <v>695</v>
      </c>
      <c r="J914" s="35">
        <v>0</v>
      </c>
      <c r="K914" s="36"/>
      <c r="L914" s="36"/>
      <c r="M914" s="36"/>
      <c r="N914" s="36"/>
      <c r="O914" s="36"/>
      <c r="P914" s="36"/>
      <c r="Q914" s="36"/>
      <c r="R914" s="36"/>
      <c r="S914" s="36"/>
      <c r="T914" s="36"/>
    </row>
    <row r="915" spans="1:20" ht="15.75">
      <c r="A915" s="13">
        <v>69367</v>
      </c>
      <c r="B915" s="44">
        <f t="shared" si="5"/>
        <v>30</v>
      </c>
      <c r="C915" s="35">
        <v>122.58</v>
      </c>
      <c r="D915" s="35">
        <v>297.94099999999997</v>
      </c>
      <c r="E915" s="41">
        <v>729.47900000000004</v>
      </c>
      <c r="F915" s="35">
        <v>1150</v>
      </c>
      <c r="G915" s="35">
        <v>100</v>
      </c>
      <c r="H915" s="43">
        <v>600</v>
      </c>
      <c r="I915" s="35">
        <v>695</v>
      </c>
      <c r="J915" s="35">
        <v>50</v>
      </c>
      <c r="K915" s="36"/>
      <c r="L915" s="36"/>
      <c r="M915" s="36"/>
      <c r="N915" s="36"/>
      <c r="O915" s="36"/>
      <c r="P915" s="36"/>
      <c r="Q915" s="36"/>
      <c r="R915" s="36"/>
      <c r="S915" s="36"/>
      <c r="T915" s="36"/>
    </row>
    <row r="916" spans="1:20" ht="15.75">
      <c r="A916" s="13">
        <v>69398</v>
      </c>
      <c r="B916" s="44">
        <f t="shared" si="5"/>
        <v>31</v>
      </c>
      <c r="C916" s="35">
        <v>122.58</v>
      </c>
      <c r="D916" s="35">
        <v>297.94099999999997</v>
      </c>
      <c r="E916" s="41">
        <v>729.47900000000004</v>
      </c>
      <c r="F916" s="35">
        <v>1150</v>
      </c>
      <c r="G916" s="35">
        <v>100</v>
      </c>
      <c r="H916" s="43">
        <v>600</v>
      </c>
      <c r="I916" s="35">
        <v>695</v>
      </c>
      <c r="J916" s="35">
        <v>50</v>
      </c>
      <c r="K916" s="36"/>
      <c r="L916" s="36"/>
      <c r="M916" s="36"/>
      <c r="N916" s="36"/>
      <c r="O916" s="36"/>
      <c r="P916" s="36"/>
      <c r="Q916" s="36"/>
      <c r="R916" s="36"/>
      <c r="S916" s="36"/>
      <c r="T916" s="36"/>
    </row>
    <row r="917" spans="1:20" ht="15.75">
      <c r="A917" s="13">
        <v>69429</v>
      </c>
      <c r="B917" s="44">
        <f t="shared" si="5"/>
        <v>31</v>
      </c>
      <c r="C917" s="35">
        <v>122.58</v>
      </c>
      <c r="D917" s="35">
        <v>297.94099999999997</v>
      </c>
      <c r="E917" s="41">
        <v>729.47900000000004</v>
      </c>
      <c r="F917" s="35">
        <v>1150</v>
      </c>
      <c r="G917" s="35">
        <v>100</v>
      </c>
      <c r="H917" s="43">
        <v>600</v>
      </c>
      <c r="I917" s="35">
        <v>695</v>
      </c>
      <c r="J917" s="35">
        <v>50</v>
      </c>
      <c r="K917" s="36"/>
      <c r="L917" s="36"/>
      <c r="M917" s="36"/>
      <c r="N917" s="36"/>
      <c r="O917" s="36"/>
      <c r="P917" s="36"/>
      <c r="Q917" s="36"/>
      <c r="R917" s="36"/>
      <c r="S917" s="36"/>
      <c r="T917" s="36"/>
    </row>
    <row r="918" spans="1:20" ht="15.75">
      <c r="A918" s="13">
        <v>69457</v>
      </c>
      <c r="B918" s="44">
        <f t="shared" si="5"/>
        <v>28</v>
      </c>
      <c r="C918" s="35">
        <v>122.58</v>
      </c>
      <c r="D918" s="35">
        <v>297.94099999999997</v>
      </c>
      <c r="E918" s="41">
        <v>729.47900000000004</v>
      </c>
      <c r="F918" s="35">
        <v>1150</v>
      </c>
      <c r="G918" s="35">
        <v>100</v>
      </c>
      <c r="H918" s="43">
        <v>600</v>
      </c>
      <c r="I918" s="35">
        <v>695</v>
      </c>
      <c r="J918" s="35">
        <v>50</v>
      </c>
      <c r="K918" s="36"/>
      <c r="L918" s="36"/>
      <c r="M918" s="36"/>
      <c r="N918" s="36"/>
      <c r="O918" s="36"/>
      <c r="P918" s="36"/>
      <c r="Q918" s="36"/>
      <c r="R918" s="36"/>
      <c r="S918" s="36"/>
      <c r="T918" s="36"/>
    </row>
    <row r="919" spans="1:20" ht="15.75">
      <c r="A919" s="13">
        <v>69488</v>
      </c>
      <c r="B919" s="44">
        <f t="shared" si="5"/>
        <v>31</v>
      </c>
      <c r="C919" s="35">
        <v>122.58</v>
      </c>
      <c r="D919" s="35">
        <v>297.94099999999997</v>
      </c>
      <c r="E919" s="41">
        <v>729.47900000000004</v>
      </c>
      <c r="F919" s="35">
        <v>1150</v>
      </c>
      <c r="G919" s="35">
        <v>100</v>
      </c>
      <c r="H919" s="43">
        <v>600</v>
      </c>
      <c r="I919" s="35">
        <v>695</v>
      </c>
      <c r="J919" s="35">
        <v>50</v>
      </c>
      <c r="K919" s="36"/>
      <c r="L919" s="36"/>
      <c r="M919" s="36"/>
      <c r="N919" s="36"/>
      <c r="O919" s="36"/>
      <c r="P919" s="36"/>
      <c r="Q919" s="36"/>
      <c r="R919" s="36"/>
      <c r="S919" s="36"/>
      <c r="T919" s="36"/>
    </row>
    <row r="920" spans="1:20" ht="15.75">
      <c r="A920" s="13">
        <v>69518</v>
      </c>
      <c r="B920" s="44">
        <f t="shared" si="5"/>
        <v>30</v>
      </c>
      <c r="C920" s="35">
        <v>141.29300000000001</v>
      </c>
      <c r="D920" s="35">
        <v>267.99299999999999</v>
      </c>
      <c r="E920" s="41">
        <v>829.71400000000006</v>
      </c>
      <c r="F920" s="35">
        <v>1239</v>
      </c>
      <c r="G920" s="35">
        <v>100</v>
      </c>
      <c r="H920" s="43">
        <v>600</v>
      </c>
      <c r="I920" s="35">
        <v>695</v>
      </c>
      <c r="J920" s="35">
        <v>50</v>
      </c>
      <c r="K920" s="36"/>
      <c r="L920" s="36"/>
      <c r="M920" s="36"/>
      <c r="N920" s="36"/>
      <c r="O920" s="36"/>
      <c r="P920" s="36"/>
      <c r="Q920" s="36"/>
      <c r="R920" s="36"/>
      <c r="S920" s="36"/>
      <c r="T920" s="36"/>
    </row>
    <row r="921" spans="1:20" ht="15.75">
      <c r="A921" s="13">
        <v>69549</v>
      </c>
      <c r="B921" s="44">
        <f t="shared" si="5"/>
        <v>31</v>
      </c>
      <c r="C921" s="35">
        <v>194.20500000000001</v>
      </c>
      <c r="D921" s="35">
        <v>267.46600000000001</v>
      </c>
      <c r="E921" s="41">
        <v>812.32899999999995</v>
      </c>
      <c r="F921" s="35">
        <v>1274</v>
      </c>
      <c r="G921" s="35">
        <v>75</v>
      </c>
      <c r="H921" s="43">
        <v>600</v>
      </c>
      <c r="I921" s="35">
        <v>695</v>
      </c>
      <c r="J921" s="35">
        <v>50</v>
      </c>
      <c r="K921" s="36"/>
      <c r="L921" s="36"/>
      <c r="M921" s="36"/>
      <c r="N921" s="36"/>
      <c r="O921" s="36"/>
      <c r="P921" s="36"/>
      <c r="Q921" s="36"/>
      <c r="R921" s="36"/>
      <c r="S921" s="36"/>
      <c r="T921" s="36"/>
    </row>
    <row r="922" spans="1:20" ht="15.75">
      <c r="A922" s="13">
        <v>69579</v>
      </c>
      <c r="B922" s="44">
        <f t="shared" si="5"/>
        <v>30</v>
      </c>
      <c r="C922" s="35">
        <v>194.20500000000001</v>
      </c>
      <c r="D922" s="35">
        <v>267.46600000000001</v>
      </c>
      <c r="E922" s="41">
        <v>812.32899999999995</v>
      </c>
      <c r="F922" s="35">
        <v>1274</v>
      </c>
      <c r="G922" s="35">
        <v>50</v>
      </c>
      <c r="H922" s="43">
        <v>600</v>
      </c>
      <c r="I922" s="35">
        <v>695</v>
      </c>
      <c r="J922" s="35">
        <v>50</v>
      </c>
      <c r="K922" s="36"/>
      <c r="L922" s="36"/>
      <c r="M922" s="36"/>
      <c r="N922" s="36"/>
      <c r="O922" s="36"/>
      <c r="P922" s="36"/>
      <c r="Q922" s="36"/>
      <c r="R922" s="36"/>
      <c r="S922" s="36"/>
      <c r="T922" s="36"/>
    </row>
    <row r="923" spans="1:20" ht="15.75">
      <c r="A923" s="13">
        <v>69610</v>
      </c>
      <c r="B923" s="44">
        <f t="shared" si="5"/>
        <v>31</v>
      </c>
      <c r="C923" s="35">
        <v>194.20500000000001</v>
      </c>
      <c r="D923" s="35">
        <v>267.46600000000001</v>
      </c>
      <c r="E923" s="41">
        <v>812.32899999999995</v>
      </c>
      <c r="F923" s="35">
        <v>1274</v>
      </c>
      <c r="G923" s="35">
        <v>50</v>
      </c>
      <c r="H923" s="43">
        <v>600</v>
      </c>
      <c r="I923" s="35">
        <v>695</v>
      </c>
      <c r="J923" s="35">
        <v>0</v>
      </c>
      <c r="K923" s="36"/>
      <c r="L923" s="36"/>
      <c r="M923" s="36"/>
      <c r="N923" s="36"/>
      <c r="O923" s="36"/>
      <c r="P923" s="36"/>
      <c r="Q923" s="36"/>
      <c r="R923" s="36"/>
      <c r="S923" s="36"/>
      <c r="T923" s="36"/>
    </row>
    <row r="924" spans="1:20" ht="15.75">
      <c r="A924" s="13">
        <v>69641</v>
      </c>
      <c r="B924" s="44">
        <f t="shared" si="5"/>
        <v>31</v>
      </c>
      <c r="C924" s="35">
        <v>194.20500000000001</v>
      </c>
      <c r="D924" s="35">
        <v>267.46600000000001</v>
      </c>
      <c r="E924" s="41">
        <v>812.32899999999995</v>
      </c>
      <c r="F924" s="35">
        <v>1274</v>
      </c>
      <c r="G924" s="35">
        <v>50</v>
      </c>
      <c r="H924" s="43">
        <v>600</v>
      </c>
      <c r="I924" s="35">
        <v>695</v>
      </c>
      <c r="J924" s="35">
        <v>0</v>
      </c>
      <c r="K924" s="36"/>
      <c r="L924" s="36"/>
      <c r="M924" s="36"/>
      <c r="N924" s="36"/>
      <c r="O924" s="36"/>
      <c r="P924" s="36"/>
      <c r="Q924" s="36"/>
      <c r="R924" s="36"/>
      <c r="S924" s="36"/>
      <c r="T924" s="36"/>
    </row>
    <row r="925" spans="1:20" ht="15.75">
      <c r="A925" s="13">
        <v>69671</v>
      </c>
      <c r="B925" s="44">
        <f t="shared" si="5"/>
        <v>30</v>
      </c>
      <c r="C925" s="35">
        <v>194.20500000000001</v>
      </c>
      <c r="D925" s="35">
        <v>267.46600000000001</v>
      </c>
      <c r="E925" s="41">
        <v>812.32899999999995</v>
      </c>
      <c r="F925" s="35">
        <v>1274</v>
      </c>
      <c r="G925" s="35">
        <v>50</v>
      </c>
      <c r="H925" s="43">
        <v>600</v>
      </c>
      <c r="I925" s="35">
        <v>695</v>
      </c>
      <c r="J925" s="35">
        <v>0</v>
      </c>
      <c r="K925" s="36"/>
      <c r="L925" s="36"/>
      <c r="M925" s="36"/>
      <c r="N925" s="36"/>
      <c r="O925" s="36"/>
      <c r="P925" s="36"/>
      <c r="Q925" s="36"/>
      <c r="R925" s="36"/>
      <c r="S925" s="36"/>
      <c r="T925" s="36"/>
    </row>
    <row r="926" spans="1:20" ht="15.75">
      <c r="A926" s="13">
        <v>69702</v>
      </c>
      <c r="B926" s="44">
        <f t="shared" si="5"/>
        <v>31</v>
      </c>
      <c r="C926" s="35">
        <v>131.881</v>
      </c>
      <c r="D926" s="35">
        <v>277.16699999999997</v>
      </c>
      <c r="E926" s="41">
        <v>829.952</v>
      </c>
      <c r="F926" s="35">
        <v>1239</v>
      </c>
      <c r="G926" s="35">
        <v>75</v>
      </c>
      <c r="H926" s="43">
        <v>600</v>
      </c>
      <c r="I926" s="35">
        <v>695</v>
      </c>
      <c r="J926" s="35">
        <v>0</v>
      </c>
      <c r="K926" s="36"/>
      <c r="L926" s="36"/>
      <c r="M926" s="36"/>
      <c r="N926" s="36"/>
      <c r="O926" s="36"/>
      <c r="P926" s="36"/>
      <c r="Q926" s="36"/>
      <c r="R926" s="36"/>
      <c r="S926" s="36"/>
      <c r="T926" s="36"/>
    </row>
    <row r="927" spans="1:20" ht="15.75">
      <c r="A927" s="13">
        <v>69732</v>
      </c>
      <c r="B927" s="44">
        <f t="shared" si="5"/>
        <v>30</v>
      </c>
      <c r="C927" s="35">
        <v>122.58</v>
      </c>
      <c r="D927" s="35">
        <v>297.94099999999997</v>
      </c>
      <c r="E927" s="41">
        <v>729.47900000000004</v>
      </c>
      <c r="F927" s="35">
        <v>1150</v>
      </c>
      <c r="G927" s="35">
        <v>100</v>
      </c>
      <c r="H927" s="43">
        <v>600</v>
      </c>
      <c r="I927" s="35">
        <v>695</v>
      </c>
      <c r="J927" s="35">
        <v>50</v>
      </c>
      <c r="K927" s="36"/>
      <c r="L927" s="36"/>
      <c r="M927" s="36"/>
      <c r="N927" s="36"/>
      <c r="O927" s="36"/>
      <c r="P927" s="36"/>
      <c r="Q927" s="36"/>
      <c r="R927" s="36"/>
      <c r="S927" s="36"/>
      <c r="T927" s="36"/>
    </row>
    <row r="928" spans="1:20" ht="15.75">
      <c r="A928" s="13">
        <v>69763</v>
      </c>
      <c r="B928" s="44">
        <f t="shared" si="5"/>
        <v>31</v>
      </c>
      <c r="C928" s="35">
        <v>122.58</v>
      </c>
      <c r="D928" s="35">
        <v>297.94099999999997</v>
      </c>
      <c r="E928" s="41">
        <v>729.47900000000004</v>
      </c>
      <c r="F928" s="35">
        <v>1150</v>
      </c>
      <c r="G928" s="35">
        <v>100</v>
      </c>
      <c r="H928" s="43">
        <v>600</v>
      </c>
      <c r="I928" s="35">
        <v>695</v>
      </c>
      <c r="J928" s="35">
        <v>50</v>
      </c>
      <c r="K928" s="36"/>
      <c r="L928" s="36"/>
      <c r="M928" s="36"/>
      <c r="N928" s="36"/>
      <c r="O928" s="36"/>
      <c r="P928" s="36"/>
      <c r="Q928" s="36"/>
      <c r="R928" s="36"/>
      <c r="S928" s="36"/>
      <c r="T928" s="36"/>
    </row>
    <row r="929" spans="1:20" ht="15.75">
      <c r="A929" s="13">
        <v>69794</v>
      </c>
      <c r="B929" s="44">
        <f t="shared" si="5"/>
        <v>31</v>
      </c>
      <c r="C929" s="35">
        <v>122.58</v>
      </c>
      <c r="D929" s="35">
        <v>297.94099999999997</v>
      </c>
      <c r="E929" s="41">
        <v>729.47900000000004</v>
      </c>
      <c r="F929" s="35">
        <v>1150</v>
      </c>
      <c r="G929" s="35">
        <v>100</v>
      </c>
      <c r="H929" s="43">
        <v>600</v>
      </c>
      <c r="I929" s="35">
        <v>695</v>
      </c>
      <c r="J929" s="35">
        <v>50</v>
      </c>
      <c r="K929" s="36"/>
      <c r="L929" s="36"/>
      <c r="M929" s="36"/>
      <c r="N929" s="36"/>
      <c r="O929" s="36"/>
      <c r="P929" s="36"/>
      <c r="Q929" s="36"/>
      <c r="R929" s="36"/>
      <c r="S929" s="36"/>
      <c r="T929" s="36"/>
    </row>
    <row r="930" spans="1:20" ht="15.75">
      <c r="A930" s="13">
        <v>69822</v>
      </c>
      <c r="B930" s="44">
        <f t="shared" si="5"/>
        <v>28</v>
      </c>
      <c r="C930" s="35">
        <v>122.58</v>
      </c>
      <c r="D930" s="35">
        <v>297.94099999999997</v>
      </c>
      <c r="E930" s="41">
        <v>729.47900000000004</v>
      </c>
      <c r="F930" s="35">
        <v>1150</v>
      </c>
      <c r="G930" s="35">
        <v>100</v>
      </c>
      <c r="H930" s="43">
        <v>600</v>
      </c>
      <c r="I930" s="35">
        <v>695</v>
      </c>
      <c r="J930" s="35">
        <v>50</v>
      </c>
      <c r="K930" s="36"/>
      <c r="L930" s="36"/>
      <c r="M930" s="36"/>
      <c r="N930" s="36"/>
      <c r="O930" s="36"/>
      <c r="P930" s="36"/>
      <c r="Q930" s="36"/>
      <c r="R930" s="36"/>
      <c r="S930" s="36"/>
      <c r="T930" s="36"/>
    </row>
    <row r="931" spans="1:20" ht="15.75">
      <c r="A931" s="13">
        <v>69853</v>
      </c>
      <c r="B931" s="44">
        <f t="shared" si="5"/>
        <v>31</v>
      </c>
      <c r="C931" s="35">
        <v>122.58</v>
      </c>
      <c r="D931" s="35">
        <v>297.94099999999997</v>
      </c>
      <c r="E931" s="41">
        <v>729.47900000000004</v>
      </c>
      <c r="F931" s="35">
        <v>1150</v>
      </c>
      <c r="G931" s="35">
        <v>100</v>
      </c>
      <c r="H931" s="43">
        <v>600</v>
      </c>
      <c r="I931" s="35">
        <v>695</v>
      </c>
      <c r="J931" s="35">
        <v>50</v>
      </c>
      <c r="K931" s="36"/>
      <c r="L931" s="36"/>
      <c r="M931" s="36"/>
      <c r="N931" s="36"/>
      <c r="O931" s="36"/>
      <c r="P931" s="36"/>
      <c r="Q931" s="36"/>
      <c r="R931" s="36"/>
      <c r="S931" s="36"/>
      <c r="T931" s="36"/>
    </row>
    <row r="932" spans="1:20" ht="15.75">
      <c r="A932" s="13">
        <v>69883</v>
      </c>
      <c r="B932" s="44">
        <f t="shared" si="5"/>
        <v>30</v>
      </c>
      <c r="C932" s="35">
        <v>141.29300000000001</v>
      </c>
      <c r="D932" s="35">
        <v>267.99299999999999</v>
      </c>
      <c r="E932" s="41">
        <v>829.71400000000006</v>
      </c>
      <c r="F932" s="35">
        <v>1239</v>
      </c>
      <c r="G932" s="35">
        <v>100</v>
      </c>
      <c r="H932" s="43">
        <v>600</v>
      </c>
      <c r="I932" s="35">
        <v>695</v>
      </c>
      <c r="J932" s="35">
        <v>50</v>
      </c>
      <c r="K932" s="36"/>
      <c r="L932" s="36"/>
      <c r="M932" s="36"/>
      <c r="N932" s="36"/>
      <c r="O932" s="36"/>
      <c r="P932" s="36"/>
      <c r="Q932" s="36"/>
      <c r="R932" s="36"/>
      <c r="S932" s="36"/>
      <c r="T932" s="36"/>
    </row>
    <row r="933" spans="1:20" ht="15.75">
      <c r="A933" s="13">
        <v>69914</v>
      </c>
      <c r="B933" s="44">
        <f t="shared" si="5"/>
        <v>31</v>
      </c>
      <c r="C933" s="35">
        <v>194.20500000000001</v>
      </c>
      <c r="D933" s="35">
        <v>267.46600000000001</v>
      </c>
      <c r="E933" s="41">
        <v>812.32899999999995</v>
      </c>
      <c r="F933" s="35">
        <v>1274</v>
      </c>
      <c r="G933" s="35">
        <v>75</v>
      </c>
      <c r="H933" s="43">
        <v>600</v>
      </c>
      <c r="I933" s="35">
        <v>695</v>
      </c>
      <c r="J933" s="35">
        <v>50</v>
      </c>
      <c r="K933" s="36"/>
      <c r="L933" s="36"/>
      <c r="M933" s="36"/>
      <c r="N933" s="36"/>
      <c r="O933" s="36"/>
      <c r="P933" s="36"/>
      <c r="Q933" s="36"/>
      <c r="R933" s="36"/>
      <c r="S933" s="36"/>
      <c r="T933" s="36"/>
    </row>
    <row r="934" spans="1:20" ht="15.75">
      <c r="A934" s="13">
        <v>69944</v>
      </c>
      <c r="B934" s="44">
        <f t="shared" si="5"/>
        <v>30</v>
      </c>
      <c r="C934" s="35">
        <v>194.20500000000001</v>
      </c>
      <c r="D934" s="35">
        <v>267.46600000000001</v>
      </c>
      <c r="E934" s="41">
        <v>812.32899999999995</v>
      </c>
      <c r="F934" s="35">
        <v>1274</v>
      </c>
      <c r="G934" s="35">
        <v>50</v>
      </c>
      <c r="H934" s="43">
        <v>600</v>
      </c>
      <c r="I934" s="35">
        <v>695</v>
      </c>
      <c r="J934" s="35">
        <v>50</v>
      </c>
      <c r="K934" s="36"/>
      <c r="L934" s="36"/>
      <c r="M934" s="36"/>
      <c r="N934" s="36"/>
      <c r="O934" s="36"/>
      <c r="P934" s="36"/>
      <c r="Q934" s="36"/>
      <c r="R934" s="36"/>
      <c r="S934" s="36"/>
      <c r="T934" s="36"/>
    </row>
    <row r="935" spans="1:20" ht="15.75">
      <c r="A935" s="13">
        <v>69975</v>
      </c>
      <c r="B935" s="44">
        <f t="shared" si="5"/>
        <v>31</v>
      </c>
      <c r="C935" s="35">
        <v>194.20500000000001</v>
      </c>
      <c r="D935" s="35">
        <v>267.46600000000001</v>
      </c>
      <c r="E935" s="41">
        <v>812.32899999999995</v>
      </c>
      <c r="F935" s="35">
        <v>1274</v>
      </c>
      <c r="G935" s="35">
        <v>50</v>
      </c>
      <c r="H935" s="43">
        <v>600</v>
      </c>
      <c r="I935" s="35">
        <v>695</v>
      </c>
      <c r="J935" s="35">
        <v>0</v>
      </c>
      <c r="K935" s="36"/>
      <c r="L935" s="36"/>
      <c r="M935" s="36"/>
      <c r="N935" s="36"/>
      <c r="O935" s="36"/>
      <c r="P935" s="36"/>
      <c r="Q935" s="36"/>
      <c r="R935" s="36"/>
      <c r="S935" s="36"/>
      <c r="T935" s="36"/>
    </row>
    <row r="936" spans="1:20" ht="15.75">
      <c r="A936" s="13">
        <v>70006</v>
      </c>
      <c r="B936" s="44">
        <f t="shared" si="5"/>
        <v>31</v>
      </c>
      <c r="C936" s="35">
        <v>194.20500000000001</v>
      </c>
      <c r="D936" s="35">
        <v>267.46600000000001</v>
      </c>
      <c r="E936" s="41">
        <v>812.32899999999995</v>
      </c>
      <c r="F936" s="35">
        <v>1274</v>
      </c>
      <c r="G936" s="35">
        <v>50</v>
      </c>
      <c r="H936" s="43">
        <v>600</v>
      </c>
      <c r="I936" s="35">
        <v>695</v>
      </c>
      <c r="J936" s="35">
        <v>0</v>
      </c>
      <c r="K936" s="36"/>
      <c r="L936" s="36"/>
      <c r="M936" s="36"/>
      <c r="N936" s="36"/>
      <c r="O936" s="36"/>
      <c r="P936" s="36"/>
      <c r="Q936" s="36"/>
      <c r="R936" s="36"/>
      <c r="S936" s="36"/>
      <c r="T936" s="36"/>
    </row>
    <row r="937" spans="1:20" ht="15.75">
      <c r="A937" s="13">
        <v>70036</v>
      </c>
      <c r="B937" s="44">
        <f t="shared" si="5"/>
        <v>30</v>
      </c>
      <c r="C937" s="35">
        <v>194.20500000000001</v>
      </c>
      <c r="D937" s="35">
        <v>267.46600000000001</v>
      </c>
      <c r="E937" s="41">
        <v>812.32899999999995</v>
      </c>
      <c r="F937" s="35">
        <v>1274</v>
      </c>
      <c r="G937" s="35">
        <v>50</v>
      </c>
      <c r="H937" s="43">
        <v>600</v>
      </c>
      <c r="I937" s="35">
        <v>695</v>
      </c>
      <c r="J937" s="35">
        <v>0</v>
      </c>
      <c r="K937" s="36"/>
      <c r="L937" s="36"/>
      <c r="M937" s="36"/>
      <c r="N937" s="36"/>
      <c r="O937" s="36"/>
      <c r="P937" s="36"/>
      <c r="Q937" s="36"/>
      <c r="R937" s="36"/>
      <c r="S937" s="36"/>
      <c r="T937" s="36"/>
    </row>
    <row r="938" spans="1:20" ht="15.75">
      <c r="A938" s="13">
        <v>70067</v>
      </c>
      <c r="B938" s="44">
        <f t="shared" si="5"/>
        <v>31</v>
      </c>
      <c r="C938" s="35">
        <v>131.881</v>
      </c>
      <c r="D938" s="35">
        <v>277.16699999999997</v>
      </c>
      <c r="E938" s="41">
        <v>829.952</v>
      </c>
      <c r="F938" s="35">
        <v>1239</v>
      </c>
      <c r="G938" s="35">
        <v>75</v>
      </c>
      <c r="H938" s="43">
        <v>600</v>
      </c>
      <c r="I938" s="35">
        <v>695</v>
      </c>
      <c r="J938" s="35">
        <v>0</v>
      </c>
      <c r="K938" s="36"/>
      <c r="L938" s="36"/>
      <c r="M938" s="36"/>
      <c r="N938" s="36"/>
      <c r="O938" s="36"/>
      <c r="P938" s="36"/>
      <c r="Q938" s="36"/>
      <c r="R938" s="36"/>
      <c r="S938" s="36"/>
      <c r="T938" s="36"/>
    </row>
    <row r="939" spans="1:20" ht="15.75">
      <c r="A939" s="13">
        <v>70097</v>
      </c>
      <c r="B939" s="44">
        <f t="shared" si="5"/>
        <v>30</v>
      </c>
      <c r="C939" s="35">
        <v>122.58</v>
      </c>
      <c r="D939" s="35">
        <v>297.94099999999997</v>
      </c>
      <c r="E939" s="41">
        <v>729.47900000000004</v>
      </c>
      <c r="F939" s="35">
        <v>1150</v>
      </c>
      <c r="G939" s="35">
        <v>100</v>
      </c>
      <c r="H939" s="43">
        <v>600</v>
      </c>
      <c r="I939" s="35">
        <v>695</v>
      </c>
      <c r="J939" s="35">
        <v>50</v>
      </c>
      <c r="K939" s="36"/>
      <c r="L939" s="36"/>
      <c r="M939" s="36"/>
      <c r="N939" s="36"/>
      <c r="O939" s="36"/>
      <c r="P939" s="36"/>
      <c r="Q939" s="36"/>
      <c r="R939" s="36"/>
      <c r="S939" s="36"/>
      <c r="T939" s="36"/>
    </row>
    <row r="940" spans="1:20" ht="15.75">
      <c r="A940" s="13">
        <v>70128</v>
      </c>
      <c r="B940" s="44">
        <f t="shared" si="5"/>
        <v>31</v>
      </c>
      <c r="C940" s="35">
        <v>122.58</v>
      </c>
      <c r="D940" s="35">
        <v>297.94099999999997</v>
      </c>
      <c r="E940" s="41">
        <v>729.47900000000004</v>
      </c>
      <c r="F940" s="35">
        <v>1150</v>
      </c>
      <c r="G940" s="35">
        <v>100</v>
      </c>
      <c r="H940" s="43">
        <v>600</v>
      </c>
      <c r="I940" s="35">
        <v>695</v>
      </c>
      <c r="J940" s="35">
        <v>50</v>
      </c>
      <c r="K940" s="36"/>
      <c r="L940" s="36"/>
      <c r="M940" s="36"/>
      <c r="N940" s="36"/>
      <c r="O940" s="36"/>
      <c r="P940" s="36"/>
      <c r="Q940" s="36"/>
      <c r="R940" s="36"/>
      <c r="S940" s="36"/>
      <c r="T940" s="36"/>
    </row>
    <row r="941" spans="1:20" ht="15.75">
      <c r="A941" s="13">
        <v>70159</v>
      </c>
      <c r="B941" s="44">
        <f t="shared" si="5"/>
        <v>31</v>
      </c>
      <c r="C941" s="35">
        <v>122.58</v>
      </c>
      <c r="D941" s="35">
        <v>297.94099999999997</v>
      </c>
      <c r="E941" s="41">
        <v>729.47900000000004</v>
      </c>
      <c r="F941" s="35">
        <v>1150</v>
      </c>
      <c r="G941" s="35">
        <v>100</v>
      </c>
      <c r="H941" s="43">
        <v>600</v>
      </c>
      <c r="I941" s="35">
        <v>695</v>
      </c>
      <c r="J941" s="35">
        <v>50</v>
      </c>
      <c r="K941" s="36"/>
      <c r="L941" s="36"/>
      <c r="M941" s="36"/>
      <c r="N941" s="36"/>
      <c r="O941" s="36"/>
      <c r="P941" s="36"/>
      <c r="Q941" s="36"/>
      <c r="R941" s="36"/>
      <c r="S941" s="36"/>
      <c r="T941" s="36"/>
    </row>
    <row r="942" spans="1:20" ht="15.75">
      <c r="A942" s="13">
        <v>70188</v>
      </c>
      <c r="B942" s="44">
        <f t="shared" si="5"/>
        <v>29</v>
      </c>
      <c r="C942" s="35">
        <v>122.58</v>
      </c>
      <c r="D942" s="35">
        <v>297.94099999999997</v>
      </c>
      <c r="E942" s="41">
        <v>729.47900000000004</v>
      </c>
      <c r="F942" s="35">
        <v>1150</v>
      </c>
      <c r="G942" s="35">
        <v>100</v>
      </c>
      <c r="H942" s="43">
        <v>600</v>
      </c>
      <c r="I942" s="35">
        <v>695</v>
      </c>
      <c r="J942" s="35">
        <v>50</v>
      </c>
      <c r="K942" s="36"/>
      <c r="L942" s="36"/>
      <c r="M942" s="36"/>
      <c r="N942" s="36"/>
      <c r="O942" s="36"/>
      <c r="P942" s="36"/>
      <c r="Q942" s="36"/>
      <c r="R942" s="36"/>
      <c r="S942" s="36"/>
      <c r="T942" s="36"/>
    </row>
    <row r="943" spans="1:20" ht="15.75">
      <c r="A943" s="13">
        <v>70219</v>
      </c>
      <c r="B943" s="44">
        <f t="shared" si="5"/>
        <v>31</v>
      </c>
      <c r="C943" s="35">
        <v>122.58</v>
      </c>
      <c r="D943" s="35">
        <v>297.94099999999997</v>
      </c>
      <c r="E943" s="41">
        <v>729.47900000000004</v>
      </c>
      <c r="F943" s="35">
        <v>1150</v>
      </c>
      <c r="G943" s="35">
        <v>100</v>
      </c>
      <c r="H943" s="43">
        <v>600</v>
      </c>
      <c r="I943" s="35">
        <v>695</v>
      </c>
      <c r="J943" s="35">
        <v>50</v>
      </c>
      <c r="K943" s="36"/>
      <c r="L943" s="36"/>
      <c r="M943" s="36"/>
      <c r="N943" s="36"/>
      <c r="O943" s="36"/>
      <c r="P943" s="36"/>
      <c r="Q943" s="36"/>
      <c r="R943" s="36"/>
      <c r="S943" s="36"/>
      <c r="T943" s="36"/>
    </row>
    <row r="944" spans="1:20" ht="15.75">
      <c r="A944" s="13">
        <v>70249</v>
      </c>
      <c r="B944" s="44">
        <f t="shared" si="5"/>
        <v>30</v>
      </c>
      <c r="C944" s="35">
        <v>141.29300000000001</v>
      </c>
      <c r="D944" s="35">
        <v>267.99299999999999</v>
      </c>
      <c r="E944" s="41">
        <v>829.71400000000006</v>
      </c>
      <c r="F944" s="35">
        <v>1239</v>
      </c>
      <c r="G944" s="35">
        <v>100</v>
      </c>
      <c r="H944" s="43">
        <v>600</v>
      </c>
      <c r="I944" s="35">
        <v>695</v>
      </c>
      <c r="J944" s="35">
        <v>50</v>
      </c>
      <c r="K944" s="36"/>
      <c r="L944" s="36"/>
      <c r="M944" s="36"/>
      <c r="N944" s="36"/>
      <c r="O944" s="36"/>
      <c r="P944" s="36"/>
      <c r="Q944" s="36"/>
      <c r="R944" s="36"/>
      <c r="S944" s="36"/>
      <c r="T944" s="36"/>
    </row>
    <row r="945" spans="1:20" ht="15.75">
      <c r="A945" s="13">
        <v>70280</v>
      </c>
      <c r="B945" s="44">
        <f t="shared" si="5"/>
        <v>31</v>
      </c>
      <c r="C945" s="35">
        <v>194.20500000000001</v>
      </c>
      <c r="D945" s="35">
        <v>267.46600000000001</v>
      </c>
      <c r="E945" s="41">
        <v>812.32899999999995</v>
      </c>
      <c r="F945" s="35">
        <v>1274</v>
      </c>
      <c r="G945" s="35">
        <v>75</v>
      </c>
      <c r="H945" s="43">
        <v>600</v>
      </c>
      <c r="I945" s="35">
        <v>695</v>
      </c>
      <c r="J945" s="35">
        <v>50</v>
      </c>
      <c r="K945" s="36"/>
      <c r="L945" s="36"/>
      <c r="M945" s="36"/>
      <c r="N945" s="36"/>
      <c r="O945" s="36"/>
      <c r="P945" s="36"/>
      <c r="Q945" s="36"/>
      <c r="R945" s="36"/>
      <c r="S945" s="36"/>
      <c r="T945" s="36"/>
    </row>
    <row r="946" spans="1:20" ht="15.75">
      <c r="A946" s="13">
        <v>70310</v>
      </c>
      <c r="B946" s="44">
        <f t="shared" si="5"/>
        <v>30</v>
      </c>
      <c r="C946" s="35">
        <v>194.20500000000001</v>
      </c>
      <c r="D946" s="35">
        <v>267.46600000000001</v>
      </c>
      <c r="E946" s="41">
        <v>812.32899999999995</v>
      </c>
      <c r="F946" s="35">
        <v>1274</v>
      </c>
      <c r="G946" s="35">
        <v>50</v>
      </c>
      <c r="H946" s="43">
        <v>600</v>
      </c>
      <c r="I946" s="35">
        <v>695</v>
      </c>
      <c r="J946" s="35">
        <v>50</v>
      </c>
      <c r="K946" s="36"/>
      <c r="L946" s="36"/>
      <c r="M946" s="36"/>
      <c r="N946" s="36"/>
      <c r="O946" s="36"/>
      <c r="P946" s="36"/>
      <c r="Q946" s="36"/>
      <c r="R946" s="36"/>
      <c r="S946" s="36"/>
      <c r="T946" s="36"/>
    </row>
    <row r="947" spans="1:20" ht="15.75">
      <c r="A947" s="13">
        <v>70341</v>
      </c>
      <c r="B947" s="44">
        <f t="shared" si="5"/>
        <v>31</v>
      </c>
      <c r="C947" s="35">
        <v>194.20500000000001</v>
      </c>
      <c r="D947" s="35">
        <v>267.46600000000001</v>
      </c>
      <c r="E947" s="41">
        <v>812.32899999999995</v>
      </c>
      <c r="F947" s="35">
        <v>1274</v>
      </c>
      <c r="G947" s="35">
        <v>50</v>
      </c>
      <c r="H947" s="43">
        <v>600</v>
      </c>
      <c r="I947" s="35">
        <v>695</v>
      </c>
      <c r="J947" s="35">
        <v>0</v>
      </c>
      <c r="K947" s="36"/>
      <c r="L947" s="36"/>
      <c r="M947" s="36"/>
      <c r="N947" s="36"/>
      <c r="O947" s="36"/>
      <c r="P947" s="36"/>
      <c r="Q947" s="36"/>
      <c r="R947" s="36"/>
      <c r="S947" s="36"/>
      <c r="T947" s="36"/>
    </row>
    <row r="948" spans="1:20" ht="15.75">
      <c r="A948" s="13">
        <v>70372</v>
      </c>
      <c r="B948" s="44">
        <f t="shared" si="5"/>
        <v>31</v>
      </c>
      <c r="C948" s="35">
        <v>194.20500000000001</v>
      </c>
      <c r="D948" s="35">
        <v>267.46600000000001</v>
      </c>
      <c r="E948" s="41">
        <v>812.32899999999995</v>
      </c>
      <c r="F948" s="35">
        <v>1274</v>
      </c>
      <c r="G948" s="35">
        <v>50</v>
      </c>
      <c r="H948" s="43">
        <v>600</v>
      </c>
      <c r="I948" s="35">
        <v>695</v>
      </c>
      <c r="J948" s="35">
        <v>0</v>
      </c>
      <c r="K948" s="36"/>
      <c r="L948" s="36"/>
      <c r="M948" s="36"/>
      <c r="N948" s="36"/>
      <c r="O948" s="36"/>
      <c r="P948" s="36"/>
      <c r="Q948" s="36"/>
      <c r="R948" s="36"/>
      <c r="S948" s="36"/>
      <c r="T948" s="36"/>
    </row>
    <row r="949" spans="1:20" ht="15.75">
      <c r="A949" s="13">
        <v>70402</v>
      </c>
      <c r="B949" s="44">
        <f t="shared" si="5"/>
        <v>30</v>
      </c>
      <c r="C949" s="35">
        <v>194.20500000000001</v>
      </c>
      <c r="D949" s="35">
        <v>267.46600000000001</v>
      </c>
      <c r="E949" s="41">
        <v>812.32899999999995</v>
      </c>
      <c r="F949" s="35">
        <v>1274</v>
      </c>
      <c r="G949" s="35">
        <v>50</v>
      </c>
      <c r="H949" s="43">
        <v>600</v>
      </c>
      <c r="I949" s="35">
        <v>695</v>
      </c>
      <c r="J949" s="35">
        <v>0</v>
      </c>
      <c r="K949" s="36"/>
      <c r="L949" s="36"/>
      <c r="M949" s="36"/>
      <c r="N949" s="36"/>
      <c r="O949" s="36"/>
      <c r="P949" s="36"/>
      <c r="Q949" s="36"/>
      <c r="R949" s="36"/>
      <c r="S949" s="36"/>
      <c r="T949" s="36"/>
    </row>
    <row r="950" spans="1:20" ht="15.75">
      <c r="A950" s="13">
        <v>70433</v>
      </c>
      <c r="B950" s="44">
        <f t="shared" si="5"/>
        <v>31</v>
      </c>
      <c r="C950" s="35">
        <v>131.881</v>
      </c>
      <c r="D950" s="35">
        <v>277.16699999999997</v>
      </c>
      <c r="E950" s="41">
        <v>829.952</v>
      </c>
      <c r="F950" s="35">
        <v>1239</v>
      </c>
      <c r="G950" s="35">
        <v>75</v>
      </c>
      <c r="H950" s="43">
        <v>600</v>
      </c>
      <c r="I950" s="35">
        <v>695</v>
      </c>
      <c r="J950" s="35">
        <v>0</v>
      </c>
      <c r="K950" s="36"/>
      <c r="L950" s="36"/>
      <c r="M950" s="36"/>
      <c r="N950" s="36"/>
      <c r="O950" s="36"/>
      <c r="P950" s="36"/>
      <c r="Q950" s="36"/>
      <c r="R950" s="36"/>
      <c r="S950" s="36"/>
      <c r="T950" s="36"/>
    </row>
    <row r="951" spans="1:20" ht="15.75">
      <c r="A951" s="13">
        <v>70463</v>
      </c>
      <c r="B951" s="44">
        <f t="shared" si="5"/>
        <v>30</v>
      </c>
      <c r="C951" s="35">
        <v>122.58</v>
      </c>
      <c r="D951" s="35">
        <v>297.94099999999997</v>
      </c>
      <c r="E951" s="41">
        <v>729.47900000000004</v>
      </c>
      <c r="F951" s="35">
        <v>1150</v>
      </c>
      <c r="G951" s="35">
        <v>100</v>
      </c>
      <c r="H951" s="43">
        <v>600</v>
      </c>
      <c r="I951" s="35">
        <v>695</v>
      </c>
      <c r="J951" s="35">
        <v>50</v>
      </c>
      <c r="K951" s="36"/>
      <c r="L951" s="36"/>
      <c r="M951" s="36"/>
      <c r="N951" s="36"/>
      <c r="O951" s="36"/>
      <c r="P951" s="36"/>
      <c r="Q951" s="36"/>
      <c r="R951" s="36"/>
      <c r="S951" s="36"/>
      <c r="T951" s="36"/>
    </row>
    <row r="952" spans="1:20" ht="15.75">
      <c r="A952" s="13">
        <v>70494</v>
      </c>
      <c r="B952" s="44">
        <f t="shared" si="5"/>
        <v>31</v>
      </c>
      <c r="C952" s="35">
        <v>122.58</v>
      </c>
      <c r="D952" s="35">
        <v>297.94099999999997</v>
      </c>
      <c r="E952" s="41">
        <v>729.47900000000004</v>
      </c>
      <c r="F952" s="35">
        <v>1150</v>
      </c>
      <c r="G952" s="35">
        <v>100</v>
      </c>
      <c r="H952" s="43">
        <v>600</v>
      </c>
      <c r="I952" s="35">
        <v>695</v>
      </c>
      <c r="J952" s="35">
        <v>50</v>
      </c>
      <c r="K952" s="36"/>
      <c r="L952" s="36"/>
      <c r="M952" s="36"/>
      <c r="N952" s="36"/>
      <c r="O952" s="36"/>
      <c r="P952" s="36"/>
      <c r="Q952" s="36"/>
      <c r="R952" s="36"/>
      <c r="S952" s="36"/>
      <c r="T952" s="36"/>
    </row>
    <row r="953" spans="1:20" ht="15.75">
      <c r="A953" s="13">
        <v>70525</v>
      </c>
      <c r="B953" s="44">
        <f t="shared" si="5"/>
        <v>31</v>
      </c>
      <c r="C953" s="35">
        <v>122.58</v>
      </c>
      <c r="D953" s="35">
        <v>297.94099999999997</v>
      </c>
      <c r="E953" s="41">
        <v>729.47900000000004</v>
      </c>
      <c r="F953" s="35">
        <v>1150</v>
      </c>
      <c r="G953" s="35">
        <v>100</v>
      </c>
      <c r="H953" s="43">
        <v>600</v>
      </c>
      <c r="I953" s="35">
        <v>695</v>
      </c>
      <c r="J953" s="35">
        <v>50</v>
      </c>
      <c r="K953" s="36"/>
      <c r="L953" s="36"/>
      <c r="M953" s="36"/>
      <c r="N953" s="36"/>
      <c r="O953" s="36"/>
      <c r="P953" s="36"/>
      <c r="Q953" s="36"/>
      <c r="R953" s="36"/>
      <c r="S953" s="36"/>
      <c r="T953" s="36"/>
    </row>
    <row r="954" spans="1:20" ht="15.75">
      <c r="A954" s="13">
        <v>70553</v>
      </c>
      <c r="B954" s="44">
        <f t="shared" si="5"/>
        <v>28</v>
      </c>
      <c r="C954" s="35">
        <v>122.58</v>
      </c>
      <c r="D954" s="35">
        <v>297.94099999999997</v>
      </c>
      <c r="E954" s="41">
        <v>729.47900000000004</v>
      </c>
      <c r="F954" s="35">
        <v>1150</v>
      </c>
      <c r="G954" s="35">
        <v>100</v>
      </c>
      <c r="H954" s="43">
        <v>600</v>
      </c>
      <c r="I954" s="35">
        <v>695</v>
      </c>
      <c r="J954" s="35">
        <v>50</v>
      </c>
      <c r="K954" s="36"/>
      <c r="L954" s="36"/>
      <c r="M954" s="36"/>
      <c r="N954" s="36"/>
      <c r="O954" s="36"/>
      <c r="P954" s="36"/>
      <c r="Q954" s="36"/>
      <c r="R954" s="36"/>
      <c r="S954" s="36"/>
      <c r="T954" s="36"/>
    </row>
    <row r="955" spans="1:20" ht="15.75">
      <c r="A955" s="13">
        <v>70584</v>
      </c>
      <c r="B955" s="44">
        <f t="shared" si="5"/>
        <v>31</v>
      </c>
      <c r="C955" s="35">
        <v>122.58</v>
      </c>
      <c r="D955" s="35">
        <v>297.94099999999997</v>
      </c>
      <c r="E955" s="41">
        <v>729.47900000000004</v>
      </c>
      <c r="F955" s="35">
        <v>1150</v>
      </c>
      <c r="G955" s="35">
        <v>100</v>
      </c>
      <c r="H955" s="43">
        <v>600</v>
      </c>
      <c r="I955" s="35">
        <v>695</v>
      </c>
      <c r="J955" s="35">
        <v>50</v>
      </c>
      <c r="K955" s="36"/>
      <c r="L955" s="36"/>
      <c r="M955" s="36"/>
      <c r="N955" s="36"/>
      <c r="O955" s="36"/>
      <c r="P955" s="36"/>
      <c r="Q955" s="36"/>
      <c r="R955" s="36"/>
      <c r="S955" s="36"/>
      <c r="T955" s="36"/>
    </row>
    <row r="956" spans="1:20" ht="15.75">
      <c r="A956" s="13">
        <v>70614</v>
      </c>
      <c r="B956" s="44">
        <f t="shared" si="5"/>
        <v>30</v>
      </c>
      <c r="C956" s="35">
        <v>141.29300000000001</v>
      </c>
      <c r="D956" s="35">
        <v>267.99299999999999</v>
      </c>
      <c r="E956" s="41">
        <v>829.71400000000006</v>
      </c>
      <c r="F956" s="35">
        <v>1239</v>
      </c>
      <c r="G956" s="35">
        <v>100</v>
      </c>
      <c r="H956" s="43">
        <v>600</v>
      </c>
      <c r="I956" s="35">
        <v>695</v>
      </c>
      <c r="J956" s="35">
        <v>50</v>
      </c>
      <c r="K956" s="36"/>
      <c r="L956" s="36"/>
      <c r="M956" s="36"/>
      <c r="N956" s="36"/>
      <c r="O956" s="36"/>
      <c r="P956" s="36"/>
      <c r="Q956" s="36"/>
      <c r="R956" s="36"/>
      <c r="S956" s="36"/>
      <c r="T956" s="36"/>
    </row>
    <row r="957" spans="1:20" ht="15.75">
      <c r="A957" s="13">
        <v>70645</v>
      </c>
      <c r="B957" s="44">
        <f t="shared" si="5"/>
        <v>31</v>
      </c>
      <c r="C957" s="35">
        <v>194.20500000000001</v>
      </c>
      <c r="D957" s="35">
        <v>267.46600000000001</v>
      </c>
      <c r="E957" s="41">
        <v>812.32899999999995</v>
      </c>
      <c r="F957" s="35">
        <v>1274</v>
      </c>
      <c r="G957" s="35">
        <v>75</v>
      </c>
      <c r="H957" s="43">
        <v>600</v>
      </c>
      <c r="I957" s="35">
        <v>695</v>
      </c>
      <c r="J957" s="35">
        <v>50</v>
      </c>
      <c r="K957" s="36"/>
      <c r="L957" s="36"/>
      <c r="M957" s="36"/>
      <c r="N957" s="36"/>
      <c r="O957" s="36"/>
      <c r="P957" s="36"/>
      <c r="Q957" s="36"/>
      <c r="R957" s="36"/>
      <c r="S957" s="36"/>
      <c r="T957" s="36"/>
    </row>
    <row r="958" spans="1:20" ht="15.75">
      <c r="A958" s="13">
        <v>70675</v>
      </c>
      <c r="B958" s="44">
        <f t="shared" si="5"/>
        <v>30</v>
      </c>
      <c r="C958" s="35">
        <v>194.20500000000001</v>
      </c>
      <c r="D958" s="35">
        <v>267.46600000000001</v>
      </c>
      <c r="E958" s="41">
        <v>812.32899999999995</v>
      </c>
      <c r="F958" s="35">
        <v>1274</v>
      </c>
      <c r="G958" s="35">
        <v>50</v>
      </c>
      <c r="H958" s="43">
        <v>600</v>
      </c>
      <c r="I958" s="35">
        <v>695</v>
      </c>
      <c r="J958" s="35">
        <v>50</v>
      </c>
      <c r="K958" s="36"/>
      <c r="L958" s="36"/>
      <c r="M958" s="36"/>
      <c r="N958" s="36"/>
      <c r="O958" s="36"/>
      <c r="P958" s="36"/>
      <c r="Q958" s="36"/>
      <c r="R958" s="36"/>
      <c r="S958" s="36"/>
      <c r="T958" s="36"/>
    </row>
    <row r="959" spans="1:20" ht="15.75">
      <c r="A959" s="13">
        <v>70706</v>
      </c>
      <c r="B959" s="44">
        <f t="shared" si="5"/>
        <v>31</v>
      </c>
      <c r="C959" s="35">
        <v>194.20500000000001</v>
      </c>
      <c r="D959" s="35">
        <v>267.46600000000001</v>
      </c>
      <c r="E959" s="41">
        <v>812.32899999999995</v>
      </c>
      <c r="F959" s="35">
        <v>1274</v>
      </c>
      <c r="G959" s="35">
        <v>50</v>
      </c>
      <c r="H959" s="43">
        <v>600</v>
      </c>
      <c r="I959" s="35">
        <v>695</v>
      </c>
      <c r="J959" s="35">
        <v>0</v>
      </c>
      <c r="K959" s="36"/>
      <c r="L959" s="36"/>
      <c r="M959" s="36"/>
      <c r="N959" s="36"/>
      <c r="O959" s="36"/>
      <c r="P959" s="36"/>
      <c r="Q959" s="36"/>
      <c r="R959" s="36"/>
      <c r="S959" s="36"/>
      <c r="T959" s="36"/>
    </row>
    <row r="960" spans="1:20" ht="15.75">
      <c r="A960" s="13">
        <v>70737</v>
      </c>
      <c r="B960" s="44">
        <f t="shared" si="5"/>
        <v>31</v>
      </c>
      <c r="C960" s="35">
        <v>194.20500000000001</v>
      </c>
      <c r="D960" s="35">
        <v>267.46600000000001</v>
      </c>
      <c r="E960" s="41">
        <v>812.32899999999995</v>
      </c>
      <c r="F960" s="35">
        <v>1274</v>
      </c>
      <c r="G960" s="35">
        <v>50</v>
      </c>
      <c r="H960" s="43">
        <v>600</v>
      </c>
      <c r="I960" s="35">
        <v>695</v>
      </c>
      <c r="J960" s="35">
        <v>0</v>
      </c>
      <c r="K960" s="36"/>
      <c r="L960" s="36"/>
      <c r="M960" s="36"/>
      <c r="N960" s="36"/>
      <c r="O960" s="36"/>
      <c r="P960" s="36"/>
      <c r="Q960" s="36"/>
      <c r="R960" s="36"/>
      <c r="S960" s="36"/>
      <c r="T960" s="36"/>
    </row>
    <row r="961" spans="1:20" ht="15.75">
      <c r="A961" s="13">
        <v>70767</v>
      </c>
      <c r="B961" s="44">
        <f t="shared" si="5"/>
        <v>30</v>
      </c>
      <c r="C961" s="35">
        <v>194.20500000000001</v>
      </c>
      <c r="D961" s="35">
        <v>267.46600000000001</v>
      </c>
      <c r="E961" s="41">
        <v>812.32899999999995</v>
      </c>
      <c r="F961" s="35">
        <v>1274</v>
      </c>
      <c r="G961" s="35">
        <v>50</v>
      </c>
      <c r="H961" s="43">
        <v>600</v>
      </c>
      <c r="I961" s="35">
        <v>695</v>
      </c>
      <c r="J961" s="35">
        <v>0</v>
      </c>
      <c r="K961" s="36"/>
      <c r="L961" s="36"/>
      <c r="M961" s="36"/>
      <c r="N961" s="36"/>
      <c r="O961" s="36"/>
      <c r="P961" s="36"/>
      <c r="Q961" s="36"/>
      <c r="R961" s="36"/>
      <c r="S961" s="36"/>
      <c r="T961" s="36"/>
    </row>
    <row r="962" spans="1:20" ht="15.75">
      <c r="A962" s="13">
        <v>70798</v>
      </c>
      <c r="B962" s="44">
        <f t="shared" si="5"/>
        <v>31</v>
      </c>
      <c r="C962" s="35">
        <v>131.881</v>
      </c>
      <c r="D962" s="35">
        <v>277.16699999999997</v>
      </c>
      <c r="E962" s="41">
        <v>829.952</v>
      </c>
      <c r="F962" s="35">
        <v>1239</v>
      </c>
      <c r="G962" s="35">
        <v>75</v>
      </c>
      <c r="H962" s="43">
        <v>600</v>
      </c>
      <c r="I962" s="35">
        <v>695</v>
      </c>
      <c r="J962" s="35">
        <v>0</v>
      </c>
      <c r="K962" s="36"/>
      <c r="L962" s="36"/>
      <c r="M962" s="36"/>
      <c r="N962" s="36"/>
      <c r="O962" s="36"/>
      <c r="P962" s="36"/>
      <c r="Q962" s="36"/>
      <c r="R962" s="36"/>
      <c r="S962" s="36"/>
      <c r="T962" s="36"/>
    </row>
    <row r="963" spans="1:20" ht="15.75">
      <c r="A963" s="13">
        <v>70828</v>
      </c>
      <c r="B963" s="44">
        <f t="shared" si="5"/>
        <v>30</v>
      </c>
      <c r="C963" s="35">
        <v>122.58</v>
      </c>
      <c r="D963" s="35">
        <v>297.94099999999997</v>
      </c>
      <c r="E963" s="41">
        <v>729.47900000000004</v>
      </c>
      <c r="F963" s="35">
        <v>1150</v>
      </c>
      <c r="G963" s="35">
        <v>100</v>
      </c>
      <c r="H963" s="43">
        <v>600</v>
      </c>
      <c r="I963" s="35">
        <v>695</v>
      </c>
      <c r="J963" s="35">
        <v>50</v>
      </c>
      <c r="K963" s="36"/>
      <c r="L963" s="36"/>
      <c r="M963" s="36"/>
      <c r="N963" s="36"/>
      <c r="O963" s="36"/>
      <c r="P963" s="36"/>
      <c r="Q963" s="36"/>
      <c r="R963" s="36"/>
      <c r="S963" s="36"/>
      <c r="T963" s="36"/>
    </row>
    <row r="964" spans="1:20" ht="15.75">
      <c r="A964" s="13">
        <v>70859</v>
      </c>
      <c r="B964" s="44">
        <f t="shared" si="5"/>
        <v>31</v>
      </c>
      <c r="C964" s="35">
        <v>122.58</v>
      </c>
      <c r="D964" s="35">
        <v>297.94099999999997</v>
      </c>
      <c r="E964" s="41">
        <v>729.47900000000004</v>
      </c>
      <c r="F964" s="35">
        <v>1150</v>
      </c>
      <c r="G964" s="35">
        <v>100</v>
      </c>
      <c r="H964" s="43">
        <v>600</v>
      </c>
      <c r="I964" s="35">
        <v>695</v>
      </c>
      <c r="J964" s="35">
        <v>50</v>
      </c>
      <c r="K964" s="36"/>
      <c r="L964" s="36"/>
      <c r="M964" s="36"/>
      <c r="N964" s="36"/>
      <c r="O964" s="36"/>
      <c r="P964" s="36"/>
      <c r="Q964" s="36"/>
      <c r="R964" s="36"/>
      <c r="S964" s="36"/>
      <c r="T964" s="36"/>
    </row>
    <row r="965" spans="1:20" ht="15.75">
      <c r="A965" s="13">
        <v>70890</v>
      </c>
      <c r="B965" s="44">
        <f t="shared" ref="B965:B1028" si="6">EOMONTH(A965,0)-EOMONTH(A965,-1)</f>
        <v>31</v>
      </c>
      <c r="C965" s="35">
        <v>122.58</v>
      </c>
      <c r="D965" s="35">
        <v>297.94099999999997</v>
      </c>
      <c r="E965" s="41">
        <v>729.47900000000004</v>
      </c>
      <c r="F965" s="35">
        <v>1150</v>
      </c>
      <c r="G965" s="35">
        <v>100</v>
      </c>
      <c r="H965" s="43">
        <v>600</v>
      </c>
      <c r="I965" s="35">
        <v>695</v>
      </c>
      <c r="J965" s="35">
        <v>50</v>
      </c>
      <c r="K965" s="36"/>
      <c r="L965" s="36"/>
      <c r="M965" s="36"/>
      <c r="N965" s="36"/>
      <c r="O965" s="36"/>
      <c r="P965" s="36"/>
      <c r="Q965" s="36"/>
      <c r="R965" s="36"/>
      <c r="S965" s="36"/>
      <c r="T965" s="36"/>
    </row>
    <row r="966" spans="1:20" ht="15.75">
      <c r="A966" s="13">
        <v>70918</v>
      </c>
      <c r="B966" s="44">
        <f t="shared" si="6"/>
        <v>28</v>
      </c>
      <c r="C966" s="35">
        <v>122.58</v>
      </c>
      <c r="D966" s="35">
        <v>297.94099999999997</v>
      </c>
      <c r="E966" s="41">
        <v>729.47900000000004</v>
      </c>
      <c r="F966" s="35">
        <v>1150</v>
      </c>
      <c r="G966" s="35">
        <v>100</v>
      </c>
      <c r="H966" s="43">
        <v>600</v>
      </c>
      <c r="I966" s="35">
        <v>695</v>
      </c>
      <c r="J966" s="35">
        <v>50</v>
      </c>
      <c r="K966" s="36"/>
      <c r="L966" s="36"/>
      <c r="M966" s="36"/>
      <c r="N966" s="36"/>
      <c r="O966" s="36"/>
      <c r="P966" s="36"/>
      <c r="Q966" s="36"/>
      <c r="R966" s="36"/>
      <c r="S966" s="36"/>
      <c r="T966" s="36"/>
    </row>
    <row r="967" spans="1:20" ht="15.75">
      <c r="A967" s="13">
        <v>70949</v>
      </c>
      <c r="B967" s="44">
        <f t="shared" si="6"/>
        <v>31</v>
      </c>
      <c r="C967" s="35">
        <v>122.58</v>
      </c>
      <c r="D967" s="35">
        <v>297.94099999999997</v>
      </c>
      <c r="E967" s="41">
        <v>729.47900000000004</v>
      </c>
      <c r="F967" s="35">
        <v>1150</v>
      </c>
      <c r="G967" s="35">
        <v>100</v>
      </c>
      <c r="H967" s="43">
        <v>600</v>
      </c>
      <c r="I967" s="35">
        <v>695</v>
      </c>
      <c r="J967" s="35">
        <v>50</v>
      </c>
      <c r="K967" s="36"/>
      <c r="L967" s="36"/>
      <c r="M967" s="36"/>
      <c r="N967" s="36"/>
      <c r="O967" s="36"/>
      <c r="P967" s="36"/>
      <c r="Q967" s="36"/>
      <c r="R967" s="36"/>
      <c r="S967" s="36"/>
      <c r="T967" s="36"/>
    </row>
    <row r="968" spans="1:20" ht="15.75">
      <c r="A968" s="13">
        <v>70979</v>
      </c>
      <c r="B968" s="44">
        <f t="shared" si="6"/>
        <v>30</v>
      </c>
      <c r="C968" s="35">
        <v>141.29300000000001</v>
      </c>
      <c r="D968" s="35">
        <v>267.99299999999999</v>
      </c>
      <c r="E968" s="41">
        <v>829.71400000000006</v>
      </c>
      <c r="F968" s="35">
        <v>1239</v>
      </c>
      <c r="G968" s="35">
        <v>100</v>
      </c>
      <c r="H968" s="43">
        <v>600</v>
      </c>
      <c r="I968" s="35">
        <v>695</v>
      </c>
      <c r="J968" s="35">
        <v>50</v>
      </c>
      <c r="K968" s="36"/>
      <c r="L968" s="36"/>
      <c r="M968" s="36"/>
      <c r="N968" s="36"/>
      <c r="O968" s="36"/>
      <c r="P968" s="36"/>
      <c r="Q968" s="36"/>
      <c r="R968" s="36"/>
      <c r="S968" s="36"/>
      <c r="T968" s="36"/>
    </row>
    <row r="969" spans="1:20" ht="15.75">
      <c r="A969" s="13">
        <v>71010</v>
      </c>
      <c r="B969" s="44">
        <f t="shared" si="6"/>
        <v>31</v>
      </c>
      <c r="C969" s="35">
        <v>194.20500000000001</v>
      </c>
      <c r="D969" s="35">
        <v>267.46600000000001</v>
      </c>
      <c r="E969" s="41">
        <v>812.32899999999995</v>
      </c>
      <c r="F969" s="35">
        <v>1274</v>
      </c>
      <c r="G969" s="35">
        <v>75</v>
      </c>
      <c r="H969" s="43">
        <v>600</v>
      </c>
      <c r="I969" s="35">
        <v>695</v>
      </c>
      <c r="J969" s="35">
        <v>50</v>
      </c>
      <c r="K969" s="36"/>
      <c r="L969" s="36"/>
      <c r="M969" s="36"/>
      <c r="N969" s="36"/>
      <c r="O969" s="36"/>
      <c r="P969" s="36"/>
      <c r="Q969" s="36"/>
      <c r="R969" s="36"/>
      <c r="S969" s="36"/>
      <c r="T969" s="36"/>
    </row>
    <row r="970" spans="1:20" ht="15.75">
      <c r="A970" s="13">
        <v>71040</v>
      </c>
      <c r="B970" s="44">
        <f t="shared" si="6"/>
        <v>30</v>
      </c>
      <c r="C970" s="35">
        <v>194.20500000000001</v>
      </c>
      <c r="D970" s="35">
        <v>267.46600000000001</v>
      </c>
      <c r="E970" s="41">
        <v>812.32899999999995</v>
      </c>
      <c r="F970" s="35">
        <v>1274</v>
      </c>
      <c r="G970" s="35">
        <v>50</v>
      </c>
      <c r="H970" s="43">
        <v>600</v>
      </c>
      <c r="I970" s="35">
        <v>695</v>
      </c>
      <c r="J970" s="35">
        <v>50</v>
      </c>
      <c r="K970" s="36"/>
      <c r="L970" s="36"/>
      <c r="M970" s="36"/>
      <c r="N970" s="36"/>
      <c r="O970" s="36"/>
      <c r="P970" s="36"/>
      <c r="Q970" s="36"/>
      <c r="R970" s="36"/>
      <c r="S970" s="36"/>
      <c r="T970" s="36"/>
    </row>
    <row r="971" spans="1:20" ht="15.75">
      <c r="A971" s="13">
        <v>71071</v>
      </c>
      <c r="B971" s="44">
        <f t="shared" si="6"/>
        <v>31</v>
      </c>
      <c r="C971" s="35">
        <v>194.20500000000001</v>
      </c>
      <c r="D971" s="35">
        <v>267.46600000000001</v>
      </c>
      <c r="E971" s="41">
        <v>812.32899999999995</v>
      </c>
      <c r="F971" s="35">
        <v>1274</v>
      </c>
      <c r="G971" s="35">
        <v>50</v>
      </c>
      <c r="H971" s="43">
        <v>600</v>
      </c>
      <c r="I971" s="35">
        <v>695</v>
      </c>
      <c r="J971" s="35">
        <v>0</v>
      </c>
      <c r="K971" s="36"/>
      <c r="L971" s="36"/>
      <c r="M971" s="36"/>
      <c r="N971" s="36"/>
      <c r="O971" s="36"/>
      <c r="P971" s="36"/>
      <c r="Q971" s="36"/>
      <c r="R971" s="36"/>
      <c r="S971" s="36"/>
      <c r="T971" s="36"/>
    </row>
    <row r="972" spans="1:20" ht="15.75">
      <c r="A972" s="13">
        <v>71102</v>
      </c>
      <c r="B972" s="44">
        <f t="shared" si="6"/>
        <v>31</v>
      </c>
      <c r="C972" s="35">
        <v>194.20500000000001</v>
      </c>
      <c r="D972" s="35">
        <v>267.46600000000001</v>
      </c>
      <c r="E972" s="41">
        <v>812.32899999999995</v>
      </c>
      <c r="F972" s="35">
        <v>1274</v>
      </c>
      <c r="G972" s="35">
        <v>50</v>
      </c>
      <c r="H972" s="43">
        <v>600</v>
      </c>
      <c r="I972" s="35">
        <v>695</v>
      </c>
      <c r="J972" s="35">
        <v>0</v>
      </c>
      <c r="K972" s="36"/>
      <c r="L972" s="36"/>
      <c r="M972" s="36"/>
      <c r="N972" s="36"/>
      <c r="O972" s="36"/>
      <c r="P972" s="36"/>
      <c r="Q972" s="36"/>
      <c r="R972" s="36"/>
      <c r="S972" s="36"/>
      <c r="T972" s="36"/>
    </row>
    <row r="973" spans="1:20" ht="15.75">
      <c r="A973" s="13">
        <v>71132</v>
      </c>
      <c r="B973" s="44">
        <f t="shared" si="6"/>
        <v>30</v>
      </c>
      <c r="C973" s="35">
        <v>194.20500000000001</v>
      </c>
      <c r="D973" s="35">
        <v>267.46600000000001</v>
      </c>
      <c r="E973" s="41">
        <v>812.32899999999995</v>
      </c>
      <c r="F973" s="35">
        <v>1274</v>
      </c>
      <c r="G973" s="35">
        <v>50</v>
      </c>
      <c r="H973" s="43">
        <v>600</v>
      </c>
      <c r="I973" s="35">
        <v>695</v>
      </c>
      <c r="J973" s="35">
        <v>0</v>
      </c>
      <c r="K973" s="36"/>
      <c r="L973" s="36"/>
      <c r="M973" s="36"/>
      <c r="N973" s="36"/>
      <c r="O973" s="36"/>
      <c r="P973" s="36"/>
      <c r="Q973" s="36"/>
      <c r="R973" s="36"/>
      <c r="S973" s="36"/>
      <c r="T973" s="36"/>
    </row>
    <row r="974" spans="1:20" ht="15.75">
      <c r="A974" s="13">
        <v>71163</v>
      </c>
      <c r="B974" s="44">
        <f t="shared" si="6"/>
        <v>31</v>
      </c>
      <c r="C974" s="35">
        <v>131.881</v>
      </c>
      <c r="D974" s="35">
        <v>277.16699999999997</v>
      </c>
      <c r="E974" s="41">
        <v>829.952</v>
      </c>
      <c r="F974" s="35">
        <v>1239</v>
      </c>
      <c r="G974" s="35">
        <v>75</v>
      </c>
      <c r="H974" s="43">
        <v>600</v>
      </c>
      <c r="I974" s="35">
        <v>695</v>
      </c>
      <c r="J974" s="35">
        <v>0</v>
      </c>
      <c r="K974" s="36"/>
      <c r="L974" s="36"/>
      <c r="M974" s="36"/>
      <c r="N974" s="36"/>
      <c r="O974" s="36"/>
      <c r="P974" s="36"/>
      <c r="Q974" s="36"/>
      <c r="R974" s="36"/>
      <c r="S974" s="36"/>
      <c r="T974" s="36"/>
    </row>
    <row r="975" spans="1:20" ht="15.75">
      <c r="A975" s="13">
        <v>71193</v>
      </c>
      <c r="B975" s="44">
        <f t="shared" si="6"/>
        <v>30</v>
      </c>
      <c r="C975" s="35">
        <v>122.58</v>
      </c>
      <c r="D975" s="35">
        <v>297.94099999999997</v>
      </c>
      <c r="E975" s="41">
        <v>729.47900000000004</v>
      </c>
      <c r="F975" s="35">
        <v>1150</v>
      </c>
      <c r="G975" s="35">
        <v>100</v>
      </c>
      <c r="H975" s="43">
        <v>600</v>
      </c>
      <c r="I975" s="35">
        <v>695</v>
      </c>
      <c r="J975" s="35">
        <v>50</v>
      </c>
      <c r="K975" s="36"/>
      <c r="L975" s="36"/>
      <c r="M975" s="36"/>
      <c r="N975" s="36"/>
      <c r="O975" s="36"/>
      <c r="P975" s="36"/>
      <c r="Q975" s="36"/>
      <c r="R975" s="36"/>
      <c r="S975" s="36"/>
      <c r="T975" s="36"/>
    </row>
    <row r="976" spans="1:20" ht="15.75">
      <c r="A976" s="13">
        <v>71224</v>
      </c>
      <c r="B976" s="44">
        <f t="shared" si="6"/>
        <v>31</v>
      </c>
      <c r="C976" s="35">
        <v>122.58</v>
      </c>
      <c r="D976" s="35">
        <v>297.94099999999997</v>
      </c>
      <c r="E976" s="41">
        <v>729.47900000000004</v>
      </c>
      <c r="F976" s="35">
        <v>1150</v>
      </c>
      <c r="G976" s="35">
        <v>100</v>
      </c>
      <c r="H976" s="43">
        <v>600</v>
      </c>
      <c r="I976" s="35">
        <v>695</v>
      </c>
      <c r="J976" s="35">
        <v>50</v>
      </c>
      <c r="K976" s="36"/>
      <c r="L976" s="36"/>
      <c r="M976" s="36"/>
      <c r="N976" s="36"/>
      <c r="O976" s="36"/>
      <c r="P976" s="36"/>
      <c r="Q976" s="36"/>
      <c r="R976" s="36"/>
      <c r="S976" s="36"/>
      <c r="T976" s="36"/>
    </row>
    <row r="977" spans="1:20" ht="15.75">
      <c r="A977" s="13">
        <v>71255</v>
      </c>
      <c r="B977" s="44">
        <f t="shared" si="6"/>
        <v>31</v>
      </c>
      <c r="C977" s="35">
        <v>122.58</v>
      </c>
      <c r="D977" s="35">
        <v>297.94099999999997</v>
      </c>
      <c r="E977" s="41">
        <v>729.47900000000004</v>
      </c>
      <c r="F977" s="35">
        <v>1150</v>
      </c>
      <c r="G977" s="35">
        <v>100</v>
      </c>
      <c r="H977" s="43">
        <v>600</v>
      </c>
      <c r="I977" s="35">
        <v>695</v>
      </c>
      <c r="J977" s="35">
        <v>50</v>
      </c>
      <c r="K977" s="36"/>
      <c r="L977" s="36"/>
      <c r="M977" s="36"/>
      <c r="N977" s="36"/>
      <c r="O977" s="36"/>
      <c r="P977" s="36"/>
      <c r="Q977" s="36"/>
      <c r="R977" s="36"/>
      <c r="S977" s="36"/>
      <c r="T977" s="36"/>
    </row>
    <row r="978" spans="1:20" ht="15.75">
      <c r="A978" s="13">
        <v>71283</v>
      </c>
      <c r="B978" s="44">
        <f t="shared" si="6"/>
        <v>28</v>
      </c>
      <c r="C978" s="35">
        <v>122.58</v>
      </c>
      <c r="D978" s="35">
        <v>297.94099999999997</v>
      </c>
      <c r="E978" s="41">
        <v>729.47900000000004</v>
      </c>
      <c r="F978" s="35">
        <v>1150</v>
      </c>
      <c r="G978" s="35">
        <v>100</v>
      </c>
      <c r="H978" s="43">
        <v>600</v>
      </c>
      <c r="I978" s="35">
        <v>695</v>
      </c>
      <c r="J978" s="35">
        <v>50</v>
      </c>
      <c r="K978" s="36"/>
      <c r="L978" s="36"/>
      <c r="M978" s="36"/>
      <c r="N978" s="36"/>
      <c r="O978" s="36"/>
      <c r="P978" s="36"/>
      <c r="Q978" s="36"/>
      <c r="R978" s="36"/>
      <c r="S978" s="36"/>
      <c r="T978" s="36"/>
    </row>
    <row r="979" spans="1:20" ht="15.75">
      <c r="A979" s="13">
        <v>71314</v>
      </c>
      <c r="B979" s="44">
        <f t="shared" si="6"/>
        <v>31</v>
      </c>
      <c r="C979" s="35">
        <v>122.58</v>
      </c>
      <c r="D979" s="35">
        <v>297.94099999999997</v>
      </c>
      <c r="E979" s="41">
        <v>729.47900000000004</v>
      </c>
      <c r="F979" s="35">
        <v>1150</v>
      </c>
      <c r="G979" s="35">
        <v>100</v>
      </c>
      <c r="H979" s="43">
        <v>600</v>
      </c>
      <c r="I979" s="35">
        <v>695</v>
      </c>
      <c r="J979" s="35">
        <v>50</v>
      </c>
      <c r="K979" s="36"/>
      <c r="L979" s="36"/>
      <c r="M979" s="36"/>
      <c r="N979" s="36"/>
      <c r="O979" s="36"/>
      <c r="P979" s="36"/>
      <c r="Q979" s="36"/>
      <c r="R979" s="36"/>
      <c r="S979" s="36"/>
      <c r="T979" s="36"/>
    </row>
    <row r="980" spans="1:20" ht="15.75">
      <c r="A980" s="13">
        <v>71344</v>
      </c>
      <c r="B980" s="44">
        <f t="shared" si="6"/>
        <v>30</v>
      </c>
      <c r="C980" s="35">
        <v>141.29300000000001</v>
      </c>
      <c r="D980" s="35">
        <v>267.99299999999999</v>
      </c>
      <c r="E980" s="41">
        <v>829.71400000000006</v>
      </c>
      <c r="F980" s="35">
        <v>1239</v>
      </c>
      <c r="G980" s="35">
        <v>100</v>
      </c>
      <c r="H980" s="43">
        <v>600</v>
      </c>
      <c r="I980" s="35">
        <v>695</v>
      </c>
      <c r="J980" s="35">
        <v>50</v>
      </c>
      <c r="K980" s="36"/>
      <c r="L980" s="36"/>
      <c r="M980" s="36"/>
      <c r="N980" s="36"/>
      <c r="O980" s="36"/>
      <c r="P980" s="36"/>
      <c r="Q980" s="36"/>
      <c r="R980" s="36"/>
      <c r="S980" s="36"/>
      <c r="T980" s="36"/>
    </row>
    <row r="981" spans="1:20" ht="15.75">
      <c r="A981" s="13">
        <v>71375</v>
      </c>
      <c r="B981" s="44">
        <f t="shared" si="6"/>
        <v>31</v>
      </c>
      <c r="C981" s="35">
        <v>194.20500000000001</v>
      </c>
      <c r="D981" s="35">
        <v>267.46600000000001</v>
      </c>
      <c r="E981" s="41">
        <v>812.32899999999995</v>
      </c>
      <c r="F981" s="35">
        <v>1274</v>
      </c>
      <c r="G981" s="35">
        <v>75</v>
      </c>
      <c r="H981" s="43">
        <v>600</v>
      </c>
      <c r="I981" s="35">
        <v>695</v>
      </c>
      <c r="J981" s="35">
        <v>50</v>
      </c>
      <c r="K981" s="36"/>
      <c r="L981" s="36"/>
      <c r="M981" s="36"/>
      <c r="N981" s="36"/>
      <c r="O981" s="36"/>
      <c r="P981" s="36"/>
      <c r="Q981" s="36"/>
      <c r="R981" s="36"/>
      <c r="S981" s="36"/>
      <c r="T981" s="36"/>
    </row>
    <row r="982" spans="1:20" ht="15.75">
      <c r="A982" s="13">
        <v>71405</v>
      </c>
      <c r="B982" s="44">
        <f t="shared" si="6"/>
        <v>30</v>
      </c>
      <c r="C982" s="35">
        <v>194.20500000000001</v>
      </c>
      <c r="D982" s="35">
        <v>267.46600000000001</v>
      </c>
      <c r="E982" s="41">
        <v>812.32899999999995</v>
      </c>
      <c r="F982" s="35">
        <v>1274</v>
      </c>
      <c r="G982" s="35">
        <v>50</v>
      </c>
      <c r="H982" s="43">
        <v>600</v>
      </c>
      <c r="I982" s="35">
        <v>695</v>
      </c>
      <c r="J982" s="35">
        <v>50</v>
      </c>
      <c r="K982" s="36"/>
      <c r="L982" s="36"/>
      <c r="M982" s="36"/>
      <c r="N982" s="36"/>
      <c r="O982" s="36"/>
      <c r="P982" s="36"/>
      <c r="Q982" s="36"/>
      <c r="R982" s="36"/>
      <c r="S982" s="36"/>
      <c r="T982" s="36"/>
    </row>
    <row r="983" spans="1:20" ht="15.75">
      <c r="A983" s="13">
        <v>71436</v>
      </c>
      <c r="B983" s="44">
        <f t="shared" si="6"/>
        <v>31</v>
      </c>
      <c r="C983" s="35">
        <v>194.20500000000001</v>
      </c>
      <c r="D983" s="35">
        <v>267.46600000000001</v>
      </c>
      <c r="E983" s="41">
        <v>812.32899999999995</v>
      </c>
      <c r="F983" s="35">
        <v>1274</v>
      </c>
      <c r="G983" s="35">
        <v>50</v>
      </c>
      <c r="H983" s="43">
        <v>600</v>
      </c>
      <c r="I983" s="35">
        <v>695</v>
      </c>
      <c r="J983" s="35">
        <v>0</v>
      </c>
      <c r="K983" s="36"/>
      <c r="L983" s="36"/>
      <c r="M983" s="36"/>
      <c r="N983" s="36"/>
      <c r="O983" s="36"/>
      <c r="P983" s="36"/>
      <c r="Q983" s="36"/>
      <c r="R983" s="36"/>
      <c r="S983" s="36"/>
      <c r="T983" s="36"/>
    </row>
    <row r="984" spans="1:20" ht="15.75">
      <c r="A984" s="13">
        <v>71467</v>
      </c>
      <c r="B984" s="44">
        <f t="shared" si="6"/>
        <v>31</v>
      </c>
      <c r="C984" s="35">
        <v>194.20500000000001</v>
      </c>
      <c r="D984" s="35">
        <v>267.46600000000001</v>
      </c>
      <c r="E984" s="41">
        <v>812.32899999999995</v>
      </c>
      <c r="F984" s="35">
        <v>1274</v>
      </c>
      <c r="G984" s="35">
        <v>50</v>
      </c>
      <c r="H984" s="43">
        <v>600</v>
      </c>
      <c r="I984" s="35">
        <v>695</v>
      </c>
      <c r="J984" s="35">
        <v>0</v>
      </c>
      <c r="K984" s="36"/>
      <c r="L984" s="36"/>
      <c r="M984" s="36"/>
      <c r="N984" s="36"/>
      <c r="O984" s="36"/>
      <c r="P984" s="36"/>
      <c r="Q984" s="36"/>
      <c r="R984" s="36"/>
      <c r="S984" s="36"/>
      <c r="T984" s="36"/>
    </row>
    <row r="985" spans="1:20" ht="15.75">
      <c r="A985" s="13">
        <v>71497</v>
      </c>
      <c r="B985" s="44">
        <f t="shared" si="6"/>
        <v>30</v>
      </c>
      <c r="C985" s="35">
        <v>194.20500000000001</v>
      </c>
      <c r="D985" s="35">
        <v>267.46600000000001</v>
      </c>
      <c r="E985" s="41">
        <v>812.32899999999995</v>
      </c>
      <c r="F985" s="35">
        <v>1274</v>
      </c>
      <c r="G985" s="35">
        <v>50</v>
      </c>
      <c r="H985" s="43">
        <v>600</v>
      </c>
      <c r="I985" s="35">
        <v>695</v>
      </c>
      <c r="J985" s="35">
        <v>0</v>
      </c>
      <c r="K985" s="36"/>
      <c r="L985" s="36"/>
      <c r="M985" s="36"/>
      <c r="N985" s="36"/>
      <c r="O985" s="36"/>
      <c r="P985" s="36"/>
      <c r="Q985" s="36"/>
      <c r="R985" s="36"/>
      <c r="S985" s="36"/>
      <c r="T985" s="36"/>
    </row>
    <row r="986" spans="1:20" ht="15.75">
      <c r="A986" s="13">
        <v>71528</v>
      </c>
      <c r="B986" s="44">
        <f t="shared" si="6"/>
        <v>31</v>
      </c>
      <c r="C986" s="35">
        <v>131.881</v>
      </c>
      <c r="D986" s="35">
        <v>277.16699999999997</v>
      </c>
      <c r="E986" s="41">
        <v>829.952</v>
      </c>
      <c r="F986" s="35">
        <v>1239</v>
      </c>
      <c r="G986" s="35">
        <v>75</v>
      </c>
      <c r="H986" s="43">
        <v>600</v>
      </c>
      <c r="I986" s="35">
        <v>695</v>
      </c>
      <c r="J986" s="35">
        <v>0</v>
      </c>
      <c r="K986" s="36"/>
      <c r="L986" s="36"/>
      <c r="M986" s="36"/>
      <c r="N986" s="36"/>
      <c r="O986" s="36"/>
      <c r="P986" s="36"/>
      <c r="Q986" s="36"/>
      <c r="R986" s="36"/>
      <c r="S986" s="36"/>
      <c r="T986" s="36"/>
    </row>
    <row r="987" spans="1:20" ht="15.75">
      <c r="A987" s="13">
        <v>71558</v>
      </c>
      <c r="B987" s="44">
        <f t="shared" si="6"/>
        <v>30</v>
      </c>
      <c r="C987" s="35">
        <v>122.58</v>
      </c>
      <c r="D987" s="35">
        <v>297.94099999999997</v>
      </c>
      <c r="E987" s="41">
        <v>729.47900000000004</v>
      </c>
      <c r="F987" s="35">
        <v>1150</v>
      </c>
      <c r="G987" s="35">
        <v>100</v>
      </c>
      <c r="H987" s="43">
        <v>600</v>
      </c>
      <c r="I987" s="35">
        <v>695</v>
      </c>
      <c r="J987" s="35">
        <v>50</v>
      </c>
      <c r="K987" s="36"/>
      <c r="L987" s="36"/>
      <c r="M987" s="36"/>
      <c r="N987" s="36"/>
      <c r="O987" s="36"/>
      <c r="P987" s="36"/>
      <c r="Q987" s="36"/>
      <c r="R987" s="36"/>
      <c r="S987" s="36"/>
      <c r="T987" s="36"/>
    </row>
    <row r="988" spans="1:20" ht="15.75">
      <c r="A988" s="13">
        <v>71589</v>
      </c>
      <c r="B988" s="44">
        <f t="shared" si="6"/>
        <v>31</v>
      </c>
      <c r="C988" s="35">
        <v>122.58</v>
      </c>
      <c r="D988" s="35">
        <v>297.94099999999997</v>
      </c>
      <c r="E988" s="41">
        <v>729.47900000000004</v>
      </c>
      <c r="F988" s="35">
        <v>1150</v>
      </c>
      <c r="G988" s="35">
        <v>100</v>
      </c>
      <c r="H988" s="43">
        <v>600</v>
      </c>
      <c r="I988" s="35">
        <v>695</v>
      </c>
      <c r="J988" s="35">
        <v>50</v>
      </c>
      <c r="K988" s="36"/>
      <c r="L988" s="36"/>
      <c r="M988" s="36"/>
      <c r="N988" s="36"/>
      <c r="O988" s="36"/>
      <c r="P988" s="36"/>
      <c r="Q988" s="36"/>
      <c r="R988" s="36"/>
      <c r="S988" s="36"/>
      <c r="T988" s="36"/>
    </row>
    <row r="989" spans="1:20" ht="15.75">
      <c r="A989" s="13">
        <v>71620</v>
      </c>
      <c r="B989" s="44">
        <f t="shared" si="6"/>
        <v>31</v>
      </c>
      <c r="C989" s="35">
        <v>122.58</v>
      </c>
      <c r="D989" s="35">
        <v>297.94099999999997</v>
      </c>
      <c r="E989" s="41">
        <v>729.47900000000004</v>
      </c>
      <c r="F989" s="35">
        <v>1150</v>
      </c>
      <c r="G989" s="35">
        <v>100</v>
      </c>
      <c r="H989" s="43">
        <v>600</v>
      </c>
      <c r="I989" s="35">
        <v>695</v>
      </c>
      <c r="J989" s="35">
        <v>50</v>
      </c>
      <c r="K989" s="36"/>
      <c r="L989" s="36"/>
      <c r="M989" s="36"/>
      <c r="N989" s="36"/>
      <c r="O989" s="36"/>
      <c r="P989" s="36"/>
      <c r="Q989" s="36"/>
      <c r="R989" s="36"/>
      <c r="S989" s="36"/>
      <c r="T989" s="36"/>
    </row>
    <row r="990" spans="1:20" ht="15.75">
      <c r="A990" s="13">
        <v>71649</v>
      </c>
      <c r="B990" s="44">
        <f t="shared" si="6"/>
        <v>29</v>
      </c>
      <c r="C990" s="35">
        <v>122.58</v>
      </c>
      <c r="D990" s="35">
        <v>297.94099999999997</v>
      </c>
      <c r="E990" s="41">
        <v>729.47900000000004</v>
      </c>
      <c r="F990" s="35">
        <v>1150</v>
      </c>
      <c r="G990" s="35">
        <v>100</v>
      </c>
      <c r="H990" s="43">
        <v>600</v>
      </c>
      <c r="I990" s="35">
        <v>695</v>
      </c>
      <c r="J990" s="35">
        <v>50</v>
      </c>
      <c r="K990" s="36"/>
      <c r="L990" s="36"/>
      <c r="M990" s="36"/>
      <c r="N990" s="36"/>
      <c r="O990" s="36"/>
      <c r="P990" s="36"/>
      <c r="Q990" s="36"/>
      <c r="R990" s="36"/>
      <c r="S990" s="36"/>
      <c r="T990" s="36"/>
    </row>
    <row r="991" spans="1:20" ht="15.75">
      <c r="A991" s="13">
        <v>71680</v>
      </c>
      <c r="B991" s="44">
        <f t="shared" si="6"/>
        <v>31</v>
      </c>
      <c r="C991" s="35">
        <v>122.58</v>
      </c>
      <c r="D991" s="35">
        <v>297.94099999999997</v>
      </c>
      <c r="E991" s="41">
        <v>729.47900000000004</v>
      </c>
      <c r="F991" s="35">
        <v>1150</v>
      </c>
      <c r="G991" s="35">
        <v>100</v>
      </c>
      <c r="H991" s="43">
        <v>600</v>
      </c>
      <c r="I991" s="35">
        <v>695</v>
      </c>
      <c r="J991" s="35">
        <v>50</v>
      </c>
      <c r="K991" s="36"/>
      <c r="L991" s="36"/>
      <c r="M991" s="36"/>
      <c r="N991" s="36"/>
      <c r="O991" s="36"/>
      <c r="P991" s="36"/>
      <c r="Q991" s="36"/>
      <c r="R991" s="36"/>
      <c r="S991" s="36"/>
      <c r="T991" s="36"/>
    </row>
    <row r="992" spans="1:20" ht="15.75">
      <c r="A992" s="13">
        <v>71710</v>
      </c>
      <c r="B992" s="44">
        <f t="shared" si="6"/>
        <v>30</v>
      </c>
      <c r="C992" s="35">
        <v>141.29300000000001</v>
      </c>
      <c r="D992" s="35">
        <v>267.99299999999999</v>
      </c>
      <c r="E992" s="41">
        <v>829.71400000000006</v>
      </c>
      <c r="F992" s="35">
        <v>1239</v>
      </c>
      <c r="G992" s="35">
        <v>100</v>
      </c>
      <c r="H992" s="43">
        <v>600</v>
      </c>
      <c r="I992" s="35">
        <v>695</v>
      </c>
      <c r="J992" s="35">
        <v>50</v>
      </c>
      <c r="K992" s="36"/>
      <c r="L992" s="36"/>
      <c r="M992" s="36"/>
      <c r="N992" s="36"/>
      <c r="O992" s="36"/>
      <c r="P992" s="36"/>
      <c r="Q992" s="36"/>
      <c r="R992" s="36"/>
      <c r="S992" s="36"/>
      <c r="T992" s="36"/>
    </row>
    <row r="993" spans="1:20" ht="15.75">
      <c r="A993" s="13">
        <v>71741</v>
      </c>
      <c r="B993" s="44">
        <f t="shared" si="6"/>
        <v>31</v>
      </c>
      <c r="C993" s="35">
        <v>194.20500000000001</v>
      </c>
      <c r="D993" s="35">
        <v>267.46600000000001</v>
      </c>
      <c r="E993" s="41">
        <v>812.32899999999995</v>
      </c>
      <c r="F993" s="35">
        <v>1274</v>
      </c>
      <c r="G993" s="35">
        <v>75</v>
      </c>
      <c r="H993" s="43">
        <v>600</v>
      </c>
      <c r="I993" s="35">
        <v>695</v>
      </c>
      <c r="J993" s="35">
        <v>50</v>
      </c>
      <c r="K993" s="36"/>
      <c r="L993" s="36"/>
      <c r="M993" s="36"/>
      <c r="N993" s="36"/>
      <c r="O993" s="36"/>
      <c r="P993" s="36"/>
      <c r="Q993" s="36"/>
      <c r="R993" s="36"/>
      <c r="S993" s="36"/>
      <c r="T993" s="36"/>
    </row>
    <row r="994" spans="1:20" ht="15.75">
      <c r="A994" s="13">
        <v>71771</v>
      </c>
      <c r="B994" s="44">
        <f t="shared" si="6"/>
        <v>30</v>
      </c>
      <c r="C994" s="35">
        <v>194.20500000000001</v>
      </c>
      <c r="D994" s="35">
        <v>267.46600000000001</v>
      </c>
      <c r="E994" s="41">
        <v>812.32899999999995</v>
      </c>
      <c r="F994" s="35">
        <v>1274</v>
      </c>
      <c r="G994" s="35">
        <v>50</v>
      </c>
      <c r="H994" s="43">
        <v>600</v>
      </c>
      <c r="I994" s="35">
        <v>695</v>
      </c>
      <c r="J994" s="35">
        <v>50</v>
      </c>
      <c r="K994" s="36"/>
      <c r="L994" s="36"/>
      <c r="M994" s="36"/>
      <c r="N994" s="36"/>
      <c r="O994" s="36"/>
      <c r="P994" s="36"/>
      <c r="Q994" s="36"/>
      <c r="R994" s="36"/>
      <c r="S994" s="36"/>
      <c r="T994" s="36"/>
    </row>
    <row r="995" spans="1:20" ht="15.75">
      <c r="A995" s="13">
        <v>71802</v>
      </c>
      <c r="B995" s="44">
        <f t="shared" si="6"/>
        <v>31</v>
      </c>
      <c r="C995" s="35">
        <v>194.20500000000001</v>
      </c>
      <c r="D995" s="35">
        <v>267.46600000000001</v>
      </c>
      <c r="E995" s="41">
        <v>812.32899999999995</v>
      </c>
      <c r="F995" s="35">
        <v>1274</v>
      </c>
      <c r="G995" s="35">
        <v>50</v>
      </c>
      <c r="H995" s="43">
        <v>600</v>
      </c>
      <c r="I995" s="35">
        <v>695</v>
      </c>
      <c r="J995" s="35">
        <v>0</v>
      </c>
      <c r="K995" s="36"/>
      <c r="L995" s="36"/>
      <c r="M995" s="36"/>
      <c r="N995" s="36"/>
      <c r="O995" s="36"/>
      <c r="P995" s="36"/>
      <c r="Q995" s="36"/>
      <c r="R995" s="36"/>
      <c r="S995" s="36"/>
      <c r="T995" s="36"/>
    </row>
    <row r="996" spans="1:20" ht="15.75">
      <c r="A996" s="13">
        <v>71833</v>
      </c>
      <c r="B996" s="44">
        <f t="shared" si="6"/>
        <v>31</v>
      </c>
      <c r="C996" s="35">
        <v>194.20500000000001</v>
      </c>
      <c r="D996" s="35">
        <v>267.46600000000001</v>
      </c>
      <c r="E996" s="41">
        <v>812.32899999999995</v>
      </c>
      <c r="F996" s="35">
        <v>1274</v>
      </c>
      <c r="G996" s="35">
        <v>50</v>
      </c>
      <c r="H996" s="43">
        <v>600</v>
      </c>
      <c r="I996" s="35">
        <v>695</v>
      </c>
      <c r="J996" s="35">
        <v>0</v>
      </c>
      <c r="K996" s="36"/>
      <c r="L996" s="36"/>
      <c r="M996" s="36"/>
      <c r="N996" s="36"/>
      <c r="O996" s="36"/>
      <c r="P996" s="36"/>
      <c r="Q996" s="36"/>
      <c r="R996" s="36"/>
      <c r="S996" s="36"/>
      <c r="T996" s="36"/>
    </row>
    <row r="997" spans="1:20" ht="15.75">
      <c r="A997" s="13">
        <v>71863</v>
      </c>
      <c r="B997" s="44">
        <f t="shared" si="6"/>
        <v>30</v>
      </c>
      <c r="C997" s="35">
        <v>194.20500000000001</v>
      </c>
      <c r="D997" s="35">
        <v>267.46600000000001</v>
      </c>
      <c r="E997" s="41">
        <v>812.32899999999995</v>
      </c>
      <c r="F997" s="35">
        <v>1274</v>
      </c>
      <c r="G997" s="35">
        <v>50</v>
      </c>
      <c r="H997" s="43">
        <v>600</v>
      </c>
      <c r="I997" s="35">
        <v>695</v>
      </c>
      <c r="J997" s="35">
        <v>0</v>
      </c>
      <c r="K997" s="36"/>
      <c r="L997" s="36"/>
      <c r="M997" s="36"/>
      <c r="N997" s="36"/>
      <c r="O997" s="36"/>
      <c r="P997" s="36"/>
      <c r="Q997" s="36"/>
      <c r="R997" s="36"/>
      <c r="S997" s="36"/>
      <c r="T997" s="36"/>
    </row>
    <row r="998" spans="1:20" ht="15.75">
      <c r="A998" s="13">
        <v>71894</v>
      </c>
      <c r="B998" s="44">
        <f t="shared" si="6"/>
        <v>31</v>
      </c>
      <c r="C998" s="35">
        <v>131.881</v>
      </c>
      <c r="D998" s="35">
        <v>277.16699999999997</v>
      </c>
      <c r="E998" s="41">
        <v>829.952</v>
      </c>
      <c r="F998" s="35">
        <v>1239</v>
      </c>
      <c r="G998" s="35">
        <v>75</v>
      </c>
      <c r="H998" s="43">
        <v>600</v>
      </c>
      <c r="I998" s="35">
        <v>695</v>
      </c>
      <c r="J998" s="35">
        <v>0</v>
      </c>
      <c r="K998" s="36"/>
      <c r="L998" s="36"/>
      <c r="M998" s="36"/>
      <c r="N998" s="36"/>
      <c r="O998" s="36"/>
      <c r="P998" s="36"/>
      <c r="Q998" s="36"/>
      <c r="R998" s="36"/>
      <c r="S998" s="36"/>
      <c r="T998" s="36"/>
    </row>
    <row r="999" spans="1:20" ht="15.75">
      <c r="A999" s="13">
        <v>71924</v>
      </c>
      <c r="B999" s="44">
        <f t="shared" si="6"/>
        <v>30</v>
      </c>
      <c r="C999" s="35">
        <v>122.58</v>
      </c>
      <c r="D999" s="35">
        <v>297.94099999999997</v>
      </c>
      <c r="E999" s="41">
        <v>729.47900000000004</v>
      </c>
      <c r="F999" s="35">
        <v>1150</v>
      </c>
      <c r="G999" s="35">
        <v>100</v>
      </c>
      <c r="H999" s="43">
        <v>600</v>
      </c>
      <c r="I999" s="35">
        <v>695</v>
      </c>
      <c r="J999" s="35">
        <v>50</v>
      </c>
      <c r="K999" s="36"/>
      <c r="L999" s="36"/>
      <c r="M999" s="36"/>
      <c r="N999" s="36"/>
      <c r="O999" s="36"/>
      <c r="P999" s="36"/>
      <c r="Q999" s="36"/>
      <c r="R999" s="36"/>
      <c r="S999" s="36"/>
      <c r="T999" s="36"/>
    </row>
    <row r="1000" spans="1:20" ht="15.75">
      <c r="A1000" s="13">
        <v>71955</v>
      </c>
      <c r="B1000" s="44">
        <f t="shared" si="6"/>
        <v>31</v>
      </c>
      <c r="C1000" s="35">
        <v>122.58</v>
      </c>
      <c r="D1000" s="35">
        <v>297.94099999999997</v>
      </c>
      <c r="E1000" s="41">
        <v>729.47900000000004</v>
      </c>
      <c r="F1000" s="35">
        <v>1150</v>
      </c>
      <c r="G1000" s="35">
        <v>100</v>
      </c>
      <c r="H1000" s="43">
        <v>600</v>
      </c>
      <c r="I1000" s="35">
        <v>695</v>
      </c>
      <c r="J1000" s="35">
        <v>50</v>
      </c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</row>
    <row r="1001" spans="1:20" ht="15.75">
      <c r="A1001" s="13">
        <v>71986</v>
      </c>
      <c r="B1001" s="44">
        <f t="shared" si="6"/>
        <v>31</v>
      </c>
      <c r="C1001" s="35">
        <v>122.58</v>
      </c>
      <c r="D1001" s="35">
        <v>297.94099999999997</v>
      </c>
      <c r="E1001" s="41">
        <v>729.47900000000004</v>
      </c>
      <c r="F1001" s="35">
        <v>1150</v>
      </c>
      <c r="G1001" s="35">
        <v>100</v>
      </c>
      <c r="H1001" s="43">
        <v>600</v>
      </c>
      <c r="I1001" s="35">
        <v>695</v>
      </c>
      <c r="J1001" s="35">
        <v>50</v>
      </c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</row>
    <row r="1002" spans="1:20" ht="15.75">
      <c r="A1002" s="13">
        <v>72014</v>
      </c>
      <c r="B1002" s="44">
        <f t="shared" si="6"/>
        <v>28</v>
      </c>
      <c r="C1002" s="35">
        <v>122.58</v>
      </c>
      <c r="D1002" s="35">
        <v>297.94099999999997</v>
      </c>
      <c r="E1002" s="41">
        <v>729.47900000000004</v>
      </c>
      <c r="F1002" s="35">
        <v>1150</v>
      </c>
      <c r="G1002" s="35">
        <v>100</v>
      </c>
      <c r="H1002" s="43">
        <v>600</v>
      </c>
      <c r="I1002" s="35">
        <v>695</v>
      </c>
      <c r="J1002" s="35">
        <v>50</v>
      </c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</row>
    <row r="1003" spans="1:20" ht="15.75">
      <c r="A1003" s="13">
        <v>72045</v>
      </c>
      <c r="B1003" s="44">
        <f t="shared" si="6"/>
        <v>31</v>
      </c>
      <c r="C1003" s="35">
        <v>122.58</v>
      </c>
      <c r="D1003" s="35">
        <v>297.94099999999997</v>
      </c>
      <c r="E1003" s="41">
        <v>729.47900000000004</v>
      </c>
      <c r="F1003" s="35">
        <v>1150</v>
      </c>
      <c r="G1003" s="35">
        <v>100</v>
      </c>
      <c r="H1003" s="43">
        <v>600</v>
      </c>
      <c r="I1003" s="35">
        <v>695</v>
      </c>
      <c r="J1003" s="35">
        <v>50</v>
      </c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</row>
    <row r="1004" spans="1:20" ht="15.75">
      <c r="A1004" s="13">
        <v>72075</v>
      </c>
      <c r="B1004" s="44">
        <f t="shared" si="6"/>
        <v>30</v>
      </c>
      <c r="C1004" s="35">
        <v>141.29300000000001</v>
      </c>
      <c r="D1004" s="35">
        <v>267.99299999999999</v>
      </c>
      <c r="E1004" s="41">
        <v>829.71400000000006</v>
      </c>
      <c r="F1004" s="35">
        <v>1239</v>
      </c>
      <c r="G1004" s="35">
        <v>100</v>
      </c>
      <c r="H1004" s="43">
        <v>600</v>
      </c>
      <c r="I1004" s="35">
        <v>695</v>
      </c>
      <c r="J1004" s="35">
        <v>50</v>
      </c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</row>
    <row r="1005" spans="1:20" ht="15.75">
      <c r="A1005" s="13">
        <v>72106</v>
      </c>
      <c r="B1005" s="44">
        <f t="shared" si="6"/>
        <v>31</v>
      </c>
      <c r="C1005" s="35">
        <v>194.20500000000001</v>
      </c>
      <c r="D1005" s="35">
        <v>267.46600000000001</v>
      </c>
      <c r="E1005" s="41">
        <v>812.32899999999995</v>
      </c>
      <c r="F1005" s="35">
        <v>1274</v>
      </c>
      <c r="G1005" s="35">
        <v>75</v>
      </c>
      <c r="H1005" s="43">
        <v>600</v>
      </c>
      <c r="I1005" s="35">
        <v>695</v>
      </c>
      <c r="J1005" s="35">
        <v>50</v>
      </c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</row>
    <row r="1006" spans="1:20" ht="15.75">
      <c r="A1006" s="13">
        <v>72136</v>
      </c>
      <c r="B1006" s="44">
        <f t="shared" si="6"/>
        <v>30</v>
      </c>
      <c r="C1006" s="35">
        <v>194.20500000000001</v>
      </c>
      <c r="D1006" s="35">
        <v>267.46600000000001</v>
      </c>
      <c r="E1006" s="41">
        <v>812.32899999999995</v>
      </c>
      <c r="F1006" s="35">
        <v>1274</v>
      </c>
      <c r="G1006" s="35">
        <v>50</v>
      </c>
      <c r="H1006" s="43">
        <v>600</v>
      </c>
      <c r="I1006" s="35">
        <v>695</v>
      </c>
      <c r="J1006" s="35">
        <v>50</v>
      </c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</row>
    <row r="1007" spans="1:20" ht="15.75">
      <c r="A1007" s="13">
        <v>72167</v>
      </c>
      <c r="B1007" s="44">
        <f t="shared" si="6"/>
        <v>31</v>
      </c>
      <c r="C1007" s="35">
        <v>194.20500000000001</v>
      </c>
      <c r="D1007" s="35">
        <v>267.46600000000001</v>
      </c>
      <c r="E1007" s="41">
        <v>812.32899999999995</v>
      </c>
      <c r="F1007" s="35">
        <v>1274</v>
      </c>
      <c r="G1007" s="35">
        <v>50</v>
      </c>
      <c r="H1007" s="43">
        <v>600</v>
      </c>
      <c r="I1007" s="35">
        <v>695</v>
      </c>
      <c r="J1007" s="35">
        <v>0</v>
      </c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</row>
    <row r="1008" spans="1:20" ht="15.75">
      <c r="A1008" s="13">
        <v>72198</v>
      </c>
      <c r="B1008" s="44">
        <f t="shared" si="6"/>
        <v>31</v>
      </c>
      <c r="C1008" s="35">
        <v>194.20500000000001</v>
      </c>
      <c r="D1008" s="35">
        <v>267.46600000000001</v>
      </c>
      <c r="E1008" s="41">
        <v>812.32899999999995</v>
      </c>
      <c r="F1008" s="35">
        <v>1274</v>
      </c>
      <c r="G1008" s="35">
        <v>50</v>
      </c>
      <c r="H1008" s="43">
        <v>600</v>
      </c>
      <c r="I1008" s="35">
        <v>695</v>
      </c>
      <c r="J1008" s="35">
        <v>0</v>
      </c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</row>
    <row r="1009" spans="1:20" ht="15.75">
      <c r="A1009" s="13">
        <v>72228</v>
      </c>
      <c r="B1009" s="44">
        <f t="shared" si="6"/>
        <v>30</v>
      </c>
      <c r="C1009" s="35">
        <v>194.20500000000001</v>
      </c>
      <c r="D1009" s="35">
        <v>267.46600000000001</v>
      </c>
      <c r="E1009" s="41">
        <v>812.32899999999995</v>
      </c>
      <c r="F1009" s="35">
        <v>1274</v>
      </c>
      <c r="G1009" s="35">
        <v>50</v>
      </c>
      <c r="H1009" s="43">
        <v>600</v>
      </c>
      <c r="I1009" s="35">
        <v>695</v>
      </c>
      <c r="J1009" s="35">
        <v>0</v>
      </c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</row>
    <row r="1010" spans="1:20" ht="15.75">
      <c r="A1010" s="13">
        <v>72259</v>
      </c>
      <c r="B1010" s="44">
        <f t="shared" si="6"/>
        <v>31</v>
      </c>
      <c r="C1010" s="35">
        <v>131.881</v>
      </c>
      <c r="D1010" s="35">
        <v>277.16699999999997</v>
      </c>
      <c r="E1010" s="41">
        <v>829.952</v>
      </c>
      <c r="F1010" s="35">
        <v>1239</v>
      </c>
      <c r="G1010" s="35">
        <v>75</v>
      </c>
      <c r="H1010" s="43">
        <v>600</v>
      </c>
      <c r="I1010" s="35">
        <v>695</v>
      </c>
      <c r="J1010" s="35">
        <v>0</v>
      </c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</row>
    <row r="1011" spans="1:20" ht="15.75">
      <c r="A1011" s="13">
        <v>72289</v>
      </c>
      <c r="B1011" s="44">
        <f t="shared" si="6"/>
        <v>30</v>
      </c>
      <c r="C1011" s="35">
        <v>122.58</v>
      </c>
      <c r="D1011" s="35">
        <v>297.94099999999997</v>
      </c>
      <c r="E1011" s="41">
        <v>729.47900000000004</v>
      </c>
      <c r="F1011" s="35">
        <v>1150</v>
      </c>
      <c r="G1011" s="35">
        <v>100</v>
      </c>
      <c r="H1011" s="43">
        <v>600</v>
      </c>
      <c r="I1011" s="35">
        <v>695</v>
      </c>
      <c r="J1011" s="35">
        <v>50</v>
      </c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</row>
    <row r="1012" spans="1:20" ht="15.75">
      <c r="A1012" s="13">
        <v>72320</v>
      </c>
      <c r="B1012" s="44">
        <f t="shared" si="6"/>
        <v>31</v>
      </c>
      <c r="C1012" s="35">
        <v>122.58</v>
      </c>
      <c r="D1012" s="35">
        <v>297.94099999999997</v>
      </c>
      <c r="E1012" s="41">
        <v>729.47900000000004</v>
      </c>
      <c r="F1012" s="35">
        <v>1150</v>
      </c>
      <c r="G1012" s="35">
        <v>100</v>
      </c>
      <c r="H1012" s="43">
        <v>600</v>
      </c>
      <c r="I1012" s="35">
        <v>695</v>
      </c>
      <c r="J1012" s="35">
        <v>50</v>
      </c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</row>
    <row r="1013" spans="1:20" ht="15.75">
      <c r="A1013" s="13">
        <v>72351</v>
      </c>
      <c r="B1013" s="44">
        <f t="shared" si="6"/>
        <v>31</v>
      </c>
      <c r="C1013" s="35">
        <v>122.58</v>
      </c>
      <c r="D1013" s="35">
        <v>297.94099999999997</v>
      </c>
      <c r="E1013" s="41">
        <v>729.47900000000004</v>
      </c>
      <c r="F1013" s="35">
        <v>1150</v>
      </c>
      <c r="G1013" s="35">
        <v>100</v>
      </c>
      <c r="H1013" s="43">
        <v>600</v>
      </c>
      <c r="I1013" s="35">
        <v>695</v>
      </c>
      <c r="J1013" s="35">
        <v>50</v>
      </c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</row>
    <row r="1014" spans="1:20" ht="15.75">
      <c r="A1014" s="13">
        <v>72379</v>
      </c>
      <c r="B1014" s="44">
        <f t="shared" si="6"/>
        <v>28</v>
      </c>
      <c r="C1014" s="35">
        <v>122.58</v>
      </c>
      <c r="D1014" s="35">
        <v>297.94099999999997</v>
      </c>
      <c r="E1014" s="41">
        <v>729.47900000000004</v>
      </c>
      <c r="F1014" s="35">
        <v>1150</v>
      </c>
      <c r="G1014" s="35">
        <v>100</v>
      </c>
      <c r="H1014" s="43">
        <v>600</v>
      </c>
      <c r="I1014" s="35">
        <v>695</v>
      </c>
      <c r="J1014" s="35">
        <v>50</v>
      </c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</row>
    <row r="1015" spans="1:20" ht="15.75">
      <c r="A1015" s="13">
        <v>72410</v>
      </c>
      <c r="B1015" s="44">
        <f t="shared" si="6"/>
        <v>31</v>
      </c>
      <c r="C1015" s="35">
        <v>122.58</v>
      </c>
      <c r="D1015" s="35">
        <v>297.94099999999997</v>
      </c>
      <c r="E1015" s="41">
        <v>729.47900000000004</v>
      </c>
      <c r="F1015" s="35">
        <v>1150</v>
      </c>
      <c r="G1015" s="35">
        <v>100</v>
      </c>
      <c r="H1015" s="43">
        <v>600</v>
      </c>
      <c r="I1015" s="35">
        <v>695</v>
      </c>
      <c r="J1015" s="35">
        <v>50</v>
      </c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</row>
    <row r="1016" spans="1:20" ht="15.75">
      <c r="A1016" s="13">
        <v>72440</v>
      </c>
      <c r="B1016" s="44">
        <f t="shared" si="6"/>
        <v>30</v>
      </c>
      <c r="C1016" s="35">
        <v>141.29300000000001</v>
      </c>
      <c r="D1016" s="35">
        <v>267.99299999999999</v>
      </c>
      <c r="E1016" s="41">
        <v>829.71400000000006</v>
      </c>
      <c r="F1016" s="35">
        <v>1239</v>
      </c>
      <c r="G1016" s="35">
        <v>100</v>
      </c>
      <c r="H1016" s="43">
        <v>600</v>
      </c>
      <c r="I1016" s="35">
        <v>695</v>
      </c>
      <c r="J1016" s="35">
        <v>50</v>
      </c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</row>
    <row r="1017" spans="1:20" ht="15.75">
      <c r="A1017" s="13">
        <v>72471</v>
      </c>
      <c r="B1017" s="44">
        <f t="shared" si="6"/>
        <v>31</v>
      </c>
      <c r="C1017" s="35">
        <v>194.20500000000001</v>
      </c>
      <c r="D1017" s="35">
        <v>267.46600000000001</v>
      </c>
      <c r="E1017" s="41">
        <v>812.32899999999995</v>
      </c>
      <c r="F1017" s="35">
        <v>1274</v>
      </c>
      <c r="G1017" s="35">
        <v>75</v>
      </c>
      <c r="H1017" s="43">
        <v>600</v>
      </c>
      <c r="I1017" s="35">
        <v>695</v>
      </c>
      <c r="J1017" s="35">
        <v>50</v>
      </c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</row>
    <row r="1018" spans="1:20" ht="15.75">
      <c r="A1018" s="13">
        <v>72501</v>
      </c>
      <c r="B1018" s="44">
        <f t="shared" si="6"/>
        <v>30</v>
      </c>
      <c r="C1018" s="35">
        <v>194.20500000000001</v>
      </c>
      <c r="D1018" s="35">
        <v>267.46600000000001</v>
      </c>
      <c r="E1018" s="41">
        <v>812.32899999999995</v>
      </c>
      <c r="F1018" s="35">
        <v>1274</v>
      </c>
      <c r="G1018" s="35">
        <v>50</v>
      </c>
      <c r="H1018" s="43">
        <v>600</v>
      </c>
      <c r="I1018" s="35">
        <v>695</v>
      </c>
      <c r="J1018" s="35">
        <v>50</v>
      </c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</row>
    <row r="1019" spans="1:20" ht="15.75">
      <c r="A1019" s="13">
        <v>72532</v>
      </c>
      <c r="B1019" s="44">
        <f t="shared" si="6"/>
        <v>31</v>
      </c>
      <c r="C1019" s="35">
        <v>194.20500000000001</v>
      </c>
      <c r="D1019" s="35">
        <v>267.46600000000001</v>
      </c>
      <c r="E1019" s="41">
        <v>812.32899999999995</v>
      </c>
      <c r="F1019" s="35">
        <v>1274</v>
      </c>
      <c r="G1019" s="35">
        <v>50</v>
      </c>
      <c r="H1019" s="43">
        <v>600</v>
      </c>
      <c r="I1019" s="35">
        <v>695</v>
      </c>
      <c r="J1019" s="35">
        <v>0</v>
      </c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</row>
    <row r="1020" spans="1:20" ht="15.75">
      <c r="A1020" s="13">
        <v>72563</v>
      </c>
      <c r="B1020" s="44">
        <f t="shared" si="6"/>
        <v>31</v>
      </c>
      <c r="C1020" s="35">
        <v>194.20500000000001</v>
      </c>
      <c r="D1020" s="35">
        <v>267.46600000000001</v>
      </c>
      <c r="E1020" s="41">
        <v>812.32899999999995</v>
      </c>
      <c r="F1020" s="35">
        <v>1274</v>
      </c>
      <c r="G1020" s="35">
        <v>50</v>
      </c>
      <c r="H1020" s="43">
        <v>600</v>
      </c>
      <c r="I1020" s="35">
        <v>695</v>
      </c>
      <c r="J1020" s="35">
        <v>0</v>
      </c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</row>
    <row r="1021" spans="1:20" ht="15.75">
      <c r="A1021" s="13">
        <v>72593</v>
      </c>
      <c r="B1021" s="44">
        <f t="shared" si="6"/>
        <v>30</v>
      </c>
      <c r="C1021" s="35">
        <v>194.20500000000001</v>
      </c>
      <c r="D1021" s="35">
        <v>267.46600000000001</v>
      </c>
      <c r="E1021" s="41">
        <v>812.32899999999995</v>
      </c>
      <c r="F1021" s="35">
        <v>1274</v>
      </c>
      <c r="G1021" s="35">
        <v>50</v>
      </c>
      <c r="H1021" s="43">
        <v>600</v>
      </c>
      <c r="I1021" s="35">
        <v>695</v>
      </c>
      <c r="J1021" s="35">
        <v>0</v>
      </c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</row>
    <row r="1022" spans="1:20" ht="15.75">
      <c r="A1022" s="13">
        <v>72624</v>
      </c>
      <c r="B1022" s="44">
        <f t="shared" si="6"/>
        <v>31</v>
      </c>
      <c r="C1022" s="35">
        <v>131.881</v>
      </c>
      <c r="D1022" s="35">
        <v>277.16699999999997</v>
      </c>
      <c r="E1022" s="41">
        <v>829.952</v>
      </c>
      <c r="F1022" s="35">
        <v>1239</v>
      </c>
      <c r="G1022" s="35">
        <v>75</v>
      </c>
      <c r="H1022" s="43">
        <v>600</v>
      </c>
      <c r="I1022" s="35">
        <v>695</v>
      </c>
      <c r="J1022" s="35">
        <v>0</v>
      </c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</row>
    <row r="1023" spans="1:20" ht="15.75">
      <c r="A1023" s="13">
        <v>72654</v>
      </c>
      <c r="B1023" s="44">
        <f t="shared" si="6"/>
        <v>30</v>
      </c>
      <c r="C1023" s="35">
        <v>122.58</v>
      </c>
      <c r="D1023" s="35">
        <v>297.94099999999997</v>
      </c>
      <c r="E1023" s="41">
        <v>729.47900000000004</v>
      </c>
      <c r="F1023" s="35">
        <v>1150</v>
      </c>
      <c r="G1023" s="35">
        <v>100</v>
      </c>
      <c r="H1023" s="43">
        <v>600</v>
      </c>
      <c r="I1023" s="35">
        <v>695</v>
      </c>
      <c r="J1023" s="35">
        <v>50</v>
      </c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</row>
    <row r="1024" spans="1:20" ht="15.75">
      <c r="A1024" s="13">
        <v>72685</v>
      </c>
      <c r="B1024" s="44">
        <f t="shared" si="6"/>
        <v>31</v>
      </c>
      <c r="C1024" s="35">
        <v>122.58</v>
      </c>
      <c r="D1024" s="35">
        <v>297.94099999999997</v>
      </c>
      <c r="E1024" s="41">
        <v>729.47900000000004</v>
      </c>
      <c r="F1024" s="35">
        <v>1150</v>
      </c>
      <c r="G1024" s="35">
        <v>100</v>
      </c>
      <c r="H1024" s="43">
        <v>600</v>
      </c>
      <c r="I1024" s="35">
        <v>695</v>
      </c>
      <c r="J1024" s="35">
        <v>50</v>
      </c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</row>
    <row r="1025" spans="1:20" ht="15.75">
      <c r="A1025" s="13">
        <v>72716</v>
      </c>
      <c r="B1025" s="44">
        <f t="shared" si="6"/>
        <v>31</v>
      </c>
      <c r="C1025" s="35">
        <v>122.58</v>
      </c>
      <c r="D1025" s="35">
        <v>297.94099999999997</v>
      </c>
      <c r="E1025" s="41">
        <v>729.47900000000004</v>
      </c>
      <c r="F1025" s="35">
        <v>1150</v>
      </c>
      <c r="G1025" s="35">
        <v>100</v>
      </c>
      <c r="H1025" s="43">
        <v>600</v>
      </c>
      <c r="I1025" s="35">
        <v>695</v>
      </c>
      <c r="J1025" s="35">
        <v>50</v>
      </c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</row>
    <row r="1026" spans="1:20" ht="15.75">
      <c r="A1026" s="13">
        <v>72744</v>
      </c>
      <c r="B1026" s="44">
        <f t="shared" si="6"/>
        <v>28</v>
      </c>
      <c r="C1026" s="35">
        <v>122.58</v>
      </c>
      <c r="D1026" s="35">
        <v>297.94099999999997</v>
      </c>
      <c r="E1026" s="41">
        <v>729.47900000000004</v>
      </c>
      <c r="F1026" s="35">
        <v>1150</v>
      </c>
      <c r="G1026" s="35">
        <v>100</v>
      </c>
      <c r="H1026" s="43">
        <v>600</v>
      </c>
      <c r="I1026" s="35">
        <v>695</v>
      </c>
      <c r="J1026" s="35">
        <v>50</v>
      </c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</row>
    <row r="1027" spans="1:20" ht="15.75">
      <c r="A1027" s="13">
        <v>72775</v>
      </c>
      <c r="B1027" s="44">
        <f t="shared" si="6"/>
        <v>31</v>
      </c>
      <c r="C1027" s="35">
        <v>122.58</v>
      </c>
      <c r="D1027" s="35">
        <v>297.94099999999997</v>
      </c>
      <c r="E1027" s="41">
        <v>729.47900000000004</v>
      </c>
      <c r="F1027" s="35">
        <v>1150</v>
      </c>
      <c r="G1027" s="35">
        <v>100</v>
      </c>
      <c r="H1027" s="43">
        <v>600</v>
      </c>
      <c r="I1027" s="35">
        <v>695</v>
      </c>
      <c r="J1027" s="35">
        <v>50</v>
      </c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</row>
    <row r="1028" spans="1:20" ht="15.75">
      <c r="A1028" s="13">
        <v>72805</v>
      </c>
      <c r="B1028" s="44">
        <f t="shared" si="6"/>
        <v>30</v>
      </c>
      <c r="C1028" s="35">
        <v>141.29300000000001</v>
      </c>
      <c r="D1028" s="35">
        <v>267.99299999999999</v>
      </c>
      <c r="E1028" s="41">
        <v>829.71400000000006</v>
      </c>
      <c r="F1028" s="35">
        <v>1239</v>
      </c>
      <c r="G1028" s="35">
        <v>100</v>
      </c>
      <c r="H1028" s="43">
        <v>600</v>
      </c>
      <c r="I1028" s="35">
        <v>695</v>
      </c>
      <c r="J1028" s="35">
        <v>50</v>
      </c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</row>
    <row r="1029" spans="1:20" ht="15.75">
      <c r="A1029" s="13">
        <v>72836</v>
      </c>
      <c r="B1029" s="44">
        <f t="shared" ref="B1029:B1048" si="7">EOMONTH(A1029,0)-EOMONTH(A1029,-1)</f>
        <v>31</v>
      </c>
      <c r="C1029" s="35">
        <v>194.20500000000001</v>
      </c>
      <c r="D1029" s="35">
        <v>267.46600000000001</v>
      </c>
      <c r="E1029" s="41">
        <v>812.32899999999995</v>
      </c>
      <c r="F1029" s="35">
        <v>1274</v>
      </c>
      <c r="G1029" s="35">
        <v>75</v>
      </c>
      <c r="H1029" s="43">
        <v>600</v>
      </c>
      <c r="I1029" s="35">
        <v>695</v>
      </c>
      <c r="J1029" s="35">
        <v>50</v>
      </c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</row>
    <row r="1030" spans="1:20" ht="15.75">
      <c r="A1030" s="13">
        <v>72866</v>
      </c>
      <c r="B1030" s="44">
        <f t="shared" si="7"/>
        <v>30</v>
      </c>
      <c r="C1030" s="35">
        <v>194.20500000000001</v>
      </c>
      <c r="D1030" s="35">
        <v>267.46600000000001</v>
      </c>
      <c r="E1030" s="41">
        <v>812.32899999999995</v>
      </c>
      <c r="F1030" s="35">
        <v>1274</v>
      </c>
      <c r="G1030" s="35">
        <v>50</v>
      </c>
      <c r="H1030" s="43">
        <v>600</v>
      </c>
      <c r="I1030" s="35">
        <v>695</v>
      </c>
      <c r="J1030" s="35">
        <v>50</v>
      </c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</row>
    <row r="1031" spans="1:20" ht="15.75">
      <c r="A1031" s="13">
        <v>72897</v>
      </c>
      <c r="B1031" s="44">
        <f t="shared" si="7"/>
        <v>31</v>
      </c>
      <c r="C1031" s="35">
        <v>194.20500000000001</v>
      </c>
      <c r="D1031" s="35">
        <v>267.46600000000001</v>
      </c>
      <c r="E1031" s="41">
        <v>812.32899999999995</v>
      </c>
      <c r="F1031" s="35">
        <v>1274</v>
      </c>
      <c r="G1031" s="35">
        <v>50</v>
      </c>
      <c r="H1031" s="43">
        <v>600</v>
      </c>
      <c r="I1031" s="35">
        <v>695</v>
      </c>
      <c r="J1031" s="35">
        <v>0</v>
      </c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</row>
    <row r="1032" spans="1:20" ht="15.75">
      <c r="A1032" s="13">
        <v>72928</v>
      </c>
      <c r="B1032" s="44">
        <f t="shared" si="7"/>
        <v>31</v>
      </c>
      <c r="C1032" s="35">
        <v>194.20500000000001</v>
      </c>
      <c r="D1032" s="35">
        <v>267.46600000000001</v>
      </c>
      <c r="E1032" s="41">
        <v>812.32899999999995</v>
      </c>
      <c r="F1032" s="35">
        <v>1274</v>
      </c>
      <c r="G1032" s="35">
        <v>50</v>
      </c>
      <c r="H1032" s="43">
        <v>600</v>
      </c>
      <c r="I1032" s="35">
        <v>695</v>
      </c>
      <c r="J1032" s="35">
        <v>0</v>
      </c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</row>
    <row r="1033" spans="1:20" ht="15.75">
      <c r="A1033" s="13">
        <v>72958</v>
      </c>
      <c r="B1033" s="44">
        <f t="shared" si="7"/>
        <v>30</v>
      </c>
      <c r="C1033" s="35">
        <v>194.20500000000001</v>
      </c>
      <c r="D1033" s="35">
        <v>267.46600000000001</v>
      </c>
      <c r="E1033" s="41">
        <v>812.32899999999995</v>
      </c>
      <c r="F1033" s="35">
        <v>1274</v>
      </c>
      <c r="G1033" s="35">
        <v>50</v>
      </c>
      <c r="H1033" s="43">
        <v>600</v>
      </c>
      <c r="I1033" s="35">
        <v>695</v>
      </c>
      <c r="J1033" s="35">
        <v>0</v>
      </c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</row>
    <row r="1034" spans="1:20" ht="15.75">
      <c r="A1034" s="13">
        <v>72989</v>
      </c>
      <c r="B1034" s="44">
        <f t="shared" si="7"/>
        <v>31</v>
      </c>
      <c r="C1034" s="35">
        <v>131.881</v>
      </c>
      <c r="D1034" s="35">
        <v>277.16699999999997</v>
      </c>
      <c r="E1034" s="41">
        <v>829.952</v>
      </c>
      <c r="F1034" s="35">
        <v>1239</v>
      </c>
      <c r="G1034" s="35">
        <v>75</v>
      </c>
      <c r="H1034" s="43">
        <v>600</v>
      </c>
      <c r="I1034" s="35">
        <v>695</v>
      </c>
      <c r="J1034" s="35">
        <v>0</v>
      </c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</row>
    <row r="1035" spans="1:20" ht="15.75">
      <c r="A1035" s="13">
        <v>73019</v>
      </c>
      <c r="B1035" s="44">
        <f t="shared" si="7"/>
        <v>30</v>
      </c>
      <c r="C1035" s="35">
        <v>122.58</v>
      </c>
      <c r="D1035" s="35">
        <v>297.94099999999997</v>
      </c>
      <c r="E1035" s="41">
        <v>729.47900000000004</v>
      </c>
      <c r="F1035" s="35">
        <v>1150</v>
      </c>
      <c r="G1035" s="35">
        <v>100</v>
      </c>
      <c r="H1035" s="43">
        <v>600</v>
      </c>
      <c r="I1035" s="35">
        <v>695</v>
      </c>
      <c r="J1035" s="35">
        <v>50</v>
      </c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</row>
    <row r="1036" spans="1:20" ht="15.75">
      <c r="A1036" s="13">
        <v>73050</v>
      </c>
      <c r="B1036" s="44">
        <f t="shared" si="7"/>
        <v>31</v>
      </c>
      <c r="C1036" s="35">
        <v>122.58</v>
      </c>
      <c r="D1036" s="35">
        <v>297.94099999999997</v>
      </c>
      <c r="E1036" s="41">
        <v>729.47900000000004</v>
      </c>
      <c r="F1036" s="35">
        <v>1150</v>
      </c>
      <c r="G1036" s="35">
        <v>100</v>
      </c>
      <c r="H1036" s="43">
        <v>600</v>
      </c>
      <c r="I1036" s="35">
        <v>695</v>
      </c>
      <c r="J1036" s="35">
        <v>50</v>
      </c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</row>
    <row r="1037" spans="1:20" ht="15.75">
      <c r="A1037" s="13">
        <v>73081</v>
      </c>
      <c r="B1037" s="44">
        <f t="shared" si="7"/>
        <v>31</v>
      </c>
      <c r="C1037" s="35">
        <v>122.58</v>
      </c>
      <c r="D1037" s="35">
        <v>297.94099999999997</v>
      </c>
      <c r="E1037" s="41">
        <v>729.47900000000004</v>
      </c>
      <c r="F1037" s="35">
        <v>1150</v>
      </c>
      <c r="G1037" s="35">
        <v>100</v>
      </c>
      <c r="H1037" s="43">
        <v>600</v>
      </c>
      <c r="I1037" s="35">
        <v>695</v>
      </c>
      <c r="J1037" s="35">
        <v>50</v>
      </c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</row>
    <row r="1038" spans="1:20" ht="15.75">
      <c r="A1038" s="13">
        <v>73109</v>
      </c>
      <c r="B1038" s="44">
        <f t="shared" si="7"/>
        <v>28</v>
      </c>
      <c r="C1038" s="35">
        <v>122.58</v>
      </c>
      <c r="D1038" s="35">
        <v>297.94099999999997</v>
      </c>
      <c r="E1038" s="41">
        <v>729.47900000000004</v>
      </c>
      <c r="F1038" s="35">
        <v>1150</v>
      </c>
      <c r="G1038" s="35">
        <v>100</v>
      </c>
      <c r="H1038" s="43">
        <v>600</v>
      </c>
      <c r="I1038" s="35">
        <v>695</v>
      </c>
      <c r="J1038" s="35">
        <v>50</v>
      </c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</row>
    <row r="1039" spans="1:20" ht="15.75">
      <c r="A1039" s="13">
        <v>73140</v>
      </c>
      <c r="B1039" s="44">
        <f t="shared" si="7"/>
        <v>31</v>
      </c>
      <c r="C1039" s="35">
        <v>122.58</v>
      </c>
      <c r="D1039" s="35">
        <v>297.94099999999997</v>
      </c>
      <c r="E1039" s="41">
        <v>729.47900000000004</v>
      </c>
      <c r="F1039" s="35">
        <v>1150</v>
      </c>
      <c r="G1039" s="35">
        <v>100</v>
      </c>
      <c r="H1039" s="43">
        <v>600</v>
      </c>
      <c r="I1039" s="35">
        <v>695</v>
      </c>
      <c r="J1039" s="35">
        <v>50</v>
      </c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</row>
    <row r="1040" spans="1:20" ht="15.75">
      <c r="A1040" s="13">
        <v>73170</v>
      </c>
      <c r="B1040" s="44">
        <f t="shared" si="7"/>
        <v>30</v>
      </c>
      <c r="C1040" s="35">
        <v>141.29300000000001</v>
      </c>
      <c r="D1040" s="35">
        <v>267.99299999999999</v>
      </c>
      <c r="E1040" s="41">
        <v>829.71400000000006</v>
      </c>
      <c r="F1040" s="35">
        <v>1239</v>
      </c>
      <c r="G1040" s="35">
        <v>100</v>
      </c>
      <c r="H1040" s="43">
        <v>600</v>
      </c>
      <c r="I1040" s="35">
        <v>695</v>
      </c>
      <c r="J1040" s="35">
        <v>50</v>
      </c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</row>
    <row r="1041" spans="1:20" ht="15.75">
      <c r="A1041" s="13">
        <v>73201</v>
      </c>
      <c r="B1041" s="44">
        <f t="shared" si="7"/>
        <v>31</v>
      </c>
      <c r="C1041" s="35">
        <v>194.20500000000001</v>
      </c>
      <c r="D1041" s="35">
        <v>267.46600000000001</v>
      </c>
      <c r="E1041" s="41">
        <v>812.32899999999995</v>
      </c>
      <c r="F1041" s="35">
        <v>1274</v>
      </c>
      <c r="G1041" s="35">
        <v>75</v>
      </c>
      <c r="H1041" s="43">
        <v>600</v>
      </c>
      <c r="I1041" s="35">
        <v>695</v>
      </c>
      <c r="J1041" s="35">
        <v>50</v>
      </c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</row>
    <row r="1042" spans="1:20" ht="15.75">
      <c r="A1042" s="13">
        <v>73231</v>
      </c>
      <c r="B1042" s="44">
        <f t="shared" si="7"/>
        <v>30</v>
      </c>
      <c r="C1042" s="35">
        <v>194.20500000000001</v>
      </c>
      <c r="D1042" s="35">
        <v>267.46600000000001</v>
      </c>
      <c r="E1042" s="41">
        <v>812.32899999999995</v>
      </c>
      <c r="F1042" s="35">
        <v>1274</v>
      </c>
      <c r="G1042" s="35">
        <v>50</v>
      </c>
      <c r="H1042" s="43">
        <v>600</v>
      </c>
      <c r="I1042" s="35">
        <v>695</v>
      </c>
      <c r="J1042" s="35">
        <v>50</v>
      </c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</row>
    <row r="1043" spans="1:20" ht="15.75">
      <c r="A1043" s="13">
        <v>73262</v>
      </c>
      <c r="B1043" s="44">
        <f t="shared" si="7"/>
        <v>31</v>
      </c>
      <c r="C1043" s="35">
        <v>194.20500000000001</v>
      </c>
      <c r="D1043" s="35">
        <v>267.46600000000001</v>
      </c>
      <c r="E1043" s="41">
        <v>812.32899999999995</v>
      </c>
      <c r="F1043" s="35">
        <v>1274</v>
      </c>
      <c r="G1043" s="35">
        <v>50</v>
      </c>
      <c r="H1043" s="43">
        <v>600</v>
      </c>
      <c r="I1043" s="35">
        <v>695</v>
      </c>
      <c r="J1043" s="35">
        <v>0</v>
      </c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</row>
    <row r="1044" spans="1:20" ht="15.75">
      <c r="A1044" s="13">
        <v>73293</v>
      </c>
      <c r="B1044" s="44">
        <f t="shared" si="7"/>
        <v>31</v>
      </c>
      <c r="C1044" s="35">
        <v>194.20500000000001</v>
      </c>
      <c r="D1044" s="35">
        <v>267.46600000000001</v>
      </c>
      <c r="E1044" s="41">
        <v>812.32899999999995</v>
      </c>
      <c r="F1044" s="35">
        <v>1274</v>
      </c>
      <c r="G1044" s="35">
        <v>50</v>
      </c>
      <c r="H1044" s="43">
        <v>600</v>
      </c>
      <c r="I1044" s="35">
        <v>695</v>
      </c>
      <c r="J1044" s="35">
        <v>0</v>
      </c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</row>
    <row r="1045" spans="1:20" ht="15.75">
      <c r="A1045" s="13">
        <v>73323</v>
      </c>
      <c r="B1045" s="44">
        <f t="shared" si="7"/>
        <v>30</v>
      </c>
      <c r="C1045" s="35">
        <v>194.20500000000001</v>
      </c>
      <c r="D1045" s="35">
        <v>267.46600000000001</v>
      </c>
      <c r="E1045" s="41">
        <v>812.32899999999995</v>
      </c>
      <c r="F1045" s="35">
        <v>1274</v>
      </c>
      <c r="G1045" s="35">
        <v>50</v>
      </c>
      <c r="H1045" s="43">
        <v>600</v>
      </c>
      <c r="I1045" s="35">
        <v>695</v>
      </c>
      <c r="J1045" s="35">
        <v>0</v>
      </c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</row>
    <row r="1046" spans="1:20" ht="15.75">
      <c r="A1046" s="13">
        <v>73354</v>
      </c>
      <c r="B1046" s="44">
        <f t="shared" si="7"/>
        <v>31</v>
      </c>
      <c r="C1046" s="35">
        <v>131.881</v>
      </c>
      <c r="D1046" s="35">
        <v>277.16699999999997</v>
      </c>
      <c r="E1046" s="41">
        <v>829.952</v>
      </c>
      <c r="F1046" s="35">
        <v>1239</v>
      </c>
      <c r="G1046" s="35">
        <v>75</v>
      </c>
      <c r="H1046" s="43">
        <v>600</v>
      </c>
      <c r="I1046" s="35">
        <v>695</v>
      </c>
      <c r="J1046" s="35">
        <v>0</v>
      </c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</row>
    <row r="1047" spans="1:20" ht="15.75">
      <c r="A1047" s="13">
        <v>73384</v>
      </c>
      <c r="B1047" s="44">
        <f t="shared" si="7"/>
        <v>30</v>
      </c>
      <c r="C1047" s="35">
        <v>122.58</v>
      </c>
      <c r="D1047" s="35">
        <v>297.94099999999997</v>
      </c>
      <c r="E1047" s="41">
        <v>729.47900000000004</v>
      </c>
      <c r="F1047" s="35">
        <v>1150</v>
      </c>
      <c r="G1047" s="35">
        <v>100</v>
      </c>
      <c r="H1047" s="43">
        <v>600</v>
      </c>
      <c r="I1047" s="35">
        <v>695</v>
      </c>
      <c r="J1047" s="35">
        <v>50</v>
      </c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</row>
    <row r="1048" spans="1:20" ht="15.75">
      <c r="A1048" s="13">
        <v>73415</v>
      </c>
      <c r="B1048" s="44">
        <f t="shared" si="7"/>
        <v>31</v>
      </c>
      <c r="C1048" s="35">
        <v>122.58</v>
      </c>
      <c r="D1048" s="35">
        <v>297.94099999999997</v>
      </c>
      <c r="E1048" s="41">
        <v>729.47900000000004</v>
      </c>
      <c r="F1048" s="35">
        <v>1150</v>
      </c>
      <c r="G1048" s="35">
        <v>100</v>
      </c>
      <c r="H1048" s="43">
        <v>600</v>
      </c>
      <c r="I1048" s="35">
        <v>695</v>
      </c>
      <c r="J1048" s="35">
        <v>50</v>
      </c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</row>
    <row r="1049" spans="1:20" ht="15">
      <c r="A1049" s="10"/>
      <c r="B1049" s="42"/>
      <c r="C1049" s="35"/>
      <c r="D1049" s="35"/>
      <c r="E1049" s="41"/>
      <c r="F1049" s="35"/>
      <c r="G1049" s="35"/>
      <c r="H1049" s="35"/>
      <c r="I1049" s="35"/>
      <c r="J1049" s="35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</row>
    <row r="1050" spans="1:20" ht="15.75">
      <c r="A1050" s="3">
        <v>2015</v>
      </c>
      <c r="B1050" s="3">
        <f t="shared" ref="B1050:B1081" si="8">DATE(A1050+1,1,1)-DATE(A1050,1,1)</f>
        <v>365</v>
      </c>
      <c r="C1050" s="38">
        <f>AVERAGE(C17:C28)</f>
        <v>154.75825</v>
      </c>
      <c r="D1050" s="38">
        <f>AVERAGE(D17:D28)</f>
        <v>281.0162499999999</v>
      </c>
      <c r="E1050" s="38">
        <f>AVERAGE(E17:E28)</f>
        <v>822.39216666666641</v>
      </c>
      <c r="F1050" s="38">
        <f>AVERAGE(F17:F28)</f>
        <v>1258.1666666666667</v>
      </c>
      <c r="G1050" s="38">
        <f>AVERAGE(G17:G28)</f>
        <v>79.166666666666671</v>
      </c>
      <c r="H1050" s="40"/>
      <c r="I1050" s="38">
        <f>AVERAGE(I17:I28)</f>
        <v>695</v>
      </c>
      <c r="J1050" s="38">
        <f>AVERAGE(J17:J28)</f>
        <v>33.333333333333336</v>
      </c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</row>
    <row r="1051" spans="1:20" ht="15.75">
      <c r="A1051" s="3">
        <v>2016</v>
      </c>
      <c r="B1051" s="3">
        <f t="shared" si="8"/>
        <v>366</v>
      </c>
      <c r="C1051" s="38">
        <f>AVERAGE(C29:C40)</f>
        <v>154.75825</v>
      </c>
      <c r="D1051" s="38">
        <f>AVERAGE(D29:D40)</f>
        <v>281.0162499999999</v>
      </c>
      <c r="E1051" s="38">
        <f>AVERAGE(E29:E40)</f>
        <v>822.39216666666641</v>
      </c>
      <c r="F1051" s="38">
        <f>AVERAGE(F29:F40)</f>
        <v>1258.1666666666667</v>
      </c>
      <c r="G1051" s="38">
        <f>AVERAGE(G29:G40)</f>
        <v>79.166666666666671</v>
      </c>
      <c r="H1051" s="40"/>
      <c r="I1051" s="38">
        <f>AVERAGE(I29:I40)</f>
        <v>695</v>
      </c>
      <c r="J1051" s="38">
        <f>AVERAGE(J29:J40)</f>
        <v>33.333333333333336</v>
      </c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</row>
    <row r="1052" spans="1:20" ht="15">
      <c r="A1052" s="3">
        <v>2017</v>
      </c>
      <c r="B1052" s="3">
        <f t="shared" si="8"/>
        <v>365</v>
      </c>
      <c r="C1052" s="38">
        <f t="shared" ref="C1052:J1052" si="9">AVERAGE(C41:C52)</f>
        <v>154.75825</v>
      </c>
      <c r="D1052" s="38">
        <f t="shared" si="9"/>
        <v>281.0162499999999</v>
      </c>
      <c r="E1052" s="38">
        <f t="shared" si="9"/>
        <v>780.7254999999999</v>
      </c>
      <c r="F1052" s="38">
        <f t="shared" si="9"/>
        <v>1216.5</v>
      </c>
      <c r="G1052" s="38">
        <f t="shared" si="9"/>
        <v>79.166666666666671</v>
      </c>
      <c r="H1052" s="39">
        <f t="shared" si="9"/>
        <v>400</v>
      </c>
      <c r="I1052" s="38">
        <f t="shared" si="9"/>
        <v>695</v>
      </c>
      <c r="J1052" s="38">
        <f t="shared" si="9"/>
        <v>33.333333333333336</v>
      </c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</row>
    <row r="1053" spans="1:20" ht="15">
      <c r="A1053" s="3">
        <v>2018</v>
      </c>
      <c r="B1053" s="3">
        <f t="shared" si="8"/>
        <v>365</v>
      </c>
      <c r="C1053" s="38">
        <f t="shared" ref="C1053:J1053" si="10">AVERAGE(C53:C64)</f>
        <v>154.75825</v>
      </c>
      <c r="D1053" s="38">
        <f t="shared" si="10"/>
        <v>281.0162499999999</v>
      </c>
      <c r="E1053" s="38">
        <f t="shared" si="10"/>
        <v>780.7254999999999</v>
      </c>
      <c r="F1053" s="38">
        <f t="shared" si="10"/>
        <v>1216.5</v>
      </c>
      <c r="G1053" s="38">
        <f t="shared" si="10"/>
        <v>79.166666666666671</v>
      </c>
      <c r="H1053" s="39">
        <f t="shared" si="10"/>
        <v>400</v>
      </c>
      <c r="I1053" s="38">
        <f t="shared" si="10"/>
        <v>695</v>
      </c>
      <c r="J1053" s="38">
        <f t="shared" si="10"/>
        <v>33.333333333333336</v>
      </c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</row>
    <row r="1054" spans="1:20" ht="15">
      <c r="A1054" s="3">
        <v>2019</v>
      </c>
      <c r="B1054" s="3">
        <f t="shared" si="8"/>
        <v>365</v>
      </c>
      <c r="C1054" s="38">
        <f t="shared" ref="C1054:J1054" si="11">AVERAGE(C65:C76)</f>
        <v>154.75825</v>
      </c>
      <c r="D1054" s="38">
        <f t="shared" si="11"/>
        <v>281.0162499999999</v>
      </c>
      <c r="E1054" s="38">
        <f t="shared" si="11"/>
        <v>780.7254999999999</v>
      </c>
      <c r="F1054" s="38">
        <f t="shared" si="11"/>
        <v>1216.5</v>
      </c>
      <c r="G1054" s="38">
        <f t="shared" si="11"/>
        <v>79.166666666666671</v>
      </c>
      <c r="H1054" s="39">
        <f t="shared" si="11"/>
        <v>400</v>
      </c>
      <c r="I1054" s="38">
        <f t="shared" si="11"/>
        <v>695</v>
      </c>
      <c r="J1054" s="38">
        <f t="shared" si="11"/>
        <v>33.333333333333336</v>
      </c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</row>
    <row r="1055" spans="1:20" ht="15">
      <c r="A1055" s="3">
        <v>2020</v>
      </c>
      <c r="B1055" s="3">
        <f t="shared" si="8"/>
        <v>366</v>
      </c>
      <c r="C1055" s="38">
        <f t="shared" ref="C1055:J1055" si="12">AVERAGE(C77:C88)</f>
        <v>154.75825</v>
      </c>
      <c r="D1055" s="38">
        <f t="shared" si="12"/>
        <v>281.0162499999999</v>
      </c>
      <c r="E1055" s="38">
        <f t="shared" si="12"/>
        <v>780.7254999999999</v>
      </c>
      <c r="F1055" s="38">
        <f t="shared" si="12"/>
        <v>1216.5</v>
      </c>
      <c r="G1055" s="38">
        <f t="shared" si="12"/>
        <v>79.166666666666671</v>
      </c>
      <c r="H1055" s="39">
        <f t="shared" si="12"/>
        <v>533.33333333333337</v>
      </c>
      <c r="I1055" s="38">
        <f t="shared" si="12"/>
        <v>695</v>
      </c>
      <c r="J1055" s="38">
        <f t="shared" si="12"/>
        <v>33.333333333333336</v>
      </c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</row>
    <row r="1056" spans="1:20" ht="15">
      <c r="A1056" s="3">
        <v>2021</v>
      </c>
      <c r="B1056" s="3">
        <f t="shared" si="8"/>
        <v>365</v>
      </c>
      <c r="C1056" s="38">
        <f t="shared" ref="C1056:J1056" si="13">AVERAGE(C89:C100)</f>
        <v>154.75825</v>
      </c>
      <c r="D1056" s="38">
        <f t="shared" si="13"/>
        <v>281.0162499999999</v>
      </c>
      <c r="E1056" s="38">
        <f t="shared" si="13"/>
        <v>780.7254999999999</v>
      </c>
      <c r="F1056" s="38">
        <f t="shared" si="13"/>
        <v>1216.5</v>
      </c>
      <c r="G1056" s="38">
        <f t="shared" si="13"/>
        <v>79.166666666666671</v>
      </c>
      <c r="H1056" s="39">
        <f t="shared" si="13"/>
        <v>600</v>
      </c>
      <c r="I1056" s="38">
        <f t="shared" si="13"/>
        <v>695</v>
      </c>
      <c r="J1056" s="38">
        <f t="shared" si="13"/>
        <v>33.333333333333336</v>
      </c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</row>
    <row r="1057" spans="1:20" ht="15">
      <c r="A1057" s="3">
        <v>2022</v>
      </c>
      <c r="B1057" s="3">
        <f t="shared" si="8"/>
        <v>365</v>
      </c>
      <c r="C1057" s="38">
        <f t="shared" ref="C1057:J1057" si="14">AVERAGE(C101:C112)</f>
        <v>154.75825</v>
      </c>
      <c r="D1057" s="38">
        <f t="shared" si="14"/>
        <v>281.0162499999999</v>
      </c>
      <c r="E1057" s="38">
        <f t="shared" si="14"/>
        <v>780.7254999999999</v>
      </c>
      <c r="F1057" s="38">
        <f t="shared" si="14"/>
        <v>1216.5</v>
      </c>
      <c r="G1057" s="38">
        <f t="shared" si="14"/>
        <v>79.166666666666671</v>
      </c>
      <c r="H1057" s="39">
        <f t="shared" si="14"/>
        <v>600</v>
      </c>
      <c r="I1057" s="38">
        <f t="shared" si="14"/>
        <v>695</v>
      </c>
      <c r="J1057" s="38">
        <f t="shared" si="14"/>
        <v>33.333333333333336</v>
      </c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</row>
    <row r="1058" spans="1:20" ht="15">
      <c r="A1058" s="3">
        <v>2023</v>
      </c>
      <c r="B1058" s="3">
        <f t="shared" si="8"/>
        <v>365</v>
      </c>
      <c r="C1058" s="38">
        <f t="shared" ref="C1058:J1058" si="15">AVERAGE(C113:C124)</f>
        <v>154.75825</v>
      </c>
      <c r="D1058" s="38">
        <f t="shared" si="15"/>
        <v>281.0162499999999</v>
      </c>
      <c r="E1058" s="38">
        <f t="shared" si="15"/>
        <v>780.7254999999999</v>
      </c>
      <c r="F1058" s="38">
        <f t="shared" si="15"/>
        <v>1216.5</v>
      </c>
      <c r="G1058" s="38">
        <f t="shared" si="15"/>
        <v>79.166666666666671</v>
      </c>
      <c r="H1058" s="39">
        <f t="shared" si="15"/>
        <v>600</v>
      </c>
      <c r="I1058" s="38">
        <f t="shared" si="15"/>
        <v>695</v>
      </c>
      <c r="J1058" s="38">
        <f t="shared" si="15"/>
        <v>33.333333333333336</v>
      </c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</row>
    <row r="1059" spans="1:20" ht="15">
      <c r="A1059" s="3">
        <v>2024</v>
      </c>
      <c r="B1059" s="3">
        <f t="shared" si="8"/>
        <v>366</v>
      </c>
      <c r="C1059" s="38">
        <f t="shared" ref="C1059:J1059" si="16">AVERAGE(C125:C136)</f>
        <v>154.75825</v>
      </c>
      <c r="D1059" s="38">
        <f t="shared" si="16"/>
        <v>281.0162499999999</v>
      </c>
      <c r="E1059" s="38">
        <f t="shared" si="16"/>
        <v>780.7254999999999</v>
      </c>
      <c r="F1059" s="38">
        <f t="shared" si="16"/>
        <v>1216.5</v>
      </c>
      <c r="G1059" s="38">
        <f t="shared" si="16"/>
        <v>79.166666666666671</v>
      </c>
      <c r="H1059" s="39">
        <f t="shared" si="16"/>
        <v>600</v>
      </c>
      <c r="I1059" s="38">
        <f t="shared" si="16"/>
        <v>695</v>
      </c>
      <c r="J1059" s="38">
        <f t="shared" si="16"/>
        <v>33.333333333333336</v>
      </c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</row>
    <row r="1060" spans="1:20" ht="15">
      <c r="A1060" s="3">
        <v>2025</v>
      </c>
      <c r="B1060" s="3">
        <f t="shared" si="8"/>
        <v>365</v>
      </c>
      <c r="C1060" s="38">
        <f t="shared" ref="C1060:J1060" si="17">AVERAGE(C137:C148)</f>
        <v>154.75825</v>
      </c>
      <c r="D1060" s="38">
        <f t="shared" si="17"/>
        <v>281.0162499999999</v>
      </c>
      <c r="E1060" s="38">
        <f t="shared" si="17"/>
        <v>780.7254999999999</v>
      </c>
      <c r="F1060" s="38">
        <f t="shared" si="17"/>
        <v>1216.5</v>
      </c>
      <c r="G1060" s="38">
        <f t="shared" si="17"/>
        <v>79.166666666666671</v>
      </c>
      <c r="H1060" s="39">
        <f t="shared" si="17"/>
        <v>600</v>
      </c>
      <c r="I1060" s="38">
        <f t="shared" si="17"/>
        <v>695</v>
      </c>
      <c r="J1060" s="38">
        <f t="shared" si="17"/>
        <v>33.333333333333336</v>
      </c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</row>
    <row r="1061" spans="1:20" ht="15">
      <c r="A1061" s="3">
        <v>2026</v>
      </c>
      <c r="B1061" s="3">
        <f t="shared" si="8"/>
        <v>365</v>
      </c>
      <c r="C1061" s="38">
        <f t="shared" ref="C1061:J1061" si="18">AVERAGE(C149:C160)</f>
        <v>154.75825</v>
      </c>
      <c r="D1061" s="38">
        <f t="shared" si="18"/>
        <v>281.0162499999999</v>
      </c>
      <c r="E1061" s="38">
        <f t="shared" si="18"/>
        <v>780.7254999999999</v>
      </c>
      <c r="F1061" s="38">
        <f t="shared" si="18"/>
        <v>1216.5</v>
      </c>
      <c r="G1061" s="38">
        <f t="shared" si="18"/>
        <v>79.166666666666671</v>
      </c>
      <c r="H1061" s="39">
        <f t="shared" si="18"/>
        <v>600</v>
      </c>
      <c r="I1061" s="38">
        <f t="shared" si="18"/>
        <v>695</v>
      </c>
      <c r="J1061" s="38">
        <f t="shared" si="18"/>
        <v>33.333333333333336</v>
      </c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</row>
    <row r="1062" spans="1:20" ht="15">
      <c r="A1062" s="3">
        <v>2027</v>
      </c>
      <c r="B1062" s="3">
        <f t="shared" si="8"/>
        <v>365</v>
      </c>
      <c r="C1062" s="38">
        <f t="shared" ref="C1062:J1062" si="19">AVERAGE(C161:C172)</f>
        <v>154.75825</v>
      </c>
      <c r="D1062" s="38">
        <f t="shared" si="19"/>
        <v>281.0162499999999</v>
      </c>
      <c r="E1062" s="38">
        <f t="shared" si="19"/>
        <v>780.7254999999999</v>
      </c>
      <c r="F1062" s="38">
        <f t="shared" si="19"/>
        <v>1216.5</v>
      </c>
      <c r="G1062" s="38">
        <f t="shared" si="19"/>
        <v>79.166666666666671</v>
      </c>
      <c r="H1062" s="39">
        <f t="shared" si="19"/>
        <v>600</v>
      </c>
      <c r="I1062" s="38">
        <f t="shared" si="19"/>
        <v>695</v>
      </c>
      <c r="J1062" s="38">
        <f t="shared" si="19"/>
        <v>33.333333333333336</v>
      </c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</row>
    <row r="1063" spans="1:20" ht="15">
      <c r="A1063" s="3">
        <v>2028</v>
      </c>
      <c r="B1063" s="3">
        <f t="shared" si="8"/>
        <v>366</v>
      </c>
      <c r="C1063" s="38">
        <f t="shared" ref="C1063:J1063" si="20">AVERAGE(C173:C184)</f>
        <v>154.75825</v>
      </c>
      <c r="D1063" s="38">
        <f t="shared" si="20"/>
        <v>281.0162499999999</v>
      </c>
      <c r="E1063" s="38">
        <f t="shared" si="20"/>
        <v>780.7254999999999</v>
      </c>
      <c r="F1063" s="38">
        <f t="shared" si="20"/>
        <v>1216.5</v>
      </c>
      <c r="G1063" s="38">
        <f t="shared" si="20"/>
        <v>79.166666666666671</v>
      </c>
      <c r="H1063" s="39">
        <f t="shared" si="20"/>
        <v>600</v>
      </c>
      <c r="I1063" s="38">
        <f t="shared" si="20"/>
        <v>695</v>
      </c>
      <c r="J1063" s="38">
        <f t="shared" si="20"/>
        <v>33.333333333333336</v>
      </c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</row>
    <row r="1064" spans="1:20" ht="15">
      <c r="A1064" s="3">
        <v>2029</v>
      </c>
      <c r="B1064" s="3">
        <f t="shared" si="8"/>
        <v>365</v>
      </c>
      <c r="C1064" s="38">
        <f t="shared" ref="C1064:J1064" si="21">AVERAGE(C185:C196)</f>
        <v>154.75825</v>
      </c>
      <c r="D1064" s="38">
        <f t="shared" si="21"/>
        <v>281.0162499999999</v>
      </c>
      <c r="E1064" s="38">
        <f t="shared" si="21"/>
        <v>780.7254999999999</v>
      </c>
      <c r="F1064" s="38">
        <f t="shared" si="21"/>
        <v>1216.5</v>
      </c>
      <c r="G1064" s="38">
        <f t="shared" si="21"/>
        <v>79.166666666666671</v>
      </c>
      <c r="H1064" s="39">
        <f t="shared" si="21"/>
        <v>600</v>
      </c>
      <c r="I1064" s="38">
        <f t="shared" si="21"/>
        <v>695</v>
      </c>
      <c r="J1064" s="38">
        <f t="shared" si="21"/>
        <v>33.333333333333336</v>
      </c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</row>
    <row r="1065" spans="1:20" ht="15">
      <c r="A1065" s="3">
        <v>2030</v>
      </c>
      <c r="B1065" s="3">
        <f t="shared" si="8"/>
        <v>365</v>
      </c>
      <c r="C1065" s="38">
        <f t="shared" ref="C1065:J1065" si="22">AVERAGE(C197:C208)</f>
        <v>154.75825</v>
      </c>
      <c r="D1065" s="38">
        <f t="shared" si="22"/>
        <v>281.0162499999999</v>
      </c>
      <c r="E1065" s="38">
        <f t="shared" si="22"/>
        <v>780.7254999999999</v>
      </c>
      <c r="F1065" s="38">
        <f t="shared" si="22"/>
        <v>1216.5</v>
      </c>
      <c r="G1065" s="38">
        <f t="shared" si="22"/>
        <v>79.166666666666671</v>
      </c>
      <c r="H1065" s="39">
        <f t="shared" si="22"/>
        <v>600</v>
      </c>
      <c r="I1065" s="38">
        <f t="shared" si="22"/>
        <v>695</v>
      </c>
      <c r="J1065" s="38">
        <f t="shared" si="22"/>
        <v>33.333333333333336</v>
      </c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</row>
    <row r="1066" spans="1:20" ht="15">
      <c r="A1066" s="3">
        <v>2031</v>
      </c>
      <c r="B1066" s="3">
        <f t="shared" si="8"/>
        <v>365</v>
      </c>
      <c r="C1066" s="38">
        <f t="shared" ref="C1066:J1066" si="23">AVERAGE(C209:C220)</f>
        <v>154.75825</v>
      </c>
      <c r="D1066" s="38">
        <f t="shared" si="23"/>
        <v>281.0162499999999</v>
      </c>
      <c r="E1066" s="38">
        <f t="shared" si="23"/>
        <v>780.7254999999999</v>
      </c>
      <c r="F1066" s="38">
        <f t="shared" si="23"/>
        <v>1216.5</v>
      </c>
      <c r="G1066" s="38">
        <f t="shared" si="23"/>
        <v>79.166666666666671</v>
      </c>
      <c r="H1066" s="39">
        <f t="shared" si="23"/>
        <v>600</v>
      </c>
      <c r="I1066" s="38">
        <f t="shared" si="23"/>
        <v>695</v>
      </c>
      <c r="J1066" s="38">
        <f t="shared" si="23"/>
        <v>33.333333333333336</v>
      </c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</row>
    <row r="1067" spans="1:20" ht="15">
      <c r="A1067" s="3">
        <v>2032</v>
      </c>
      <c r="B1067" s="3">
        <f t="shared" si="8"/>
        <v>366</v>
      </c>
      <c r="C1067" s="38">
        <f t="shared" ref="C1067:J1067" si="24">AVERAGE(C221:C232)</f>
        <v>154.75825</v>
      </c>
      <c r="D1067" s="38">
        <f t="shared" si="24"/>
        <v>281.0162499999999</v>
      </c>
      <c r="E1067" s="38">
        <f t="shared" si="24"/>
        <v>780.7254999999999</v>
      </c>
      <c r="F1067" s="38">
        <f t="shared" si="24"/>
        <v>1216.5</v>
      </c>
      <c r="G1067" s="38">
        <f t="shared" si="24"/>
        <v>79.166666666666671</v>
      </c>
      <c r="H1067" s="39">
        <f t="shared" si="24"/>
        <v>600</v>
      </c>
      <c r="I1067" s="38">
        <f t="shared" si="24"/>
        <v>695</v>
      </c>
      <c r="J1067" s="38">
        <f t="shared" si="24"/>
        <v>33.333333333333336</v>
      </c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</row>
    <row r="1068" spans="1:20" ht="15">
      <c r="A1068" s="3">
        <v>2033</v>
      </c>
      <c r="B1068" s="3">
        <f t="shared" si="8"/>
        <v>365</v>
      </c>
      <c r="C1068" s="38">
        <f t="shared" ref="C1068:J1068" si="25">AVERAGE(C233:C244)</f>
        <v>154.75825</v>
      </c>
      <c r="D1068" s="38">
        <f t="shared" si="25"/>
        <v>281.0162499999999</v>
      </c>
      <c r="E1068" s="38">
        <f t="shared" si="25"/>
        <v>780.7254999999999</v>
      </c>
      <c r="F1068" s="38">
        <f t="shared" si="25"/>
        <v>1216.5</v>
      </c>
      <c r="G1068" s="38">
        <f t="shared" si="25"/>
        <v>79.166666666666671</v>
      </c>
      <c r="H1068" s="39">
        <f t="shared" si="25"/>
        <v>600</v>
      </c>
      <c r="I1068" s="38">
        <f t="shared" si="25"/>
        <v>695</v>
      </c>
      <c r="J1068" s="38">
        <f t="shared" si="25"/>
        <v>33.333333333333336</v>
      </c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</row>
    <row r="1069" spans="1:20" ht="15">
      <c r="A1069" s="3">
        <v>2034</v>
      </c>
      <c r="B1069" s="3">
        <f t="shared" si="8"/>
        <v>365</v>
      </c>
      <c r="C1069" s="38">
        <f t="shared" ref="C1069:J1069" si="26">AVERAGE(C245:C256)</f>
        <v>154.75825</v>
      </c>
      <c r="D1069" s="38">
        <f t="shared" si="26"/>
        <v>281.0162499999999</v>
      </c>
      <c r="E1069" s="38">
        <f t="shared" si="26"/>
        <v>780.7254999999999</v>
      </c>
      <c r="F1069" s="38">
        <f t="shared" si="26"/>
        <v>1216.5</v>
      </c>
      <c r="G1069" s="38">
        <f t="shared" si="26"/>
        <v>79.166666666666671</v>
      </c>
      <c r="H1069" s="39">
        <f t="shared" si="26"/>
        <v>600</v>
      </c>
      <c r="I1069" s="38">
        <f t="shared" si="26"/>
        <v>695</v>
      </c>
      <c r="J1069" s="38">
        <f t="shared" si="26"/>
        <v>33.333333333333336</v>
      </c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</row>
    <row r="1070" spans="1:20" ht="15">
      <c r="A1070" s="3">
        <v>2035</v>
      </c>
      <c r="B1070" s="3">
        <f t="shared" si="8"/>
        <v>365</v>
      </c>
      <c r="C1070" s="38">
        <f t="shared" ref="C1070:J1070" si="27">AVERAGE(C257:C268)</f>
        <v>154.75825</v>
      </c>
      <c r="D1070" s="38">
        <f t="shared" si="27"/>
        <v>281.0162499999999</v>
      </c>
      <c r="E1070" s="38">
        <f t="shared" si="27"/>
        <v>780.7254999999999</v>
      </c>
      <c r="F1070" s="38">
        <f t="shared" si="27"/>
        <v>1216.5</v>
      </c>
      <c r="G1070" s="38">
        <f t="shared" si="27"/>
        <v>79.166666666666671</v>
      </c>
      <c r="H1070" s="39">
        <f t="shared" si="27"/>
        <v>600</v>
      </c>
      <c r="I1070" s="38">
        <f t="shared" si="27"/>
        <v>695</v>
      </c>
      <c r="J1070" s="38">
        <f t="shared" si="27"/>
        <v>33.333333333333336</v>
      </c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</row>
    <row r="1071" spans="1:20" ht="15">
      <c r="A1071" s="3">
        <v>2036</v>
      </c>
      <c r="B1071" s="3">
        <f t="shared" si="8"/>
        <v>366</v>
      </c>
      <c r="C1071" s="38">
        <f t="shared" ref="C1071:J1071" si="28">AVERAGE(C269:C280)</f>
        <v>154.75825</v>
      </c>
      <c r="D1071" s="38">
        <f t="shared" si="28"/>
        <v>281.0162499999999</v>
      </c>
      <c r="E1071" s="38">
        <f t="shared" si="28"/>
        <v>780.7254999999999</v>
      </c>
      <c r="F1071" s="38">
        <f t="shared" si="28"/>
        <v>1216.5</v>
      </c>
      <c r="G1071" s="38">
        <f t="shared" si="28"/>
        <v>79.166666666666671</v>
      </c>
      <c r="H1071" s="39">
        <f t="shared" si="28"/>
        <v>600</v>
      </c>
      <c r="I1071" s="38">
        <f t="shared" si="28"/>
        <v>695</v>
      </c>
      <c r="J1071" s="38">
        <f t="shared" si="28"/>
        <v>33.333333333333336</v>
      </c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</row>
    <row r="1072" spans="1:20" ht="15">
      <c r="A1072" s="3">
        <v>2037</v>
      </c>
      <c r="B1072" s="3">
        <f t="shared" si="8"/>
        <v>365</v>
      </c>
      <c r="C1072" s="38">
        <f t="shared" ref="C1072:J1072" si="29">AVERAGE(C281:C292)</f>
        <v>154.75825</v>
      </c>
      <c r="D1072" s="38">
        <f t="shared" si="29"/>
        <v>281.0162499999999</v>
      </c>
      <c r="E1072" s="38">
        <f t="shared" si="29"/>
        <v>780.7254999999999</v>
      </c>
      <c r="F1072" s="38">
        <f t="shared" si="29"/>
        <v>1216.5</v>
      </c>
      <c r="G1072" s="38">
        <f t="shared" si="29"/>
        <v>79.166666666666671</v>
      </c>
      <c r="H1072" s="39">
        <f t="shared" si="29"/>
        <v>600</v>
      </c>
      <c r="I1072" s="38">
        <f t="shared" si="29"/>
        <v>695</v>
      </c>
      <c r="J1072" s="38">
        <f t="shared" si="29"/>
        <v>33.333333333333336</v>
      </c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</row>
    <row r="1073" spans="1:20" ht="15">
      <c r="A1073" s="3">
        <f t="shared" ref="A1073:A1104" si="30">A1072+1</f>
        <v>2038</v>
      </c>
      <c r="B1073" s="3">
        <f t="shared" si="8"/>
        <v>365</v>
      </c>
      <c r="C1073" s="35">
        <f t="shared" ref="C1073:J1073" si="31">AVERAGE(C293:C304)</f>
        <v>154.75825</v>
      </c>
      <c r="D1073" s="35">
        <f t="shared" si="31"/>
        <v>281.0162499999999</v>
      </c>
      <c r="E1073" s="35">
        <f t="shared" si="31"/>
        <v>780.7254999999999</v>
      </c>
      <c r="F1073" s="35">
        <f t="shared" si="31"/>
        <v>1216.5</v>
      </c>
      <c r="G1073" s="35">
        <f t="shared" si="31"/>
        <v>79.166666666666671</v>
      </c>
      <c r="H1073" s="37">
        <f t="shared" si="31"/>
        <v>600</v>
      </c>
      <c r="I1073" s="35">
        <f t="shared" si="31"/>
        <v>695</v>
      </c>
      <c r="J1073" s="35">
        <f t="shared" si="31"/>
        <v>33.333333333333336</v>
      </c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</row>
    <row r="1074" spans="1:20" ht="15">
      <c r="A1074" s="3">
        <f t="shared" si="30"/>
        <v>2039</v>
      </c>
      <c r="B1074" s="3">
        <f t="shared" si="8"/>
        <v>365</v>
      </c>
      <c r="C1074" s="35">
        <f t="shared" ref="C1074:J1074" si="32">AVERAGE(C305:C316)</f>
        <v>154.75825</v>
      </c>
      <c r="D1074" s="35">
        <f t="shared" si="32"/>
        <v>281.0162499999999</v>
      </c>
      <c r="E1074" s="35">
        <f t="shared" si="32"/>
        <v>780.7254999999999</v>
      </c>
      <c r="F1074" s="35">
        <f t="shared" si="32"/>
        <v>1216.5</v>
      </c>
      <c r="G1074" s="35">
        <f t="shared" si="32"/>
        <v>79.166666666666671</v>
      </c>
      <c r="H1074" s="37">
        <f t="shared" si="32"/>
        <v>600</v>
      </c>
      <c r="I1074" s="35">
        <f t="shared" si="32"/>
        <v>695</v>
      </c>
      <c r="J1074" s="35">
        <f t="shared" si="32"/>
        <v>33.333333333333336</v>
      </c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</row>
    <row r="1075" spans="1:20" ht="15">
      <c r="A1075" s="3">
        <f t="shared" si="30"/>
        <v>2040</v>
      </c>
      <c r="B1075" s="3">
        <f t="shared" si="8"/>
        <v>366</v>
      </c>
      <c r="C1075" s="35">
        <f t="shared" ref="C1075:J1075" si="33">AVERAGE(C317:C328)</f>
        <v>154.75825</v>
      </c>
      <c r="D1075" s="35">
        <f t="shared" si="33"/>
        <v>281.0162499999999</v>
      </c>
      <c r="E1075" s="35">
        <f t="shared" si="33"/>
        <v>780.7254999999999</v>
      </c>
      <c r="F1075" s="35">
        <f t="shared" si="33"/>
        <v>1216.5</v>
      </c>
      <c r="G1075" s="35">
        <f t="shared" si="33"/>
        <v>79.166666666666671</v>
      </c>
      <c r="H1075" s="37">
        <f t="shared" si="33"/>
        <v>600</v>
      </c>
      <c r="I1075" s="35">
        <f t="shared" si="33"/>
        <v>695</v>
      </c>
      <c r="J1075" s="35">
        <f t="shared" si="33"/>
        <v>33.333333333333336</v>
      </c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</row>
    <row r="1076" spans="1:20" ht="15">
      <c r="A1076" s="3">
        <f t="shared" si="30"/>
        <v>2041</v>
      </c>
      <c r="B1076" s="3">
        <f t="shared" si="8"/>
        <v>365</v>
      </c>
      <c r="C1076" s="35">
        <f t="shared" ref="C1076:J1076" si="34">AVERAGE(C329:C340)</f>
        <v>154.75825</v>
      </c>
      <c r="D1076" s="35">
        <f t="shared" si="34"/>
        <v>281.0162499999999</v>
      </c>
      <c r="E1076" s="35">
        <f t="shared" si="34"/>
        <v>780.7254999999999</v>
      </c>
      <c r="F1076" s="35">
        <f t="shared" si="34"/>
        <v>1216.5</v>
      </c>
      <c r="G1076" s="35">
        <f t="shared" si="34"/>
        <v>79.166666666666671</v>
      </c>
      <c r="H1076" s="37">
        <f t="shared" si="34"/>
        <v>600</v>
      </c>
      <c r="I1076" s="35">
        <f t="shared" si="34"/>
        <v>695</v>
      </c>
      <c r="J1076" s="35">
        <f t="shared" si="34"/>
        <v>33.333333333333336</v>
      </c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</row>
    <row r="1077" spans="1:20" ht="15">
      <c r="A1077" s="3">
        <f t="shared" si="30"/>
        <v>2042</v>
      </c>
      <c r="B1077" s="3">
        <f t="shared" si="8"/>
        <v>365</v>
      </c>
      <c r="C1077" s="35">
        <f t="shared" ref="C1077:J1077" si="35">AVERAGE(C341:C352)</f>
        <v>154.75825</v>
      </c>
      <c r="D1077" s="35">
        <f t="shared" si="35"/>
        <v>281.0162499999999</v>
      </c>
      <c r="E1077" s="35">
        <f t="shared" si="35"/>
        <v>780.7254999999999</v>
      </c>
      <c r="F1077" s="35">
        <f t="shared" si="35"/>
        <v>1216.5</v>
      </c>
      <c r="G1077" s="35">
        <f t="shared" si="35"/>
        <v>79.166666666666671</v>
      </c>
      <c r="H1077" s="37">
        <f t="shared" si="35"/>
        <v>600</v>
      </c>
      <c r="I1077" s="35">
        <f t="shared" si="35"/>
        <v>695</v>
      </c>
      <c r="J1077" s="35">
        <f t="shared" si="35"/>
        <v>33.333333333333336</v>
      </c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</row>
    <row r="1078" spans="1:20" ht="15">
      <c r="A1078" s="3">
        <f t="shared" si="30"/>
        <v>2043</v>
      </c>
      <c r="B1078" s="3">
        <f t="shared" si="8"/>
        <v>365</v>
      </c>
      <c r="C1078" s="35">
        <f t="shared" ref="C1078:J1078" si="36">AVERAGE(C353:C364)</f>
        <v>154.75825</v>
      </c>
      <c r="D1078" s="35">
        <f t="shared" si="36"/>
        <v>281.0162499999999</v>
      </c>
      <c r="E1078" s="35">
        <f t="shared" si="36"/>
        <v>780.7254999999999</v>
      </c>
      <c r="F1078" s="35">
        <f t="shared" si="36"/>
        <v>1216.5</v>
      </c>
      <c r="G1078" s="35">
        <f t="shared" si="36"/>
        <v>79.166666666666671</v>
      </c>
      <c r="H1078" s="37">
        <f t="shared" si="36"/>
        <v>600</v>
      </c>
      <c r="I1078" s="35">
        <f t="shared" si="36"/>
        <v>695</v>
      </c>
      <c r="J1078" s="35">
        <f t="shared" si="36"/>
        <v>33.333333333333336</v>
      </c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</row>
    <row r="1079" spans="1:20" ht="15">
      <c r="A1079" s="3">
        <f t="shared" si="30"/>
        <v>2044</v>
      </c>
      <c r="B1079" s="3">
        <f t="shared" si="8"/>
        <v>366</v>
      </c>
      <c r="C1079" s="35">
        <f t="shared" ref="C1079:J1079" si="37">AVERAGE(C365:C376)</f>
        <v>154.75825</v>
      </c>
      <c r="D1079" s="35">
        <f t="shared" si="37"/>
        <v>281.0162499999999</v>
      </c>
      <c r="E1079" s="35">
        <f t="shared" si="37"/>
        <v>780.7254999999999</v>
      </c>
      <c r="F1079" s="35">
        <f t="shared" si="37"/>
        <v>1216.5</v>
      </c>
      <c r="G1079" s="35">
        <f t="shared" si="37"/>
        <v>79.166666666666671</v>
      </c>
      <c r="H1079" s="37">
        <f t="shared" si="37"/>
        <v>600</v>
      </c>
      <c r="I1079" s="35">
        <f t="shared" si="37"/>
        <v>695</v>
      </c>
      <c r="J1079" s="35">
        <f t="shared" si="37"/>
        <v>33.333333333333336</v>
      </c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</row>
    <row r="1080" spans="1:20" ht="15">
      <c r="A1080" s="3">
        <f t="shared" si="30"/>
        <v>2045</v>
      </c>
      <c r="B1080" s="3">
        <f t="shared" si="8"/>
        <v>365</v>
      </c>
      <c r="C1080" s="35">
        <f t="shared" ref="C1080:J1080" si="38">AVERAGE(C377:C388)</f>
        <v>154.75825</v>
      </c>
      <c r="D1080" s="35">
        <f t="shared" si="38"/>
        <v>281.0162499999999</v>
      </c>
      <c r="E1080" s="35">
        <f t="shared" si="38"/>
        <v>780.7254999999999</v>
      </c>
      <c r="F1080" s="35">
        <f t="shared" si="38"/>
        <v>1216.5</v>
      </c>
      <c r="G1080" s="35">
        <f t="shared" si="38"/>
        <v>79.166666666666671</v>
      </c>
      <c r="H1080" s="37">
        <f t="shared" si="38"/>
        <v>600</v>
      </c>
      <c r="I1080" s="35">
        <f t="shared" si="38"/>
        <v>695</v>
      </c>
      <c r="J1080" s="35">
        <f t="shared" si="38"/>
        <v>33.333333333333336</v>
      </c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</row>
    <row r="1081" spans="1:20" ht="15">
      <c r="A1081" s="3">
        <f t="shared" si="30"/>
        <v>2046</v>
      </c>
      <c r="B1081" s="3">
        <f t="shared" si="8"/>
        <v>365</v>
      </c>
      <c r="C1081" s="35">
        <f t="shared" ref="C1081:J1081" si="39">AVERAGE(C389:C400)</f>
        <v>154.75825</v>
      </c>
      <c r="D1081" s="35">
        <f t="shared" si="39"/>
        <v>281.0162499999999</v>
      </c>
      <c r="E1081" s="35">
        <f t="shared" si="39"/>
        <v>780.7254999999999</v>
      </c>
      <c r="F1081" s="35">
        <f t="shared" si="39"/>
        <v>1216.5</v>
      </c>
      <c r="G1081" s="35">
        <f t="shared" si="39"/>
        <v>79.166666666666671</v>
      </c>
      <c r="H1081" s="37">
        <f t="shared" si="39"/>
        <v>600</v>
      </c>
      <c r="I1081" s="35">
        <f t="shared" si="39"/>
        <v>695</v>
      </c>
      <c r="J1081" s="35">
        <f t="shared" si="39"/>
        <v>33.333333333333336</v>
      </c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</row>
    <row r="1082" spans="1:20" ht="15">
      <c r="A1082" s="3">
        <f t="shared" si="30"/>
        <v>2047</v>
      </c>
      <c r="B1082" s="3">
        <f t="shared" ref="B1082:B1113" si="40">DATE(A1082+1,1,1)-DATE(A1082,1,1)</f>
        <v>365</v>
      </c>
      <c r="C1082" s="35">
        <f t="shared" ref="C1082:J1082" si="41">AVERAGE(C401:C412)</f>
        <v>154.75825</v>
      </c>
      <c r="D1082" s="35">
        <f t="shared" si="41"/>
        <v>281.0162499999999</v>
      </c>
      <c r="E1082" s="35">
        <f t="shared" si="41"/>
        <v>780.7254999999999</v>
      </c>
      <c r="F1082" s="35">
        <f t="shared" si="41"/>
        <v>1216.5</v>
      </c>
      <c r="G1082" s="35">
        <f t="shared" si="41"/>
        <v>79.166666666666671</v>
      </c>
      <c r="H1082" s="37">
        <f t="shared" si="41"/>
        <v>600</v>
      </c>
      <c r="I1082" s="35">
        <f t="shared" si="41"/>
        <v>695</v>
      </c>
      <c r="J1082" s="35">
        <f t="shared" si="41"/>
        <v>33.333333333333336</v>
      </c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</row>
    <row r="1083" spans="1:20" ht="15">
      <c r="A1083" s="3">
        <f t="shared" si="30"/>
        <v>2048</v>
      </c>
      <c r="B1083" s="3">
        <f t="shared" si="40"/>
        <v>366</v>
      </c>
      <c r="C1083" s="35">
        <f t="shared" ref="C1083:J1083" si="42">AVERAGE(C413:C424)</f>
        <v>154.75825</v>
      </c>
      <c r="D1083" s="35">
        <f t="shared" si="42"/>
        <v>281.0162499999999</v>
      </c>
      <c r="E1083" s="35">
        <f t="shared" si="42"/>
        <v>780.7254999999999</v>
      </c>
      <c r="F1083" s="35">
        <f t="shared" si="42"/>
        <v>1216.5</v>
      </c>
      <c r="G1083" s="35">
        <f t="shared" si="42"/>
        <v>79.166666666666671</v>
      </c>
      <c r="H1083" s="37">
        <f t="shared" si="42"/>
        <v>600</v>
      </c>
      <c r="I1083" s="35">
        <f t="shared" si="42"/>
        <v>695</v>
      </c>
      <c r="J1083" s="35">
        <f t="shared" si="42"/>
        <v>33.333333333333336</v>
      </c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</row>
    <row r="1084" spans="1:20" ht="15">
      <c r="A1084" s="3">
        <f t="shared" si="30"/>
        <v>2049</v>
      </c>
      <c r="B1084" s="3">
        <f t="shared" si="40"/>
        <v>365</v>
      </c>
      <c r="C1084" s="35">
        <f t="shared" ref="C1084:J1084" si="43">AVERAGE(C425:C436)</f>
        <v>154.75825</v>
      </c>
      <c r="D1084" s="35">
        <f t="shared" si="43"/>
        <v>281.0162499999999</v>
      </c>
      <c r="E1084" s="35">
        <f t="shared" si="43"/>
        <v>780.7254999999999</v>
      </c>
      <c r="F1084" s="35">
        <f t="shared" si="43"/>
        <v>1216.5</v>
      </c>
      <c r="G1084" s="35">
        <f t="shared" si="43"/>
        <v>79.166666666666671</v>
      </c>
      <c r="H1084" s="37">
        <f t="shared" si="43"/>
        <v>600</v>
      </c>
      <c r="I1084" s="35">
        <f t="shared" si="43"/>
        <v>695</v>
      </c>
      <c r="J1084" s="35">
        <f t="shared" si="43"/>
        <v>33.333333333333336</v>
      </c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</row>
    <row r="1085" spans="1:20" ht="15">
      <c r="A1085" s="3">
        <f t="shared" si="30"/>
        <v>2050</v>
      </c>
      <c r="B1085" s="3">
        <f t="shared" si="40"/>
        <v>365</v>
      </c>
      <c r="C1085" s="35">
        <f t="shared" ref="C1085:J1085" si="44">AVERAGE(C437:C448)</f>
        <v>154.75825</v>
      </c>
      <c r="D1085" s="35">
        <f t="shared" si="44"/>
        <v>281.0162499999999</v>
      </c>
      <c r="E1085" s="35">
        <f t="shared" si="44"/>
        <v>780.7254999999999</v>
      </c>
      <c r="F1085" s="35">
        <f t="shared" si="44"/>
        <v>1216.5</v>
      </c>
      <c r="G1085" s="35">
        <f t="shared" si="44"/>
        <v>79.166666666666671</v>
      </c>
      <c r="H1085" s="37">
        <f t="shared" si="44"/>
        <v>600</v>
      </c>
      <c r="I1085" s="35">
        <f t="shared" si="44"/>
        <v>695</v>
      </c>
      <c r="J1085" s="35">
        <f t="shared" si="44"/>
        <v>33.333333333333336</v>
      </c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</row>
    <row r="1086" spans="1:20" ht="15">
      <c r="A1086" s="3">
        <f t="shared" si="30"/>
        <v>2051</v>
      </c>
      <c r="B1086" s="3">
        <f t="shared" si="40"/>
        <v>365</v>
      </c>
      <c r="C1086" s="35">
        <f t="shared" ref="C1086:J1086" si="45">AVERAGE(C449:C460)</f>
        <v>154.75825</v>
      </c>
      <c r="D1086" s="35">
        <f t="shared" si="45"/>
        <v>281.0162499999999</v>
      </c>
      <c r="E1086" s="35">
        <f t="shared" si="45"/>
        <v>780.7254999999999</v>
      </c>
      <c r="F1086" s="35">
        <f t="shared" si="45"/>
        <v>1216.5</v>
      </c>
      <c r="G1086" s="35">
        <f t="shared" si="45"/>
        <v>79.166666666666671</v>
      </c>
      <c r="H1086" s="37">
        <f t="shared" si="45"/>
        <v>600</v>
      </c>
      <c r="I1086" s="35">
        <f t="shared" si="45"/>
        <v>695</v>
      </c>
      <c r="J1086" s="35">
        <f t="shared" si="45"/>
        <v>33.333333333333336</v>
      </c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</row>
    <row r="1087" spans="1:20" ht="15">
      <c r="A1087" s="3">
        <f t="shared" si="30"/>
        <v>2052</v>
      </c>
      <c r="B1087" s="3">
        <f t="shared" si="40"/>
        <v>366</v>
      </c>
      <c r="C1087" s="35">
        <f t="shared" ref="C1087:J1087" si="46">AVERAGE(C461:C472)</f>
        <v>154.75825</v>
      </c>
      <c r="D1087" s="35">
        <f t="shared" si="46"/>
        <v>281.0162499999999</v>
      </c>
      <c r="E1087" s="35">
        <f t="shared" si="46"/>
        <v>780.7254999999999</v>
      </c>
      <c r="F1087" s="35">
        <f t="shared" si="46"/>
        <v>1216.5</v>
      </c>
      <c r="G1087" s="35">
        <f t="shared" si="46"/>
        <v>79.166666666666671</v>
      </c>
      <c r="H1087" s="37">
        <f t="shared" si="46"/>
        <v>600</v>
      </c>
      <c r="I1087" s="35">
        <f t="shared" si="46"/>
        <v>695</v>
      </c>
      <c r="J1087" s="35">
        <f t="shared" si="46"/>
        <v>33.333333333333336</v>
      </c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</row>
    <row r="1088" spans="1:20" ht="15">
      <c r="A1088" s="3">
        <f t="shared" si="30"/>
        <v>2053</v>
      </c>
      <c r="B1088" s="3">
        <f t="shared" si="40"/>
        <v>365</v>
      </c>
      <c r="C1088" s="35">
        <f t="shared" ref="C1088:J1088" si="47">AVERAGE(C473:C484)</f>
        <v>154.75825</v>
      </c>
      <c r="D1088" s="35">
        <f t="shared" si="47"/>
        <v>281.0162499999999</v>
      </c>
      <c r="E1088" s="35">
        <f t="shared" si="47"/>
        <v>780.7254999999999</v>
      </c>
      <c r="F1088" s="35">
        <f t="shared" si="47"/>
        <v>1216.5</v>
      </c>
      <c r="G1088" s="35">
        <f t="shared" si="47"/>
        <v>79.166666666666671</v>
      </c>
      <c r="H1088" s="37">
        <f t="shared" si="47"/>
        <v>600</v>
      </c>
      <c r="I1088" s="35">
        <f t="shared" si="47"/>
        <v>695</v>
      </c>
      <c r="J1088" s="35">
        <f t="shared" si="47"/>
        <v>33.333333333333336</v>
      </c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</row>
    <row r="1089" spans="1:20" ht="15">
      <c r="A1089" s="3">
        <f t="shared" si="30"/>
        <v>2054</v>
      </c>
      <c r="B1089" s="3">
        <f t="shared" si="40"/>
        <v>365</v>
      </c>
      <c r="C1089" s="35">
        <f t="shared" ref="C1089:J1096" si="48">AVERAGE(C485:C496)</f>
        <v>154.75825</v>
      </c>
      <c r="D1089" s="35">
        <f t="shared" si="48"/>
        <v>281.0162499999999</v>
      </c>
      <c r="E1089" s="35">
        <f t="shared" si="48"/>
        <v>780.7254999999999</v>
      </c>
      <c r="F1089" s="35">
        <f t="shared" si="48"/>
        <v>1216.5</v>
      </c>
      <c r="G1089" s="35">
        <f t="shared" si="48"/>
        <v>79.166666666666671</v>
      </c>
      <c r="H1089" s="37">
        <f t="shared" si="48"/>
        <v>600</v>
      </c>
      <c r="I1089" s="35">
        <f t="shared" si="48"/>
        <v>695</v>
      </c>
      <c r="J1089" s="35">
        <f t="shared" si="48"/>
        <v>33.333333333333336</v>
      </c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</row>
    <row r="1090" spans="1:20" ht="15">
      <c r="A1090" s="3">
        <f t="shared" si="30"/>
        <v>2055</v>
      </c>
      <c r="B1090" s="3">
        <f t="shared" si="40"/>
        <v>365</v>
      </c>
      <c r="C1090" s="35">
        <f t="shared" si="48"/>
        <v>154.75825</v>
      </c>
      <c r="D1090" s="35">
        <f t="shared" si="48"/>
        <v>281.0162499999999</v>
      </c>
      <c r="E1090" s="35">
        <f t="shared" si="48"/>
        <v>780.7254999999999</v>
      </c>
      <c r="F1090" s="35">
        <f t="shared" si="48"/>
        <v>1216.5</v>
      </c>
      <c r="G1090" s="35">
        <f t="shared" si="48"/>
        <v>79.166666666666671</v>
      </c>
      <c r="H1090" s="37">
        <f t="shared" si="48"/>
        <v>600</v>
      </c>
      <c r="I1090" s="35">
        <f t="shared" si="48"/>
        <v>695</v>
      </c>
      <c r="J1090" s="35">
        <f t="shared" si="48"/>
        <v>33.333333333333336</v>
      </c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</row>
    <row r="1091" spans="1:20" ht="15">
      <c r="A1091" s="3">
        <f t="shared" si="30"/>
        <v>2056</v>
      </c>
      <c r="B1091" s="3">
        <f t="shared" si="40"/>
        <v>366</v>
      </c>
      <c r="C1091" s="35">
        <f t="shared" si="48"/>
        <v>154.75824999999998</v>
      </c>
      <c r="D1091" s="35">
        <f t="shared" si="48"/>
        <v>281.0162499999999</v>
      </c>
      <c r="E1091" s="35">
        <f t="shared" si="48"/>
        <v>780.7254999999999</v>
      </c>
      <c r="F1091" s="35">
        <f t="shared" si="48"/>
        <v>1216.5</v>
      </c>
      <c r="G1091" s="35">
        <f t="shared" si="48"/>
        <v>79.166666666666671</v>
      </c>
      <c r="H1091" s="37">
        <f t="shared" si="48"/>
        <v>600</v>
      </c>
      <c r="I1091" s="35">
        <f t="shared" si="48"/>
        <v>695</v>
      </c>
      <c r="J1091" s="35">
        <f t="shared" si="48"/>
        <v>33.333333333333336</v>
      </c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</row>
    <row r="1092" spans="1:20" ht="15">
      <c r="A1092" s="3">
        <f t="shared" si="30"/>
        <v>2057</v>
      </c>
      <c r="B1092" s="3">
        <f t="shared" si="40"/>
        <v>365</v>
      </c>
      <c r="C1092" s="35">
        <f t="shared" si="48"/>
        <v>154.75825</v>
      </c>
      <c r="D1092" s="35">
        <f t="shared" si="48"/>
        <v>281.0162499999999</v>
      </c>
      <c r="E1092" s="35">
        <f t="shared" si="48"/>
        <v>780.72550000000001</v>
      </c>
      <c r="F1092" s="35">
        <f t="shared" si="48"/>
        <v>1216.5</v>
      </c>
      <c r="G1092" s="35">
        <f t="shared" si="48"/>
        <v>79.166666666666671</v>
      </c>
      <c r="H1092" s="37">
        <f t="shared" si="48"/>
        <v>600</v>
      </c>
      <c r="I1092" s="35">
        <f t="shared" si="48"/>
        <v>695</v>
      </c>
      <c r="J1092" s="35">
        <f t="shared" si="48"/>
        <v>33.333333333333336</v>
      </c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</row>
    <row r="1093" spans="1:20" ht="15">
      <c r="A1093" s="3">
        <f t="shared" si="30"/>
        <v>2058</v>
      </c>
      <c r="B1093" s="3">
        <f t="shared" si="40"/>
        <v>365</v>
      </c>
      <c r="C1093" s="35">
        <f t="shared" si="48"/>
        <v>154.75824999999998</v>
      </c>
      <c r="D1093" s="35">
        <f t="shared" si="48"/>
        <v>281.01624999999996</v>
      </c>
      <c r="E1093" s="35">
        <f t="shared" si="48"/>
        <v>780.72550000000001</v>
      </c>
      <c r="F1093" s="35">
        <f t="shared" si="48"/>
        <v>1216.5</v>
      </c>
      <c r="G1093" s="35">
        <f t="shared" si="48"/>
        <v>79.166666666666671</v>
      </c>
      <c r="H1093" s="37">
        <f t="shared" si="48"/>
        <v>600</v>
      </c>
      <c r="I1093" s="35">
        <f t="shared" si="48"/>
        <v>695</v>
      </c>
      <c r="J1093" s="35">
        <f t="shared" si="48"/>
        <v>33.333333333333336</v>
      </c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</row>
    <row r="1094" spans="1:20" ht="15">
      <c r="A1094" s="3">
        <f t="shared" si="30"/>
        <v>2059</v>
      </c>
      <c r="B1094" s="3">
        <f t="shared" si="40"/>
        <v>365</v>
      </c>
      <c r="C1094" s="35">
        <f t="shared" si="48"/>
        <v>154.75824999999998</v>
      </c>
      <c r="D1094" s="35">
        <f t="shared" si="48"/>
        <v>281.01624999999996</v>
      </c>
      <c r="E1094" s="35">
        <f t="shared" si="48"/>
        <v>780.72550000000012</v>
      </c>
      <c r="F1094" s="35">
        <f t="shared" si="48"/>
        <v>1216.5</v>
      </c>
      <c r="G1094" s="35">
        <f t="shared" si="48"/>
        <v>79.166666666666671</v>
      </c>
      <c r="H1094" s="37">
        <f t="shared" si="48"/>
        <v>600</v>
      </c>
      <c r="I1094" s="35">
        <f t="shared" si="48"/>
        <v>695</v>
      </c>
      <c r="J1094" s="35">
        <f t="shared" si="48"/>
        <v>33.333333333333336</v>
      </c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</row>
    <row r="1095" spans="1:20" ht="15">
      <c r="A1095" s="3">
        <f t="shared" si="30"/>
        <v>2060</v>
      </c>
      <c r="B1095" s="3">
        <f t="shared" si="40"/>
        <v>366</v>
      </c>
      <c r="C1095" s="35">
        <f t="shared" si="48"/>
        <v>154.75824999999998</v>
      </c>
      <c r="D1095" s="35">
        <f t="shared" si="48"/>
        <v>281.01624999999996</v>
      </c>
      <c r="E1095" s="35">
        <f t="shared" si="48"/>
        <v>780.72550000000012</v>
      </c>
      <c r="F1095" s="35">
        <f t="shared" si="48"/>
        <v>1216.5</v>
      </c>
      <c r="G1095" s="35">
        <f t="shared" si="48"/>
        <v>79.166666666666671</v>
      </c>
      <c r="H1095" s="37">
        <f t="shared" si="48"/>
        <v>600</v>
      </c>
      <c r="I1095" s="35">
        <f t="shared" si="48"/>
        <v>695</v>
      </c>
      <c r="J1095" s="35">
        <f t="shared" si="48"/>
        <v>33.333333333333336</v>
      </c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</row>
    <row r="1096" spans="1:20" ht="15">
      <c r="A1096" s="3">
        <f t="shared" si="30"/>
        <v>2061</v>
      </c>
      <c r="B1096" s="3">
        <f t="shared" si="40"/>
        <v>365</v>
      </c>
      <c r="C1096" s="35">
        <f t="shared" si="48"/>
        <v>154.75825</v>
      </c>
      <c r="D1096" s="35">
        <f t="shared" si="48"/>
        <v>281.01624999999996</v>
      </c>
      <c r="E1096" s="35">
        <f t="shared" si="48"/>
        <v>780.72550000000001</v>
      </c>
      <c r="F1096" s="35">
        <f t="shared" si="48"/>
        <v>1216.5</v>
      </c>
      <c r="G1096" s="35">
        <f t="shared" si="48"/>
        <v>79.166666666666671</v>
      </c>
      <c r="H1096" s="37">
        <f t="shared" si="48"/>
        <v>600</v>
      </c>
      <c r="I1096" s="35">
        <f t="shared" si="48"/>
        <v>695</v>
      </c>
      <c r="J1096" s="35">
        <f t="shared" si="48"/>
        <v>33.333333333333336</v>
      </c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</row>
    <row r="1097" spans="1:20" ht="15">
      <c r="A1097" s="3">
        <f t="shared" si="30"/>
        <v>2062</v>
      </c>
      <c r="B1097" s="3">
        <f t="shared" si="40"/>
        <v>365</v>
      </c>
      <c r="C1097" s="35">
        <f t="shared" ref="C1097:J1106" ca="1" si="49">AVERAGE(OFFSET(C$581,($A1097-$A$1097)*12,0,12,1))</f>
        <v>154.75825</v>
      </c>
      <c r="D1097" s="35">
        <f t="shared" ca="1" si="49"/>
        <v>281.0162499999999</v>
      </c>
      <c r="E1097" s="35">
        <f t="shared" ca="1" si="49"/>
        <v>780.7254999999999</v>
      </c>
      <c r="F1097" s="35">
        <f t="shared" ca="1" si="49"/>
        <v>1216.5</v>
      </c>
      <c r="G1097" s="35">
        <f t="shared" ca="1" si="49"/>
        <v>79.166666666666671</v>
      </c>
      <c r="H1097" s="35">
        <f t="shared" ca="1" si="49"/>
        <v>600</v>
      </c>
      <c r="I1097" s="35">
        <f t="shared" ca="1" si="49"/>
        <v>695</v>
      </c>
      <c r="J1097" s="35">
        <f t="shared" ca="1" si="49"/>
        <v>33.333333333333336</v>
      </c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</row>
    <row r="1098" spans="1:20" ht="15">
      <c r="A1098" s="3">
        <f t="shared" si="30"/>
        <v>2063</v>
      </c>
      <c r="B1098" s="3">
        <f t="shared" si="40"/>
        <v>365</v>
      </c>
      <c r="C1098" s="35">
        <f t="shared" ca="1" si="49"/>
        <v>154.75825</v>
      </c>
      <c r="D1098" s="35">
        <f t="shared" ca="1" si="49"/>
        <v>281.0162499999999</v>
      </c>
      <c r="E1098" s="35">
        <f t="shared" ca="1" si="49"/>
        <v>780.7254999999999</v>
      </c>
      <c r="F1098" s="35">
        <f t="shared" ca="1" si="49"/>
        <v>1216.5</v>
      </c>
      <c r="G1098" s="35">
        <f t="shared" ca="1" si="49"/>
        <v>79.166666666666671</v>
      </c>
      <c r="H1098" s="35">
        <f t="shared" ca="1" si="49"/>
        <v>600</v>
      </c>
      <c r="I1098" s="35">
        <f t="shared" ca="1" si="49"/>
        <v>695</v>
      </c>
      <c r="J1098" s="35">
        <f t="shared" ca="1" si="49"/>
        <v>33.333333333333336</v>
      </c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</row>
    <row r="1099" spans="1:20" ht="15">
      <c r="A1099" s="3">
        <f t="shared" si="30"/>
        <v>2064</v>
      </c>
      <c r="B1099" s="3">
        <f t="shared" si="40"/>
        <v>366</v>
      </c>
      <c r="C1099" s="35">
        <f t="shared" ca="1" si="49"/>
        <v>154.75825</v>
      </c>
      <c r="D1099" s="35">
        <f t="shared" ca="1" si="49"/>
        <v>281.0162499999999</v>
      </c>
      <c r="E1099" s="35">
        <f t="shared" ca="1" si="49"/>
        <v>780.7254999999999</v>
      </c>
      <c r="F1099" s="35">
        <f t="shared" ca="1" si="49"/>
        <v>1216.5</v>
      </c>
      <c r="G1099" s="35">
        <f t="shared" ca="1" si="49"/>
        <v>79.166666666666671</v>
      </c>
      <c r="H1099" s="35">
        <f t="shared" ca="1" si="49"/>
        <v>600</v>
      </c>
      <c r="I1099" s="35">
        <f t="shared" ca="1" si="49"/>
        <v>695</v>
      </c>
      <c r="J1099" s="35">
        <f t="shared" ca="1" si="49"/>
        <v>33.333333333333336</v>
      </c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</row>
    <row r="1100" spans="1:20" ht="15">
      <c r="A1100" s="3">
        <f t="shared" si="30"/>
        <v>2065</v>
      </c>
      <c r="B1100" s="3">
        <f t="shared" si="40"/>
        <v>365</v>
      </c>
      <c r="C1100" s="35">
        <f t="shared" ca="1" si="49"/>
        <v>154.75825</v>
      </c>
      <c r="D1100" s="35">
        <f t="shared" ca="1" si="49"/>
        <v>281.0162499999999</v>
      </c>
      <c r="E1100" s="35">
        <f t="shared" ca="1" si="49"/>
        <v>780.7254999999999</v>
      </c>
      <c r="F1100" s="35">
        <f t="shared" ca="1" si="49"/>
        <v>1216.5</v>
      </c>
      <c r="G1100" s="35">
        <f t="shared" ca="1" si="49"/>
        <v>79.166666666666671</v>
      </c>
      <c r="H1100" s="35">
        <f t="shared" ca="1" si="49"/>
        <v>600</v>
      </c>
      <c r="I1100" s="35">
        <f t="shared" ca="1" si="49"/>
        <v>695</v>
      </c>
      <c r="J1100" s="35">
        <f t="shared" ca="1" si="49"/>
        <v>33.333333333333336</v>
      </c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</row>
    <row r="1101" spans="1:20" ht="15">
      <c r="A1101" s="3">
        <f t="shared" si="30"/>
        <v>2066</v>
      </c>
      <c r="B1101" s="3">
        <f t="shared" si="40"/>
        <v>365</v>
      </c>
      <c r="C1101" s="35">
        <f t="shared" ca="1" si="49"/>
        <v>154.75825</v>
      </c>
      <c r="D1101" s="35">
        <f t="shared" ca="1" si="49"/>
        <v>281.0162499999999</v>
      </c>
      <c r="E1101" s="35">
        <f t="shared" ca="1" si="49"/>
        <v>780.7254999999999</v>
      </c>
      <c r="F1101" s="35">
        <f t="shared" ca="1" si="49"/>
        <v>1216.5</v>
      </c>
      <c r="G1101" s="35">
        <f t="shared" ca="1" si="49"/>
        <v>79.166666666666671</v>
      </c>
      <c r="H1101" s="35">
        <f t="shared" ca="1" si="49"/>
        <v>600</v>
      </c>
      <c r="I1101" s="35">
        <f t="shared" ca="1" si="49"/>
        <v>695</v>
      </c>
      <c r="J1101" s="35">
        <f t="shared" ca="1" si="49"/>
        <v>33.333333333333336</v>
      </c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</row>
    <row r="1102" spans="1:20" ht="15">
      <c r="A1102" s="3">
        <f t="shared" si="30"/>
        <v>2067</v>
      </c>
      <c r="B1102" s="3">
        <f t="shared" si="40"/>
        <v>365</v>
      </c>
      <c r="C1102" s="35">
        <f t="shared" ca="1" si="49"/>
        <v>154.75825</v>
      </c>
      <c r="D1102" s="35">
        <f t="shared" ca="1" si="49"/>
        <v>281.0162499999999</v>
      </c>
      <c r="E1102" s="35">
        <f t="shared" ca="1" si="49"/>
        <v>780.7254999999999</v>
      </c>
      <c r="F1102" s="35">
        <f t="shared" ca="1" si="49"/>
        <v>1216.5</v>
      </c>
      <c r="G1102" s="35">
        <f t="shared" ca="1" si="49"/>
        <v>79.166666666666671</v>
      </c>
      <c r="H1102" s="35">
        <f t="shared" ca="1" si="49"/>
        <v>600</v>
      </c>
      <c r="I1102" s="35">
        <f t="shared" ca="1" si="49"/>
        <v>695</v>
      </c>
      <c r="J1102" s="35">
        <f t="shared" ca="1" si="49"/>
        <v>33.333333333333336</v>
      </c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</row>
    <row r="1103" spans="1:20" ht="15">
      <c r="A1103" s="3">
        <f t="shared" si="30"/>
        <v>2068</v>
      </c>
      <c r="B1103" s="3">
        <f t="shared" si="40"/>
        <v>366</v>
      </c>
      <c r="C1103" s="35">
        <f t="shared" ca="1" si="49"/>
        <v>154.75825</v>
      </c>
      <c r="D1103" s="35">
        <f t="shared" ca="1" si="49"/>
        <v>281.0162499999999</v>
      </c>
      <c r="E1103" s="35">
        <f t="shared" ca="1" si="49"/>
        <v>780.7254999999999</v>
      </c>
      <c r="F1103" s="35">
        <f t="shared" ca="1" si="49"/>
        <v>1216.5</v>
      </c>
      <c r="G1103" s="35">
        <f t="shared" ca="1" si="49"/>
        <v>79.166666666666671</v>
      </c>
      <c r="H1103" s="35">
        <f t="shared" ca="1" si="49"/>
        <v>600</v>
      </c>
      <c r="I1103" s="35">
        <f t="shared" ca="1" si="49"/>
        <v>695</v>
      </c>
      <c r="J1103" s="35">
        <f t="shared" ca="1" si="49"/>
        <v>33.333333333333336</v>
      </c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</row>
    <row r="1104" spans="1:20" ht="15">
      <c r="A1104" s="3">
        <f t="shared" si="30"/>
        <v>2069</v>
      </c>
      <c r="B1104" s="3">
        <f t="shared" si="40"/>
        <v>365</v>
      </c>
      <c r="C1104" s="35">
        <f t="shared" ca="1" si="49"/>
        <v>154.75825</v>
      </c>
      <c r="D1104" s="35">
        <f t="shared" ca="1" si="49"/>
        <v>281.0162499999999</v>
      </c>
      <c r="E1104" s="35">
        <f t="shared" ca="1" si="49"/>
        <v>780.7254999999999</v>
      </c>
      <c r="F1104" s="35">
        <f t="shared" ca="1" si="49"/>
        <v>1216.5</v>
      </c>
      <c r="G1104" s="35">
        <f t="shared" ca="1" si="49"/>
        <v>79.166666666666671</v>
      </c>
      <c r="H1104" s="35">
        <f t="shared" ca="1" si="49"/>
        <v>600</v>
      </c>
      <c r="I1104" s="35">
        <f t="shared" ca="1" si="49"/>
        <v>695</v>
      </c>
      <c r="J1104" s="35">
        <f t="shared" ca="1" si="49"/>
        <v>33.333333333333336</v>
      </c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</row>
    <row r="1105" spans="1:20" ht="15">
      <c r="A1105" s="3">
        <f t="shared" ref="A1105:A1135" si="50">A1104+1</f>
        <v>2070</v>
      </c>
      <c r="B1105" s="3">
        <f t="shared" si="40"/>
        <v>365</v>
      </c>
      <c r="C1105" s="35">
        <f t="shared" ca="1" si="49"/>
        <v>154.75825</v>
      </c>
      <c r="D1105" s="35">
        <f t="shared" ca="1" si="49"/>
        <v>281.0162499999999</v>
      </c>
      <c r="E1105" s="35">
        <f t="shared" ca="1" si="49"/>
        <v>780.7254999999999</v>
      </c>
      <c r="F1105" s="35">
        <f t="shared" ca="1" si="49"/>
        <v>1216.5</v>
      </c>
      <c r="G1105" s="35">
        <f t="shared" ca="1" si="49"/>
        <v>79.166666666666671</v>
      </c>
      <c r="H1105" s="35">
        <f t="shared" ca="1" si="49"/>
        <v>600</v>
      </c>
      <c r="I1105" s="35">
        <f t="shared" ca="1" si="49"/>
        <v>695</v>
      </c>
      <c r="J1105" s="35">
        <f t="shared" ca="1" si="49"/>
        <v>33.333333333333336</v>
      </c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</row>
    <row r="1106" spans="1:20" ht="15">
      <c r="A1106" s="3">
        <f t="shared" si="50"/>
        <v>2071</v>
      </c>
      <c r="B1106" s="3">
        <f t="shared" si="40"/>
        <v>365</v>
      </c>
      <c r="C1106" s="35">
        <f t="shared" ca="1" si="49"/>
        <v>154.75825</v>
      </c>
      <c r="D1106" s="35">
        <f t="shared" ca="1" si="49"/>
        <v>281.0162499999999</v>
      </c>
      <c r="E1106" s="35">
        <f t="shared" ca="1" si="49"/>
        <v>780.7254999999999</v>
      </c>
      <c r="F1106" s="35">
        <f t="shared" ca="1" si="49"/>
        <v>1216.5</v>
      </c>
      <c r="G1106" s="35">
        <f t="shared" ca="1" si="49"/>
        <v>79.166666666666671</v>
      </c>
      <c r="H1106" s="35">
        <f t="shared" ca="1" si="49"/>
        <v>600</v>
      </c>
      <c r="I1106" s="35">
        <f t="shared" ca="1" si="49"/>
        <v>695</v>
      </c>
      <c r="J1106" s="35">
        <f t="shared" ca="1" si="49"/>
        <v>33.333333333333336</v>
      </c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</row>
    <row r="1107" spans="1:20" ht="15">
      <c r="A1107" s="3">
        <f t="shared" si="50"/>
        <v>2072</v>
      </c>
      <c r="B1107" s="3">
        <f t="shared" si="40"/>
        <v>366</v>
      </c>
      <c r="C1107" s="35">
        <f t="shared" ref="C1107:J1116" ca="1" si="51">AVERAGE(OFFSET(C$581,($A1107-$A$1097)*12,0,12,1))</f>
        <v>154.75825</v>
      </c>
      <c r="D1107" s="35">
        <f t="shared" ca="1" si="51"/>
        <v>281.0162499999999</v>
      </c>
      <c r="E1107" s="35">
        <f t="shared" ca="1" si="51"/>
        <v>780.7254999999999</v>
      </c>
      <c r="F1107" s="35">
        <f t="shared" ca="1" si="51"/>
        <v>1216.5</v>
      </c>
      <c r="G1107" s="35">
        <f t="shared" ca="1" si="51"/>
        <v>79.166666666666671</v>
      </c>
      <c r="H1107" s="35">
        <f t="shared" ca="1" si="51"/>
        <v>600</v>
      </c>
      <c r="I1107" s="35">
        <f t="shared" ca="1" si="51"/>
        <v>695</v>
      </c>
      <c r="J1107" s="35">
        <f t="shared" ca="1" si="51"/>
        <v>33.333333333333336</v>
      </c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</row>
    <row r="1108" spans="1:20" ht="15">
      <c r="A1108" s="3">
        <f t="shared" si="50"/>
        <v>2073</v>
      </c>
      <c r="B1108" s="3">
        <f t="shared" si="40"/>
        <v>365</v>
      </c>
      <c r="C1108" s="35">
        <f t="shared" ca="1" si="51"/>
        <v>154.75825</v>
      </c>
      <c r="D1108" s="35">
        <f t="shared" ca="1" si="51"/>
        <v>281.0162499999999</v>
      </c>
      <c r="E1108" s="35">
        <f t="shared" ca="1" si="51"/>
        <v>780.7254999999999</v>
      </c>
      <c r="F1108" s="35">
        <f t="shared" ca="1" si="51"/>
        <v>1216.5</v>
      </c>
      <c r="G1108" s="35">
        <f t="shared" ca="1" si="51"/>
        <v>79.166666666666671</v>
      </c>
      <c r="H1108" s="35">
        <f t="shared" ca="1" si="51"/>
        <v>600</v>
      </c>
      <c r="I1108" s="35">
        <f t="shared" ca="1" si="51"/>
        <v>695</v>
      </c>
      <c r="J1108" s="35">
        <f t="shared" ca="1" si="51"/>
        <v>33.333333333333336</v>
      </c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</row>
    <row r="1109" spans="1:20" ht="15">
      <c r="A1109" s="3">
        <f t="shared" si="50"/>
        <v>2074</v>
      </c>
      <c r="B1109" s="3">
        <f t="shared" si="40"/>
        <v>365</v>
      </c>
      <c r="C1109" s="35">
        <f t="shared" ca="1" si="51"/>
        <v>154.75825</v>
      </c>
      <c r="D1109" s="35">
        <f t="shared" ca="1" si="51"/>
        <v>281.0162499999999</v>
      </c>
      <c r="E1109" s="35">
        <f t="shared" ca="1" si="51"/>
        <v>780.7254999999999</v>
      </c>
      <c r="F1109" s="35">
        <f t="shared" ca="1" si="51"/>
        <v>1216.5</v>
      </c>
      <c r="G1109" s="35">
        <f t="shared" ca="1" si="51"/>
        <v>79.166666666666671</v>
      </c>
      <c r="H1109" s="35">
        <f t="shared" ca="1" si="51"/>
        <v>600</v>
      </c>
      <c r="I1109" s="35">
        <f t="shared" ca="1" si="51"/>
        <v>695</v>
      </c>
      <c r="J1109" s="35">
        <f t="shared" ca="1" si="51"/>
        <v>33.333333333333336</v>
      </c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</row>
    <row r="1110" spans="1:20" ht="15">
      <c r="A1110" s="3">
        <f t="shared" si="50"/>
        <v>2075</v>
      </c>
      <c r="B1110" s="3">
        <f t="shared" si="40"/>
        <v>365</v>
      </c>
      <c r="C1110" s="35">
        <f t="shared" ca="1" si="51"/>
        <v>154.75825</v>
      </c>
      <c r="D1110" s="35">
        <f t="shared" ca="1" si="51"/>
        <v>281.0162499999999</v>
      </c>
      <c r="E1110" s="35">
        <f t="shared" ca="1" si="51"/>
        <v>780.7254999999999</v>
      </c>
      <c r="F1110" s="35">
        <f t="shared" ca="1" si="51"/>
        <v>1216.5</v>
      </c>
      <c r="G1110" s="35">
        <f t="shared" ca="1" si="51"/>
        <v>79.166666666666671</v>
      </c>
      <c r="H1110" s="35">
        <f t="shared" ca="1" si="51"/>
        <v>600</v>
      </c>
      <c r="I1110" s="35">
        <f t="shared" ca="1" si="51"/>
        <v>695</v>
      </c>
      <c r="J1110" s="35">
        <f t="shared" ca="1" si="51"/>
        <v>33.333333333333336</v>
      </c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</row>
    <row r="1111" spans="1:20" ht="15">
      <c r="A1111" s="3">
        <f t="shared" si="50"/>
        <v>2076</v>
      </c>
      <c r="B1111" s="3">
        <f t="shared" si="40"/>
        <v>366</v>
      </c>
      <c r="C1111" s="35">
        <f t="shared" ca="1" si="51"/>
        <v>154.75825</v>
      </c>
      <c r="D1111" s="35">
        <f t="shared" ca="1" si="51"/>
        <v>281.0162499999999</v>
      </c>
      <c r="E1111" s="35">
        <f t="shared" ca="1" si="51"/>
        <v>780.7254999999999</v>
      </c>
      <c r="F1111" s="35">
        <f t="shared" ca="1" si="51"/>
        <v>1216.5</v>
      </c>
      <c r="G1111" s="35">
        <f t="shared" ca="1" si="51"/>
        <v>79.166666666666671</v>
      </c>
      <c r="H1111" s="35">
        <f t="shared" ca="1" si="51"/>
        <v>600</v>
      </c>
      <c r="I1111" s="35">
        <f t="shared" ca="1" si="51"/>
        <v>695</v>
      </c>
      <c r="J1111" s="35">
        <f t="shared" ca="1" si="51"/>
        <v>33.333333333333336</v>
      </c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</row>
    <row r="1112" spans="1:20" ht="15">
      <c r="A1112" s="3">
        <f t="shared" si="50"/>
        <v>2077</v>
      </c>
      <c r="B1112" s="3">
        <f t="shared" si="40"/>
        <v>365</v>
      </c>
      <c r="C1112" s="35">
        <f t="shared" ca="1" si="51"/>
        <v>154.75825</v>
      </c>
      <c r="D1112" s="35">
        <f t="shared" ca="1" si="51"/>
        <v>281.0162499999999</v>
      </c>
      <c r="E1112" s="35">
        <f t="shared" ca="1" si="51"/>
        <v>780.7254999999999</v>
      </c>
      <c r="F1112" s="35">
        <f t="shared" ca="1" si="51"/>
        <v>1216.5</v>
      </c>
      <c r="G1112" s="35">
        <f t="shared" ca="1" si="51"/>
        <v>79.166666666666671</v>
      </c>
      <c r="H1112" s="35">
        <f t="shared" ca="1" si="51"/>
        <v>600</v>
      </c>
      <c r="I1112" s="35">
        <f t="shared" ca="1" si="51"/>
        <v>695</v>
      </c>
      <c r="J1112" s="35">
        <f t="shared" ca="1" si="51"/>
        <v>33.333333333333336</v>
      </c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</row>
    <row r="1113" spans="1:20" ht="15">
      <c r="A1113" s="3">
        <f t="shared" si="50"/>
        <v>2078</v>
      </c>
      <c r="B1113" s="3">
        <f t="shared" si="40"/>
        <v>365</v>
      </c>
      <c r="C1113" s="35">
        <f t="shared" ca="1" si="51"/>
        <v>154.75825</v>
      </c>
      <c r="D1113" s="35">
        <f t="shared" ca="1" si="51"/>
        <v>281.0162499999999</v>
      </c>
      <c r="E1113" s="35">
        <f t="shared" ca="1" si="51"/>
        <v>780.7254999999999</v>
      </c>
      <c r="F1113" s="35">
        <f t="shared" ca="1" si="51"/>
        <v>1216.5</v>
      </c>
      <c r="G1113" s="35">
        <f t="shared" ca="1" si="51"/>
        <v>79.166666666666671</v>
      </c>
      <c r="H1113" s="35">
        <f t="shared" ca="1" si="51"/>
        <v>600</v>
      </c>
      <c r="I1113" s="35">
        <f t="shared" ca="1" si="51"/>
        <v>695</v>
      </c>
      <c r="J1113" s="35">
        <f t="shared" ca="1" si="51"/>
        <v>33.333333333333336</v>
      </c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</row>
    <row r="1114" spans="1:20" ht="15">
      <c r="A1114" s="3">
        <f t="shared" si="50"/>
        <v>2079</v>
      </c>
      <c r="B1114" s="3">
        <f t="shared" ref="B1114:B1135" si="52">DATE(A1114+1,1,1)-DATE(A1114,1,1)</f>
        <v>365</v>
      </c>
      <c r="C1114" s="35">
        <f t="shared" ca="1" si="51"/>
        <v>154.75825</v>
      </c>
      <c r="D1114" s="35">
        <f t="shared" ca="1" si="51"/>
        <v>281.0162499999999</v>
      </c>
      <c r="E1114" s="35">
        <f t="shared" ca="1" si="51"/>
        <v>780.7254999999999</v>
      </c>
      <c r="F1114" s="35">
        <f t="shared" ca="1" si="51"/>
        <v>1216.5</v>
      </c>
      <c r="G1114" s="35">
        <f t="shared" ca="1" si="51"/>
        <v>79.166666666666671</v>
      </c>
      <c r="H1114" s="35">
        <f t="shared" ca="1" si="51"/>
        <v>600</v>
      </c>
      <c r="I1114" s="35">
        <f t="shared" ca="1" si="51"/>
        <v>695</v>
      </c>
      <c r="J1114" s="35">
        <f t="shared" ca="1" si="51"/>
        <v>33.333333333333336</v>
      </c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</row>
    <row r="1115" spans="1:20" ht="15">
      <c r="A1115" s="3">
        <f t="shared" si="50"/>
        <v>2080</v>
      </c>
      <c r="B1115" s="3">
        <f t="shared" si="52"/>
        <v>366</v>
      </c>
      <c r="C1115" s="35">
        <f t="shared" ca="1" si="51"/>
        <v>154.75825</v>
      </c>
      <c r="D1115" s="35">
        <f t="shared" ca="1" si="51"/>
        <v>281.0162499999999</v>
      </c>
      <c r="E1115" s="35">
        <f t="shared" ca="1" si="51"/>
        <v>780.7254999999999</v>
      </c>
      <c r="F1115" s="35">
        <f t="shared" ca="1" si="51"/>
        <v>1216.5</v>
      </c>
      <c r="G1115" s="35">
        <f t="shared" ca="1" si="51"/>
        <v>79.166666666666671</v>
      </c>
      <c r="H1115" s="35">
        <f t="shared" ca="1" si="51"/>
        <v>600</v>
      </c>
      <c r="I1115" s="35">
        <f t="shared" ca="1" si="51"/>
        <v>695</v>
      </c>
      <c r="J1115" s="35">
        <f t="shared" ca="1" si="51"/>
        <v>33.333333333333336</v>
      </c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</row>
    <row r="1116" spans="1:20" ht="15">
      <c r="A1116" s="3">
        <f t="shared" si="50"/>
        <v>2081</v>
      </c>
      <c r="B1116" s="3">
        <f t="shared" si="52"/>
        <v>365</v>
      </c>
      <c r="C1116" s="35">
        <f t="shared" ca="1" si="51"/>
        <v>154.75825</v>
      </c>
      <c r="D1116" s="35">
        <f t="shared" ca="1" si="51"/>
        <v>281.0162499999999</v>
      </c>
      <c r="E1116" s="35">
        <f t="shared" ca="1" si="51"/>
        <v>780.7254999999999</v>
      </c>
      <c r="F1116" s="35">
        <f t="shared" ca="1" si="51"/>
        <v>1216.5</v>
      </c>
      <c r="G1116" s="35">
        <f t="shared" ca="1" si="51"/>
        <v>79.166666666666671</v>
      </c>
      <c r="H1116" s="35">
        <f t="shared" ca="1" si="51"/>
        <v>600</v>
      </c>
      <c r="I1116" s="35">
        <f t="shared" ca="1" si="51"/>
        <v>695</v>
      </c>
      <c r="J1116" s="35">
        <f t="shared" ca="1" si="51"/>
        <v>33.333333333333336</v>
      </c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</row>
    <row r="1117" spans="1:20" ht="15">
      <c r="A1117" s="3">
        <f t="shared" si="50"/>
        <v>2082</v>
      </c>
      <c r="B1117" s="3">
        <f t="shared" si="52"/>
        <v>365</v>
      </c>
      <c r="C1117" s="35">
        <f t="shared" ref="C1117:J1126" ca="1" si="53">AVERAGE(OFFSET(C$581,($A1117-$A$1097)*12,0,12,1))</f>
        <v>154.75825</v>
      </c>
      <c r="D1117" s="35">
        <f t="shared" ca="1" si="53"/>
        <v>281.0162499999999</v>
      </c>
      <c r="E1117" s="35">
        <f t="shared" ca="1" si="53"/>
        <v>780.7254999999999</v>
      </c>
      <c r="F1117" s="35">
        <f t="shared" ca="1" si="53"/>
        <v>1216.5</v>
      </c>
      <c r="G1117" s="35">
        <f t="shared" ca="1" si="53"/>
        <v>79.166666666666671</v>
      </c>
      <c r="H1117" s="35">
        <f t="shared" ca="1" si="53"/>
        <v>600</v>
      </c>
      <c r="I1117" s="35">
        <f t="shared" ca="1" si="53"/>
        <v>695</v>
      </c>
      <c r="J1117" s="35">
        <f t="shared" ca="1" si="53"/>
        <v>33.333333333333336</v>
      </c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</row>
    <row r="1118" spans="1:20" ht="15">
      <c r="A1118" s="3">
        <f t="shared" si="50"/>
        <v>2083</v>
      </c>
      <c r="B1118" s="3">
        <f t="shared" si="52"/>
        <v>365</v>
      </c>
      <c r="C1118" s="35">
        <f t="shared" ca="1" si="53"/>
        <v>154.75825</v>
      </c>
      <c r="D1118" s="35">
        <f t="shared" ca="1" si="53"/>
        <v>281.0162499999999</v>
      </c>
      <c r="E1118" s="35">
        <f t="shared" ca="1" si="53"/>
        <v>780.7254999999999</v>
      </c>
      <c r="F1118" s="35">
        <f t="shared" ca="1" si="53"/>
        <v>1216.5</v>
      </c>
      <c r="G1118" s="35">
        <f t="shared" ca="1" si="53"/>
        <v>79.166666666666671</v>
      </c>
      <c r="H1118" s="35">
        <f t="shared" ca="1" si="53"/>
        <v>600</v>
      </c>
      <c r="I1118" s="35">
        <f t="shared" ca="1" si="53"/>
        <v>695</v>
      </c>
      <c r="J1118" s="35">
        <f t="shared" ca="1" si="53"/>
        <v>33.333333333333336</v>
      </c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</row>
    <row r="1119" spans="1:20" ht="15">
      <c r="A1119" s="3">
        <f t="shared" si="50"/>
        <v>2084</v>
      </c>
      <c r="B1119" s="3">
        <f t="shared" si="52"/>
        <v>366</v>
      </c>
      <c r="C1119" s="35">
        <f t="shared" ca="1" si="53"/>
        <v>154.75825</v>
      </c>
      <c r="D1119" s="35">
        <f t="shared" ca="1" si="53"/>
        <v>281.0162499999999</v>
      </c>
      <c r="E1119" s="35">
        <f t="shared" ca="1" si="53"/>
        <v>780.7254999999999</v>
      </c>
      <c r="F1119" s="35">
        <f t="shared" ca="1" si="53"/>
        <v>1216.5</v>
      </c>
      <c r="G1119" s="35">
        <f t="shared" ca="1" si="53"/>
        <v>79.166666666666671</v>
      </c>
      <c r="H1119" s="35">
        <f t="shared" ca="1" si="53"/>
        <v>600</v>
      </c>
      <c r="I1119" s="35">
        <f t="shared" ca="1" si="53"/>
        <v>695</v>
      </c>
      <c r="J1119" s="35">
        <f t="shared" ca="1" si="53"/>
        <v>33.333333333333336</v>
      </c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</row>
    <row r="1120" spans="1:20" ht="15">
      <c r="A1120" s="3">
        <f t="shared" si="50"/>
        <v>2085</v>
      </c>
      <c r="B1120" s="3">
        <f t="shared" si="52"/>
        <v>365</v>
      </c>
      <c r="C1120" s="35">
        <f t="shared" ca="1" si="53"/>
        <v>154.75825</v>
      </c>
      <c r="D1120" s="35">
        <f t="shared" ca="1" si="53"/>
        <v>281.0162499999999</v>
      </c>
      <c r="E1120" s="35">
        <f t="shared" ca="1" si="53"/>
        <v>780.7254999999999</v>
      </c>
      <c r="F1120" s="35">
        <f t="shared" ca="1" si="53"/>
        <v>1216.5</v>
      </c>
      <c r="G1120" s="35">
        <f t="shared" ca="1" si="53"/>
        <v>79.166666666666671</v>
      </c>
      <c r="H1120" s="35">
        <f t="shared" ca="1" si="53"/>
        <v>600</v>
      </c>
      <c r="I1120" s="35">
        <f t="shared" ca="1" si="53"/>
        <v>695</v>
      </c>
      <c r="J1120" s="35">
        <f t="shared" ca="1" si="53"/>
        <v>33.333333333333336</v>
      </c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</row>
    <row r="1121" spans="1:20" ht="15">
      <c r="A1121" s="3">
        <f t="shared" si="50"/>
        <v>2086</v>
      </c>
      <c r="B1121" s="3">
        <f t="shared" si="52"/>
        <v>365</v>
      </c>
      <c r="C1121" s="35">
        <f t="shared" ca="1" si="53"/>
        <v>154.75825</v>
      </c>
      <c r="D1121" s="35">
        <f t="shared" ca="1" si="53"/>
        <v>281.0162499999999</v>
      </c>
      <c r="E1121" s="35">
        <f t="shared" ca="1" si="53"/>
        <v>780.7254999999999</v>
      </c>
      <c r="F1121" s="35">
        <f t="shared" ca="1" si="53"/>
        <v>1216.5</v>
      </c>
      <c r="G1121" s="35">
        <f t="shared" ca="1" si="53"/>
        <v>79.166666666666671</v>
      </c>
      <c r="H1121" s="35">
        <f t="shared" ca="1" si="53"/>
        <v>600</v>
      </c>
      <c r="I1121" s="35">
        <f t="shared" ca="1" si="53"/>
        <v>695</v>
      </c>
      <c r="J1121" s="35">
        <f t="shared" ca="1" si="53"/>
        <v>33.333333333333336</v>
      </c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</row>
    <row r="1122" spans="1:20" ht="15">
      <c r="A1122" s="3">
        <f t="shared" si="50"/>
        <v>2087</v>
      </c>
      <c r="B1122" s="3">
        <f t="shared" si="52"/>
        <v>365</v>
      </c>
      <c r="C1122" s="35">
        <f t="shared" ca="1" si="53"/>
        <v>154.75825</v>
      </c>
      <c r="D1122" s="35">
        <f t="shared" ca="1" si="53"/>
        <v>281.0162499999999</v>
      </c>
      <c r="E1122" s="35">
        <f t="shared" ca="1" si="53"/>
        <v>780.7254999999999</v>
      </c>
      <c r="F1122" s="35">
        <f t="shared" ca="1" si="53"/>
        <v>1216.5</v>
      </c>
      <c r="G1122" s="35">
        <f t="shared" ca="1" si="53"/>
        <v>79.166666666666671</v>
      </c>
      <c r="H1122" s="35">
        <f t="shared" ca="1" si="53"/>
        <v>600</v>
      </c>
      <c r="I1122" s="35">
        <f t="shared" ca="1" si="53"/>
        <v>695</v>
      </c>
      <c r="J1122" s="35">
        <f t="shared" ca="1" si="53"/>
        <v>33.333333333333336</v>
      </c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</row>
    <row r="1123" spans="1:20" ht="15">
      <c r="A1123" s="3">
        <f t="shared" si="50"/>
        <v>2088</v>
      </c>
      <c r="B1123" s="3">
        <f t="shared" si="52"/>
        <v>366</v>
      </c>
      <c r="C1123" s="35">
        <f t="shared" ca="1" si="53"/>
        <v>154.75825</v>
      </c>
      <c r="D1123" s="35">
        <f t="shared" ca="1" si="53"/>
        <v>281.0162499999999</v>
      </c>
      <c r="E1123" s="35">
        <f t="shared" ca="1" si="53"/>
        <v>780.7254999999999</v>
      </c>
      <c r="F1123" s="35">
        <f t="shared" ca="1" si="53"/>
        <v>1216.5</v>
      </c>
      <c r="G1123" s="35">
        <f t="shared" ca="1" si="53"/>
        <v>79.166666666666671</v>
      </c>
      <c r="H1123" s="35">
        <f t="shared" ca="1" si="53"/>
        <v>600</v>
      </c>
      <c r="I1123" s="35">
        <f t="shared" ca="1" si="53"/>
        <v>695</v>
      </c>
      <c r="J1123" s="35">
        <f t="shared" ca="1" si="53"/>
        <v>33.333333333333336</v>
      </c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</row>
    <row r="1124" spans="1:20" ht="15">
      <c r="A1124" s="3">
        <f t="shared" si="50"/>
        <v>2089</v>
      </c>
      <c r="B1124" s="3">
        <f t="shared" si="52"/>
        <v>365</v>
      </c>
      <c r="C1124" s="35">
        <f t="shared" ca="1" si="53"/>
        <v>154.75825</v>
      </c>
      <c r="D1124" s="35">
        <f t="shared" ca="1" si="53"/>
        <v>281.0162499999999</v>
      </c>
      <c r="E1124" s="35">
        <f t="shared" ca="1" si="53"/>
        <v>780.7254999999999</v>
      </c>
      <c r="F1124" s="35">
        <f t="shared" ca="1" si="53"/>
        <v>1216.5</v>
      </c>
      <c r="G1124" s="35">
        <f t="shared" ca="1" si="53"/>
        <v>79.166666666666671</v>
      </c>
      <c r="H1124" s="35">
        <f t="shared" ca="1" si="53"/>
        <v>600</v>
      </c>
      <c r="I1124" s="35">
        <f t="shared" ca="1" si="53"/>
        <v>695</v>
      </c>
      <c r="J1124" s="35">
        <f t="shared" ca="1" si="53"/>
        <v>33.333333333333336</v>
      </c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</row>
    <row r="1125" spans="1:20" ht="15">
      <c r="A1125" s="3">
        <f t="shared" si="50"/>
        <v>2090</v>
      </c>
      <c r="B1125" s="3">
        <f t="shared" si="52"/>
        <v>365</v>
      </c>
      <c r="C1125" s="35">
        <f t="shared" ca="1" si="53"/>
        <v>154.75825</v>
      </c>
      <c r="D1125" s="35">
        <f t="shared" ca="1" si="53"/>
        <v>281.0162499999999</v>
      </c>
      <c r="E1125" s="35">
        <f t="shared" ca="1" si="53"/>
        <v>780.7254999999999</v>
      </c>
      <c r="F1125" s="35">
        <f t="shared" ca="1" si="53"/>
        <v>1216.5</v>
      </c>
      <c r="G1125" s="35">
        <f t="shared" ca="1" si="53"/>
        <v>79.166666666666671</v>
      </c>
      <c r="H1125" s="35">
        <f t="shared" ca="1" si="53"/>
        <v>600</v>
      </c>
      <c r="I1125" s="35">
        <f t="shared" ca="1" si="53"/>
        <v>695</v>
      </c>
      <c r="J1125" s="35">
        <f t="shared" ca="1" si="53"/>
        <v>33.333333333333336</v>
      </c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</row>
    <row r="1126" spans="1:20" ht="15">
      <c r="A1126" s="3">
        <f t="shared" si="50"/>
        <v>2091</v>
      </c>
      <c r="B1126" s="3">
        <f t="shared" si="52"/>
        <v>365</v>
      </c>
      <c r="C1126" s="35">
        <f t="shared" ca="1" si="53"/>
        <v>154.75825</v>
      </c>
      <c r="D1126" s="35">
        <f t="shared" ca="1" si="53"/>
        <v>281.0162499999999</v>
      </c>
      <c r="E1126" s="35">
        <f t="shared" ca="1" si="53"/>
        <v>780.7254999999999</v>
      </c>
      <c r="F1126" s="35">
        <f t="shared" ca="1" si="53"/>
        <v>1216.5</v>
      </c>
      <c r="G1126" s="35">
        <f t="shared" ca="1" si="53"/>
        <v>79.166666666666671</v>
      </c>
      <c r="H1126" s="35">
        <f t="shared" ca="1" si="53"/>
        <v>600</v>
      </c>
      <c r="I1126" s="35">
        <f t="shared" ca="1" si="53"/>
        <v>695</v>
      </c>
      <c r="J1126" s="35">
        <f t="shared" ca="1" si="53"/>
        <v>33.333333333333336</v>
      </c>
    </row>
    <row r="1127" spans="1:20" ht="15">
      <c r="A1127" s="3">
        <f t="shared" si="50"/>
        <v>2092</v>
      </c>
      <c r="B1127" s="3">
        <f t="shared" si="52"/>
        <v>366</v>
      </c>
      <c r="C1127" s="35">
        <f t="shared" ref="C1127:J1135" ca="1" si="54">AVERAGE(OFFSET(C$581,($A1127-$A$1097)*12,0,12,1))</f>
        <v>154.75825</v>
      </c>
      <c r="D1127" s="35">
        <f t="shared" ca="1" si="54"/>
        <v>281.0162499999999</v>
      </c>
      <c r="E1127" s="35">
        <f t="shared" ca="1" si="54"/>
        <v>780.7254999999999</v>
      </c>
      <c r="F1127" s="35">
        <f t="shared" ca="1" si="54"/>
        <v>1216.5</v>
      </c>
      <c r="G1127" s="35">
        <f t="shared" ca="1" si="54"/>
        <v>79.166666666666671</v>
      </c>
      <c r="H1127" s="35">
        <f t="shared" ca="1" si="54"/>
        <v>600</v>
      </c>
      <c r="I1127" s="35">
        <f t="shared" ca="1" si="54"/>
        <v>695</v>
      </c>
      <c r="J1127" s="35">
        <f t="shared" ca="1" si="54"/>
        <v>33.333333333333336</v>
      </c>
    </row>
    <row r="1128" spans="1:20" ht="15">
      <c r="A1128" s="3">
        <f t="shared" si="50"/>
        <v>2093</v>
      </c>
      <c r="B1128" s="3">
        <f t="shared" si="52"/>
        <v>365</v>
      </c>
      <c r="C1128" s="35">
        <f t="shared" ca="1" si="54"/>
        <v>154.75825</v>
      </c>
      <c r="D1128" s="35">
        <f t="shared" ca="1" si="54"/>
        <v>281.0162499999999</v>
      </c>
      <c r="E1128" s="35">
        <f t="shared" ca="1" si="54"/>
        <v>780.7254999999999</v>
      </c>
      <c r="F1128" s="35">
        <f t="shared" ca="1" si="54"/>
        <v>1216.5</v>
      </c>
      <c r="G1128" s="35">
        <f t="shared" ca="1" si="54"/>
        <v>79.166666666666671</v>
      </c>
      <c r="H1128" s="35">
        <f t="shared" ca="1" si="54"/>
        <v>600</v>
      </c>
      <c r="I1128" s="35">
        <f t="shared" ca="1" si="54"/>
        <v>695</v>
      </c>
      <c r="J1128" s="35">
        <f t="shared" ca="1" si="54"/>
        <v>33.333333333333336</v>
      </c>
    </row>
    <row r="1129" spans="1:20" ht="15">
      <c r="A1129" s="3">
        <f t="shared" si="50"/>
        <v>2094</v>
      </c>
      <c r="B1129" s="3">
        <f t="shared" si="52"/>
        <v>365</v>
      </c>
      <c r="C1129" s="35">
        <f t="shared" ca="1" si="54"/>
        <v>154.75825</v>
      </c>
      <c r="D1129" s="35">
        <f t="shared" ca="1" si="54"/>
        <v>281.0162499999999</v>
      </c>
      <c r="E1129" s="35">
        <f t="shared" ca="1" si="54"/>
        <v>780.7254999999999</v>
      </c>
      <c r="F1129" s="35">
        <f t="shared" ca="1" si="54"/>
        <v>1216.5</v>
      </c>
      <c r="G1129" s="35">
        <f t="shared" ca="1" si="54"/>
        <v>79.166666666666671</v>
      </c>
      <c r="H1129" s="35">
        <f t="shared" ca="1" si="54"/>
        <v>600</v>
      </c>
      <c r="I1129" s="35">
        <f t="shared" ca="1" si="54"/>
        <v>695</v>
      </c>
      <c r="J1129" s="35">
        <f t="shared" ca="1" si="54"/>
        <v>33.333333333333336</v>
      </c>
    </row>
    <row r="1130" spans="1:20" ht="15">
      <c r="A1130" s="3">
        <f t="shared" si="50"/>
        <v>2095</v>
      </c>
      <c r="B1130" s="3">
        <f t="shared" si="52"/>
        <v>365</v>
      </c>
      <c r="C1130" s="35">
        <f t="shared" ca="1" si="54"/>
        <v>154.75825</v>
      </c>
      <c r="D1130" s="35">
        <f t="shared" ca="1" si="54"/>
        <v>281.0162499999999</v>
      </c>
      <c r="E1130" s="35">
        <f t="shared" ca="1" si="54"/>
        <v>780.7254999999999</v>
      </c>
      <c r="F1130" s="35">
        <f t="shared" ca="1" si="54"/>
        <v>1216.5</v>
      </c>
      <c r="G1130" s="35">
        <f t="shared" ca="1" si="54"/>
        <v>79.166666666666671</v>
      </c>
      <c r="H1130" s="35">
        <f t="shared" ca="1" si="54"/>
        <v>600</v>
      </c>
      <c r="I1130" s="35">
        <f t="shared" ca="1" si="54"/>
        <v>695</v>
      </c>
      <c r="J1130" s="35">
        <f t="shared" ca="1" si="54"/>
        <v>33.333333333333336</v>
      </c>
    </row>
    <row r="1131" spans="1:20" ht="15">
      <c r="A1131" s="3">
        <f t="shared" si="50"/>
        <v>2096</v>
      </c>
      <c r="B1131" s="3">
        <f t="shared" si="52"/>
        <v>366</v>
      </c>
      <c r="C1131" s="35">
        <f t="shared" ca="1" si="54"/>
        <v>154.75825</v>
      </c>
      <c r="D1131" s="35">
        <f t="shared" ca="1" si="54"/>
        <v>281.0162499999999</v>
      </c>
      <c r="E1131" s="35">
        <f t="shared" ca="1" si="54"/>
        <v>780.7254999999999</v>
      </c>
      <c r="F1131" s="35">
        <f t="shared" ca="1" si="54"/>
        <v>1216.5</v>
      </c>
      <c r="G1131" s="35">
        <f t="shared" ca="1" si="54"/>
        <v>79.166666666666671</v>
      </c>
      <c r="H1131" s="35">
        <f t="shared" ca="1" si="54"/>
        <v>600</v>
      </c>
      <c r="I1131" s="35">
        <f t="shared" ca="1" si="54"/>
        <v>695</v>
      </c>
      <c r="J1131" s="35">
        <f t="shared" ca="1" si="54"/>
        <v>33.333333333333336</v>
      </c>
    </row>
    <row r="1132" spans="1:20" ht="15">
      <c r="A1132" s="3">
        <f t="shared" si="50"/>
        <v>2097</v>
      </c>
      <c r="B1132" s="3">
        <f t="shared" si="52"/>
        <v>365</v>
      </c>
      <c r="C1132" s="35">
        <f t="shared" ca="1" si="54"/>
        <v>154.75825</v>
      </c>
      <c r="D1132" s="35">
        <f t="shared" ca="1" si="54"/>
        <v>281.0162499999999</v>
      </c>
      <c r="E1132" s="35">
        <f t="shared" ca="1" si="54"/>
        <v>780.7254999999999</v>
      </c>
      <c r="F1132" s="35">
        <f t="shared" ca="1" si="54"/>
        <v>1216.5</v>
      </c>
      <c r="G1132" s="35">
        <f t="shared" ca="1" si="54"/>
        <v>79.166666666666671</v>
      </c>
      <c r="H1132" s="35">
        <f t="shared" ca="1" si="54"/>
        <v>600</v>
      </c>
      <c r="I1132" s="35">
        <f t="shared" ca="1" si="54"/>
        <v>695</v>
      </c>
      <c r="J1132" s="35">
        <f t="shared" ca="1" si="54"/>
        <v>33.333333333333336</v>
      </c>
    </row>
    <row r="1133" spans="1:20" ht="15">
      <c r="A1133" s="3">
        <f t="shared" si="50"/>
        <v>2098</v>
      </c>
      <c r="B1133" s="3">
        <f t="shared" si="52"/>
        <v>365</v>
      </c>
      <c r="C1133" s="35">
        <f t="shared" ca="1" si="54"/>
        <v>154.75825</v>
      </c>
      <c r="D1133" s="35">
        <f t="shared" ca="1" si="54"/>
        <v>281.0162499999999</v>
      </c>
      <c r="E1133" s="35">
        <f t="shared" ca="1" si="54"/>
        <v>780.7254999999999</v>
      </c>
      <c r="F1133" s="35">
        <f t="shared" ca="1" si="54"/>
        <v>1216.5</v>
      </c>
      <c r="G1133" s="35">
        <f t="shared" ca="1" si="54"/>
        <v>79.166666666666671</v>
      </c>
      <c r="H1133" s="35">
        <f t="shared" ca="1" si="54"/>
        <v>600</v>
      </c>
      <c r="I1133" s="35">
        <f t="shared" ca="1" si="54"/>
        <v>695</v>
      </c>
      <c r="J1133" s="35">
        <f t="shared" ca="1" si="54"/>
        <v>33.333333333333336</v>
      </c>
    </row>
    <row r="1134" spans="1:20" ht="15">
      <c r="A1134" s="3">
        <f t="shared" si="50"/>
        <v>2099</v>
      </c>
      <c r="B1134" s="3">
        <f t="shared" si="52"/>
        <v>365</v>
      </c>
      <c r="C1134" s="35">
        <f t="shared" ca="1" si="54"/>
        <v>154.75825</v>
      </c>
      <c r="D1134" s="35">
        <f t="shared" ca="1" si="54"/>
        <v>281.0162499999999</v>
      </c>
      <c r="E1134" s="35">
        <f t="shared" ca="1" si="54"/>
        <v>780.7254999999999</v>
      </c>
      <c r="F1134" s="35">
        <f t="shared" ca="1" si="54"/>
        <v>1216.5</v>
      </c>
      <c r="G1134" s="35">
        <f t="shared" ca="1" si="54"/>
        <v>79.166666666666671</v>
      </c>
      <c r="H1134" s="35">
        <f t="shared" ca="1" si="54"/>
        <v>600</v>
      </c>
      <c r="I1134" s="35">
        <f t="shared" ca="1" si="54"/>
        <v>695</v>
      </c>
      <c r="J1134" s="35">
        <f t="shared" ca="1" si="54"/>
        <v>33.333333333333336</v>
      </c>
    </row>
    <row r="1135" spans="1:20" ht="15">
      <c r="A1135" s="3">
        <f t="shared" si="50"/>
        <v>2100</v>
      </c>
      <c r="B1135" s="3">
        <f t="shared" si="52"/>
        <v>365</v>
      </c>
      <c r="C1135" s="35">
        <f t="shared" ca="1" si="54"/>
        <v>154.75825</v>
      </c>
      <c r="D1135" s="35">
        <f t="shared" ca="1" si="54"/>
        <v>281.0162499999999</v>
      </c>
      <c r="E1135" s="35">
        <f t="shared" ca="1" si="54"/>
        <v>780.7254999999999</v>
      </c>
      <c r="F1135" s="35">
        <f t="shared" ca="1" si="54"/>
        <v>1216.5</v>
      </c>
      <c r="G1135" s="35">
        <f t="shared" ca="1" si="54"/>
        <v>79.166666666666671</v>
      </c>
      <c r="H1135" s="35">
        <f t="shared" ca="1" si="54"/>
        <v>600</v>
      </c>
      <c r="I1135" s="35">
        <f t="shared" ca="1" si="54"/>
        <v>695</v>
      </c>
      <c r="J1135" s="35">
        <f t="shared" ca="1" si="54"/>
        <v>33.333333333333336</v>
      </c>
    </row>
    <row r="1136" spans="1:20">
      <c r="A1136" s="32"/>
      <c r="B1136" s="32"/>
      <c r="C1136" s="34"/>
      <c r="D1136" s="34"/>
      <c r="E1136" s="34"/>
      <c r="F1136" s="34"/>
      <c r="G1136" s="34"/>
    </row>
    <row r="1137" spans="1:2">
      <c r="A1137" s="32"/>
      <c r="B1137" s="32"/>
    </row>
    <row r="1138" spans="1:2">
      <c r="A1138" s="32"/>
      <c r="B1138" s="32"/>
    </row>
    <row r="1139" spans="1:2">
      <c r="A1139" s="32"/>
      <c r="B1139" s="32"/>
    </row>
    <row r="1140" spans="1:2">
      <c r="A1140" s="32"/>
      <c r="B1140" s="32"/>
    </row>
    <row r="1141" spans="1:2">
      <c r="A1141" s="32"/>
      <c r="B1141" s="32"/>
    </row>
    <row r="1142" spans="1:2">
      <c r="A1142" s="32"/>
      <c r="B1142" s="32"/>
    </row>
    <row r="1143" spans="1:2">
      <c r="A1143" s="32"/>
      <c r="B1143" s="32"/>
    </row>
    <row r="1144" spans="1:2">
      <c r="A1144" s="32"/>
      <c r="B1144" s="32"/>
    </row>
    <row r="1145" spans="1:2">
      <c r="A1145" s="32"/>
      <c r="B1145" s="32"/>
    </row>
    <row r="1146" spans="1:2">
      <c r="A1146" s="32"/>
      <c r="B1146" s="32"/>
    </row>
    <row r="1147" spans="1:2">
      <c r="A1147" s="32"/>
      <c r="B1147" s="32"/>
    </row>
    <row r="1148" spans="1:2">
      <c r="A1148" s="32"/>
      <c r="B1148" s="32"/>
    </row>
    <row r="1149" spans="1:2">
      <c r="A1149" s="32"/>
      <c r="B1149" s="32"/>
    </row>
    <row r="1150" spans="1:2">
      <c r="A1150" s="32"/>
      <c r="B1150" s="32"/>
    </row>
    <row r="1151" spans="1:2">
      <c r="A1151" s="32"/>
      <c r="B1151" s="32"/>
    </row>
    <row r="1152" spans="1:2">
      <c r="A1152" s="32"/>
      <c r="B1152" s="32"/>
    </row>
    <row r="1153" spans="1:2">
      <c r="A1153" s="32"/>
      <c r="B1153" s="32"/>
    </row>
    <row r="1154" spans="1:2">
      <c r="A1154" s="32"/>
      <c r="B1154" s="32"/>
    </row>
    <row r="1155" spans="1:2">
      <c r="A1155" s="32"/>
      <c r="B1155" s="32"/>
    </row>
  </sheetData>
  <mergeCells count="1">
    <mergeCell ref="C14:E14"/>
  </mergeCells>
  <pageMargins left="0.25" right="0.25" top="0.5" bottom="0.5" header="0.25" footer="0.25"/>
  <pageSetup scale="75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G1155"/>
  <sheetViews>
    <sheetView zoomScale="70" zoomScaleNormal="70" workbookViewId="0">
      <pane xSplit="1" ySplit="16" topLeftCell="B17" activePane="bottomRight" state="frozen"/>
      <selection activeCell="B17" sqref="B17"/>
      <selection pane="topRight" activeCell="B17" sqref="B17"/>
      <selection pane="bottomLeft" activeCell="B17" sqref="B17"/>
      <selection pane="bottomRight" activeCell="B17" sqref="B17"/>
    </sheetView>
  </sheetViews>
  <sheetFormatPr defaultColWidth="7.109375" defaultRowHeight="12.75"/>
  <cols>
    <col min="1" max="1" width="7.5546875" style="33" bestFit="1" customWidth="1"/>
    <col min="2" max="2" width="10" style="33" customWidth="1"/>
    <col min="3" max="3" width="12" style="33" customWidth="1"/>
    <col min="4" max="4" width="12.109375" style="33" bestFit="1" customWidth="1"/>
    <col min="5" max="5" width="10.109375" style="33" bestFit="1" customWidth="1"/>
    <col min="6" max="16384" width="7.109375" style="32"/>
  </cols>
  <sheetData>
    <row r="1" spans="1:7" ht="15.75">
      <c r="A1" s="84" t="s">
        <v>64</v>
      </c>
    </row>
    <row r="2" spans="1:7" ht="15.75">
      <c r="A2" s="84" t="s">
        <v>65</v>
      </c>
    </row>
    <row r="3" spans="1:7" ht="15.75">
      <c r="A3" s="84" t="s">
        <v>66</v>
      </c>
    </row>
    <row r="4" spans="1:7" ht="15.75">
      <c r="A4" s="84" t="s">
        <v>67</v>
      </c>
    </row>
    <row r="5" spans="1:7" ht="15.75">
      <c r="A5" s="84" t="s">
        <v>69</v>
      </c>
    </row>
    <row r="6" spans="1:7" ht="15.75">
      <c r="A6" s="84" t="s">
        <v>72</v>
      </c>
    </row>
    <row r="8" spans="1:7" ht="20.25">
      <c r="A8" s="31" t="s">
        <v>43</v>
      </c>
    </row>
    <row r="9" spans="1:7" ht="15" customHeight="1">
      <c r="A9" s="57" t="s">
        <v>25</v>
      </c>
    </row>
    <row r="10" spans="1:7" ht="15" customHeight="1">
      <c r="A10" s="62"/>
      <c r="F10" s="60"/>
      <c r="G10" s="60"/>
    </row>
    <row r="11" spans="1:7" ht="15" customHeight="1">
      <c r="A11" s="62"/>
      <c r="B11" s="61"/>
      <c r="C11" s="61"/>
      <c r="D11" s="61"/>
      <c r="E11" s="61"/>
      <c r="F11" s="60"/>
      <c r="G11" s="60"/>
    </row>
    <row r="12" spans="1:7" ht="15" customHeight="1"/>
    <row r="13" spans="1:7" ht="15" customHeight="1">
      <c r="B13" s="59" t="s">
        <v>24</v>
      </c>
      <c r="C13" s="58">
        <f>1-0.261</f>
        <v>0.73899999999999999</v>
      </c>
      <c r="D13" s="59" t="s">
        <v>23</v>
      </c>
      <c r="E13" s="58">
        <f>1+0.261</f>
        <v>1.2610000000000001</v>
      </c>
    </row>
    <row r="14" spans="1:7" ht="15" customHeight="1">
      <c r="A14" s="57"/>
      <c r="B14" s="87" t="s">
        <v>42</v>
      </c>
      <c r="C14" s="87"/>
      <c r="D14" s="56" t="s">
        <v>41</v>
      </c>
      <c r="E14" s="51"/>
    </row>
    <row r="15" spans="1:7" s="54" customFormat="1" ht="63">
      <c r="B15" s="55" t="s">
        <v>40</v>
      </c>
      <c r="C15" s="55" t="s">
        <v>39</v>
      </c>
      <c r="D15" s="55" t="s">
        <v>38</v>
      </c>
      <c r="E15" s="23" t="s">
        <v>37</v>
      </c>
    </row>
    <row r="16" spans="1:7" s="54" customFormat="1" ht="21" customHeight="1">
      <c r="A16" s="20" t="s">
        <v>2</v>
      </c>
      <c r="B16" s="46" t="s">
        <v>1</v>
      </c>
      <c r="C16" s="46" t="s">
        <v>1</v>
      </c>
      <c r="D16" s="46" t="s">
        <v>1</v>
      </c>
      <c r="E16" s="20" t="s">
        <v>36</v>
      </c>
    </row>
    <row r="17" spans="1:5" ht="15">
      <c r="A17" s="13">
        <v>42005</v>
      </c>
      <c r="B17" s="4">
        <f>9.1422 * CHOOSE(CONTROL!$C$9, $C$13, 100%, $E$13) + CHOOSE(CONTROL!$C$28, 0.0003, 0)</f>
        <v>9.1425000000000001</v>
      </c>
      <c r="C17" s="4">
        <f>8.8297 * CHOOSE(CONTROL!$C$9, $C$13, 100%, $E$13) + CHOOSE(CONTROL!$C$28, 0.0003, 0)</f>
        <v>8.83</v>
      </c>
      <c r="D17" s="4">
        <f>14.1259 * CHOOSE(CONTROL!$C$9, $C$13, 100%, $E$13) + CHOOSE(CONTROL!$C$28, 0, 0)</f>
        <v>14.1259</v>
      </c>
      <c r="E17" s="4">
        <f>56.52 * CHOOSE(CONTROL!$C$9, $C$13, 100%, $E$13) + CHOOSE(CONTROL!$C$28, 0, 0)</f>
        <v>56.52</v>
      </c>
    </row>
    <row r="18" spans="1:5" ht="15">
      <c r="A18" s="13">
        <v>42036</v>
      </c>
      <c r="B18" s="4">
        <f>10.6266 * CHOOSE(CONTROL!$C$9, $C$13, 100%, $E$13) + CHOOSE(CONTROL!$C$28, 0.0003, 0)</f>
        <v>10.626899999999999</v>
      </c>
      <c r="C18" s="4">
        <f>10.3141 * CHOOSE(CONTROL!$C$9, $C$13, 100%, $E$13) + CHOOSE(CONTROL!$C$28, 0.0003, 0)</f>
        <v>10.314399999999999</v>
      </c>
      <c r="D18" s="4">
        <f>12.9711 * CHOOSE(CONTROL!$C$9, $C$13, 100%, $E$13) + CHOOSE(CONTROL!$C$28, 0, 0)</f>
        <v>12.9711</v>
      </c>
      <c r="E18" s="4">
        <f>46.39 * CHOOSE(CONTROL!$C$9, $C$13, 100%, $E$13) + CHOOSE(CONTROL!$C$28, 0, 0)</f>
        <v>46.39</v>
      </c>
    </row>
    <row r="19" spans="1:5" ht="15">
      <c r="A19" s="13">
        <v>42064</v>
      </c>
      <c r="B19" s="4">
        <f>9.5922 * CHOOSE(CONTROL!$C$9, $C$13, 100%, $E$13) + CHOOSE(CONTROL!$C$28, 0.0003, 0)</f>
        <v>9.5924999999999994</v>
      </c>
      <c r="C19" s="4">
        <f>9.2797 * CHOOSE(CONTROL!$C$9, $C$13, 100%, $E$13) + CHOOSE(CONTROL!$C$28, 0.0003, 0)</f>
        <v>9.2799999999999994</v>
      </c>
      <c r="D19" s="4">
        <f>17.3843 * CHOOSE(CONTROL!$C$9, $C$13, 100%, $E$13) + CHOOSE(CONTROL!$C$28, 0, 0)</f>
        <v>17.3843</v>
      </c>
      <c r="E19" s="4">
        <f>50.34 * CHOOSE(CONTROL!$C$9, $C$13, 100%, $E$13) + CHOOSE(CONTROL!$C$28, 0, 0)</f>
        <v>50.34</v>
      </c>
    </row>
    <row r="20" spans="1:5" ht="15">
      <c r="A20" s="13">
        <v>42095</v>
      </c>
      <c r="B20" s="4">
        <f>9.7828 * CHOOSE(CONTROL!$C$9, $C$13, 100%, $E$13) + CHOOSE(CONTROL!$C$28, 0.0003, 0)</f>
        <v>9.7830999999999992</v>
      </c>
      <c r="C20" s="4">
        <f>9.4703 * CHOOSE(CONTROL!$C$9, $C$13, 100%, $E$13) + CHOOSE(CONTROL!$C$28, 0.0003, 0)</f>
        <v>9.4705999999999992</v>
      </c>
      <c r="D20" s="4">
        <f>13.1988 * CHOOSE(CONTROL!$C$9, $C$13, 100%, $E$13) + CHOOSE(CONTROL!$C$28, 0, 0)</f>
        <v>13.1988</v>
      </c>
      <c r="E20" s="4">
        <f>45.72 * CHOOSE(CONTROL!$C$9, $C$13, 100%, $E$13) + CHOOSE(CONTROL!$C$28, 0, 0)</f>
        <v>45.72</v>
      </c>
    </row>
    <row r="21" spans="1:5" ht="15">
      <c r="A21" s="13">
        <v>42125</v>
      </c>
      <c r="B21" s="4">
        <f>10.2906 * CHOOSE(CONTROL!$C$9, $C$13, 100%, $E$13) + CHOOSE(CONTROL!$C$28, 0.0202, 0)</f>
        <v>10.3108</v>
      </c>
      <c r="C21" s="4">
        <f>9.9781 * CHOOSE(CONTROL!$C$9, $C$13, 100%, $E$13) + CHOOSE(CONTROL!$C$28, 0.0202, 0)</f>
        <v>9.9983000000000004</v>
      </c>
      <c r="D21" s="4">
        <f>15.0603 * CHOOSE(CONTROL!$C$9, $C$13, 100%, $E$13) + CHOOSE(CONTROL!$C$28, 0, 0)</f>
        <v>15.0603</v>
      </c>
      <c r="E21" s="4">
        <f>55.26 * CHOOSE(CONTROL!$C$9, $C$13, 100%, $E$13) + CHOOSE(CONTROL!$C$28, 0, 0)</f>
        <v>55.26</v>
      </c>
    </row>
    <row r="22" spans="1:5" ht="15">
      <c r="A22" s="13">
        <v>42156</v>
      </c>
      <c r="B22" s="4">
        <f>10.0641 * CHOOSE(CONTROL!$C$9, $C$13, 100%, $E$13) + CHOOSE(CONTROL!$C$28, 0.0202, 0)</f>
        <v>10.084300000000001</v>
      </c>
      <c r="C22" s="4">
        <f>9.7516 * CHOOSE(CONTROL!$C$9, $C$13, 100%, $E$13) + CHOOSE(CONTROL!$C$28, 0.0202, 0)</f>
        <v>9.7718000000000007</v>
      </c>
      <c r="D22" s="4">
        <f>14.909 * CHOOSE(CONTROL!$C$9, $C$13, 100%, $E$13) + CHOOSE(CONTROL!$C$28, 0, 0)</f>
        <v>14.909000000000001</v>
      </c>
      <c r="E22" s="4">
        <f>57.26 * CHOOSE(CONTROL!$C$9, $C$13, 100%, $E$13) + CHOOSE(CONTROL!$C$28, 0, 0)</f>
        <v>57.26</v>
      </c>
    </row>
    <row r="23" spans="1:5" ht="15">
      <c r="A23" s="13">
        <v>42186</v>
      </c>
      <c r="B23" s="4">
        <f>8.9219 * CHOOSE(CONTROL!$C$9, $C$13, 100%, $E$13) + CHOOSE(CONTROL!$C$28, 0.0202, 0)</f>
        <v>8.9421000000000017</v>
      </c>
      <c r="C23" s="4">
        <f>8.6094 * CHOOSE(CONTROL!$C$9, $C$13, 100%, $E$13) + CHOOSE(CONTROL!$C$28, 0.0202, 0)</f>
        <v>8.6296000000000017</v>
      </c>
      <c r="D23" s="4">
        <f>14.4141 * CHOOSE(CONTROL!$C$9, $C$13, 100%, $E$13) + CHOOSE(CONTROL!$C$28, 0, 0)</f>
        <v>14.414099999999999</v>
      </c>
      <c r="E23" s="4">
        <f>59.68 * CHOOSE(CONTROL!$C$9, $C$13, 100%, $E$13) + CHOOSE(CONTROL!$C$28, 0, 0)</f>
        <v>59.68</v>
      </c>
    </row>
    <row r="24" spans="1:5" ht="15">
      <c r="A24" s="13">
        <v>42217</v>
      </c>
      <c r="B24" s="4">
        <f>7.7438 * CHOOSE(CONTROL!$C$9, $C$13, 100%, $E$13) + CHOOSE(CONTROL!$C$28, 0.0202, 0)</f>
        <v>7.7640000000000002</v>
      </c>
      <c r="C24" s="4">
        <f>7.4313 * CHOOSE(CONTROL!$C$9, $C$13, 100%, $E$13) + CHOOSE(CONTROL!$C$28, 0.0202, 0)</f>
        <v>7.4515000000000002</v>
      </c>
      <c r="D24" s="4">
        <f>12.2341 * CHOOSE(CONTROL!$C$9, $C$13, 100%, $E$13) + CHOOSE(CONTROL!$C$28, 0, 0)</f>
        <v>12.2341</v>
      </c>
      <c r="E24" s="4">
        <f>50.36 * CHOOSE(CONTROL!$C$9, $C$13, 100%, $E$13) + CHOOSE(CONTROL!$C$28, 0, 0)</f>
        <v>50.36</v>
      </c>
    </row>
    <row r="25" spans="1:5" ht="15">
      <c r="A25" s="13">
        <v>42248</v>
      </c>
      <c r="B25" s="4">
        <f>7.5641 * CHOOSE(CONTROL!$C$9, $C$13, 100%, $E$13) + CHOOSE(CONTROL!$C$28, 0.0202, 0)</f>
        <v>7.5842999999999998</v>
      </c>
      <c r="C25" s="4">
        <f>7.2516 * CHOOSE(CONTROL!$C$9, $C$13, 100%, $E$13) + CHOOSE(CONTROL!$C$28, 0.0202, 0)</f>
        <v>7.2717999999999998</v>
      </c>
      <c r="D25" s="4">
        <f>12.8796 * CHOOSE(CONTROL!$C$9, $C$13, 100%, $E$13) + CHOOSE(CONTROL!$C$28, 0, 0)</f>
        <v>12.8796</v>
      </c>
      <c r="E25" s="4">
        <f>41.14 * CHOOSE(CONTROL!$C$9, $C$13, 100%, $E$13) + CHOOSE(CONTROL!$C$28, 0, 0)</f>
        <v>41.14</v>
      </c>
    </row>
    <row r="26" spans="1:5" ht="15">
      <c r="A26" s="13">
        <v>42278</v>
      </c>
      <c r="B26" s="4">
        <f>7.9016 * CHOOSE(CONTROL!$C$9, $C$13, 100%, $E$13) + CHOOSE(CONTROL!$C$28, 0.0003, 0)</f>
        <v>7.9019000000000004</v>
      </c>
      <c r="C26" s="4">
        <f>7.5891 * CHOOSE(CONTROL!$C$9, $C$13, 100%, $E$13) + CHOOSE(CONTROL!$C$28, 0.0003, 0)</f>
        <v>7.5894000000000004</v>
      </c>
      <c r="D26" s="4">
        <f>11.7197 * CHOOSE(CONTROL!$C$9, $C$13, 100%, $E$13) + CHOOSE(CONTROL!$C$28, 0, 0)</f>
        <v>11.7197</v>
      </c>
      <c r="E26" s="4">
        <f>45.83 * CHOOSE(CONTROL!$C$9, $C$13, 100%, $E$13) + CHOOSE(CONTROL!$C$28, 0, 0)</f>
        <v>45.83</v>
      </c>
    </row>
    <row r="27" spans="1:5" ht="15">
      <c r="A27" s="13">
        <v>42309</v>
      </c>
      <c r="B27" s="4">
        <f>8.0406 * CHOOSE(CONTROL!$C$9, $C$13, 100%, $E$13) + CHOOSE(CONTROL!$C$28, 0.0003, 0)</f>
        <v>8.0408999999999988</v>
      </c>
      <c r="C27" s="4">
        <f>7.7281 * CHOOSE(CONTROL!$C$9, $C$13, 100%, $E$13) + CHOOSE(CONTROL!$C$28, 0.0003, 0)</f>
        <v>7.7284000000000006</v>
      </c>
      <c r="D27" s="4">
        <f>11.6247 * CHOOSE(CONTROL!$C$9, $C$13, 100%, $E$13) + CHOOSE(CONTROL!$C$28, 0, 0)</f>
        <v>11.624700000000001</v>
      </c>
      <c r="E27" s="4">
        <f>45.55 * CHOOSE(CONTROL!$C$9, $C$13, 100%, $E$13) + CHOOSE(CONTROL!$C$28, 0, 0)</f>
        <v>45.55</v>
      </c>
    </row>
    <row r="28" spans="1:5" ht="15">
      <c r="A28" s="13">
        <v>42339</v>
      </c>
      <c r="B28" s="4">
        <f>8.3125 * CHOOSE(CONTROL!$C$9, $C$13, 100%, $E$13) + CHOOSE(CONTROL!$C$28, 0.0003, 0)</f>
        <v>8.3127999999999993</v>
      </c>
      <c r="C28" s="4">
        <f>8 * CHOOSE(CONTROL!$C$9, $C$13, 100%, $E$13) + CHOOSE(CONTROL!$C$28, 0.0003, 0)</f>
        <v>8.0002999999999993</v>
      </c>
      <c r="D28" s="4">
        <f>11.6787 * CHOOSE(CONTROL!$C$9, $C$13, 100%, $E$13) + CHOOSE(CONTROL!$C$28, 0, 0)</f>
        <v>11.678699999999999</v>
      </c>
      <c r="E28" s="4">
        <f>46.14 * CHOOSE(CONTROL!$C$9, $C$13, 100%, $E$13) + CHOOSE(CONTROL!$C$28, 0, 0)</f>
        <v>46.14</v>
      </c>
    </row>
    <row r="29" spans="1:5" ht="15">
      <c r="A29" s="13">
        <v>42370</v>
      </c>
      <c r="B29" s="4">
        <f>8.375 * CHOOSE(CONTROL!$C$9, $C$13, 100%, $E$13) + CHOOSE(CONTROL!$C$28, 0.0003, 0)</f>
        <v>8.3752999999999993</v>
      </c>
      <c r="C29" s="4">
        <f>8.0625 * CHOOSE(CONTROL!$C$9, $C$13, 100%, $E$13) + CHOOSE(CONTROL!$C$28, 0.0003, 0)</f>
        <v>8.0627999999999993</v>
      </c>
      <c r="D29" s="4">
        <f>11.8703 * CHOOSE(CONTROL!$C$9, $C$13, 100%, $E$13) + CHOOSE(CONTROL!$C$28, 0, 0)</f>
        <v>11.8703</v>
      </c>
      <c r="E29" s="4">
        <f>47.04 * CHOOSE(CONTROL!$C$9, $C$13, 100%, $E$13) + CHOOSE(CONTROL!$C$28, 0, 0)</f>
        <v>47.04</v>
      </c>
    </row>
    <row r="30" spans="1:5" ht="15">
      <c r="A30" s="13">
        <v>42401</v>
      </c>
      <c r="B30" s="4">
        <f>8.4375 * CHOOSE(CONTROL!$C$9, $C$13, 100%, $E$13) + CHOOSE(CONTROL!$C$28, 0.0003, 0)</f>
        <v>8.4377999999999993</v>
      </c>
      <c r="C30" s="4">
        <f>8.125 * CHOOSE(CONTROL!$C$9, $C$13, 100%, $E$13) + CHOOSE(CONTROL!$C$28, 0.0003, 0)</f>
        <v>8.1252999999999993</v>
      </c>
      <c r="D30" s="4">
        <f>12.005 * CHOOSE(CONTROL!$C$9, $C$13, 100%, $E$13) + CHOOSE(CONTROL!$C$28, 0, 0)</f>
        <v>12.005000000000001</v>
      </c>
      <c r="E30" s="4">
        <f>47.87 * CHOOSE(CONTROL!$C$9, $C$13, 100%, $E$13) + CHOOSE(CONTROL!$C$28, 0, 0)</f>
        <v>47.87</v>
      </c>
    </row>
    <row r="31" spans="1:5" ht="15">
      <c r="A31" s="13">
        <v>42430</v>
      </c>
      <c r="B31" s="4">
        <f>8.5078 * CHOOSE(CONTROL!$C$9, $C$13, 100%, $E$13) + CHOOSE(CONTROL!$C$28, 0.0003, 0)</f>
        <v>8.5080999999999989</v>
      </c>
      <c r="C31" s="4">
        <f>8.1953 * CHOOSE(CONTROL!$C$9, $C$13, 100%, $E$13) + CHOOSE(CONTROL!$C$28, 0.0003, 0)</f>
        <v>8.1955999999999989</v>
      </c>
      <c r="D31" s="4">
        <f>12.0699 * CHOOSE(CONTROL!$C$9, $C$13, 100%, $E$13) + CHOOSE(CONTROL!$C$28, 0, 0)</f>
        <v>12.069900000000001</v>
      </c>
      <c r="E31" s="4">
        <f>48.58 * CHOOSE(CONTROL!$C$9, $C$13, 100%, $E$13) + CHOOSE(CONTROL!$C$28, 0, 0)</f>
        <v>48.58</v>
      </c>
    </row>
    <row r="32" spans="1:5" ht="15">
      <c r="A32" s="13">
        <v>42461</v>
      </c>
      <c r="B32" s="4">
        <f>8.5938 * CHOOSE(CONTROL!$C$9, $C$13, 100%, $E$13) + CHOOSE(CONTROL!$C$28, 0.0003, 0)</f>
        <v>8.5940999999999992</v>
      </c>
      <c r="C32" s="4">
        <f>8.2812 * CHOOSE(CONTROL!$C$9, $C$13, 100%, $E$13) + CHOOSE(CONTROL!$C$28, 0.0003, 0)</f>
        <v>8.2814999999999994</v>
      </c>
      <c r="D32" s="4">
        <f>12.0771 * CHOOSE(CONTROL!$C$9, $C$13, 100%, $E$13) + CHOOSE(CONTROL!$C$28, 0, 0)</f>
        <v>12.0771</v>
      </c>
      <c r="E32" s="4">
        <f>49.18 * CHOOSE(CONTROL!$C$9, $C$13, 100%, $E$13) + CHOOSE(CONTROL!$C$28, 0, 0)</f>
        <v>49.18</v>
      </c>
    </row>
    <row r="33" spans="1:5" ht="15">
      <c r="A33" s="13">
        <v>42491</v>
      </c>
      <c r="B33" s="4">
        <f>8.6797 * CHOOSE(CONTROL!$C$9, $C$13, 100%, $E$13) + CHOOSE(CONTROL!$C$28, 0.0202, 0)</f>
        <v>8.6999000000000013</v>
      </c>
      <c r="C33" s="4">
        <f>8.3672 * CHOOSE(CONTROL!$C$9, $C$13, 100%, $E$13) + CHOOSE(CONTROL!$C$28, 0.0202, 0)</f>
        <v>8.3874000000000013</v>
      </c>
      <c r="D33" s="4">
        <f>12.147 * CHOOSE(CONTROL!$C$9, $C$13, 100%, $E$13) + CHOOSE(CONTROL!$C$28, 0, 0)</f>
        <v>12.147</v>
      </c>
      <c r="E33" s="4">
        <f>49.65 * CHOOSE(CONTROL!$C$9, $C$13, 100%, $E$13) + CHOOSE(CONTROL!$C$28, 0, 0)</f>
        <v>49.65</v>
      </c>
    </row>
    <row r="34" spans="1:5" ht="15">
      <c r="A34" s="13">
        <v>42522</v>
      </c>
      <c r="B34" s="4">
        <f>8.7656 * CHOOSE(CONTROL!$C$9, $C$13, 100%, $E$13) + CHOOSE(CONTROL!$C$28, 0.0202, 0)</f>
        <v>8.7858000000000001</v>
      </c>
      <c r="C34" s="4">
        <f>8.4531 * CHOOSE(CONTROL!$C$9, $C$13, 100%, $E$13) + CHOOSE(CONTROL!$C$28, 0.0202, 0)</f>
        <v>8.4733000000000001</v>
      </c>
      <c r="D34" s="4">
        <f>12.2406 * CHOOSE(CONTROL!$C$9, $C$13, 100%, $E$13) + CHOOSE(CONTROL!$C$28, 0, 0)</f>
        <v>12.240600000000001</v>
      </c>
      <c r="E34" s="4">
        <f>50.02 * CHOOSE(CONTROL!$C$9, $C$13, 100%, $E$13) + CHOOSE(CONTROL!$C$28, 0, 0)</f>
        <v>50.02</v>
      </c>
    </row>
    <row r="35" spans="1:5" ht="15">
      <c r="A35" s="13">
        <v>42552</v>
      </c>
      <c r="B35" s="4">
        <f>8.8438 * CHOOSE(CONTROL!$C$9, $C$13, 100%, $E$13) + CHOOSE(CONTROL!$C$28, 0.0202, 0)</f>
        <v>8.8640000000000008</v>
      </c>
      <c r="C35" s="4">
        <f>8.5312 * CHOOSE(CONTROL!$C$9, $C$13, 100%, $E$13) + CHOOSE(CONTROL!$C$28, 0.0202, 0)</f>
        <v>8.551400000000001</v>
      </c>
      <c r="D35" s="4">
        <f>12.3588 * CHOOSE(CONTROL!$C$9, $C$13, 100%, $E$13) + CHOOSE(CONTROL!$C$28, 0, 0)</f>
        <v>12.3588</v>
      </c>
      <c r="E35" s="4">
        <f>50.32 * CHOOSE(CONTROL!$C$9, $C$13, 100%, $E$13) + CHOOSE(CONTROL!$C$28, 0, 0)</f>
        <v>50.32</v>
      </c>
    </row>
    <row r="36" spans="1:5" ht="15">
      <c r="A36" s="13">
        <v>42583</v>
      </c>
      <c r="B36" s="4">
        <f>8.9219 * CHOOSE(CONTROL!$C$9, $C$13, 100%, $E$13) + CHOOSE(CONTROL!$C$28, 0.0202, 0)</f>
        <v>8.9421000000000017</v>
      </c>
      <c r="C36" s="4">
        <f>8.6094 * CHOOSE(CONTROL!$C$9, $C$13, 100%, $E$13) + CHOOSE(CONTROL!$C$28, 0.0202, 0)</f>
        <v>8.6296000000000017</v>
      </c>
      <c r="D36" s="4">
        <f>12.4783 * CHOOSE(CONTROL!$C$9, $C$13, 100%, $E$13) + CHOOSE(CONTROL!$C$28, 0, 0)</f>
        <v>12.478300000000001</v>
      </c>
      <c r="E36" s="4">
        <f>50.6 * CHOOSE(CONTROL!$C$9, $C$13, 100%, $E$13) + CHOOSE(CONTROL!$C$28, 0, 0)</f>
        <v>50.6</v>
      </c>
    </row>
    <row r="37" spans="1:5" ht="15">
      <c r="A37" s="13">
        <v>42614</v>
      </c>
      <c r="B37" s="4">
        <f>9 * CHOOSE(CONTROL!$C$9, $C$13, 100%, $E$13) + CHOOSE(CONTROL!$C$28, 0.0202, 0)</f>
        <v>9.0202000000000009</v>
      </c>
      <c r="C37" s="4">
        <f>8.6875 * CHOOSE(CONTROL!$C$9, $C$13, 100%, $E$13) + CHOOSE(CONTROL!$C$28, 0.0202, 0)</f>
        <v>8.7077000000000009</v>
      </c>
      <c r="D37" s="4">
        <f>12.6087 * CHOOSE(CONTROL!$C$9, $C$13, 100%, $E$13) + CHOOSE(CONTROL!$C$28, 0, 0)</f>
        <v>12.608700000000001</v>
      </c>
      <c r="E37" s="4">
        <f>50.89 * CHOOSE(CONTROL!$C$9, $C$13, 100%, $E$13) + CHOOSE(CONTROL!$C$28, 0, 0)</f>
        <v>50.89</v>
      </c>
    </row>
    <row r="38" spans="1:5" ht="15">
      <c r="A38" s="13">
        <v>42644</v>
      </c>
      <c r="B38" s="4">
        <f>9.0625 * CHOOSE(CONTROL!$C$9, $C$13, 100%, $E$13) + CHOOSE(CONTROL!$C$28, 0.0003, 0)</f>
        <v>9.0627999999999993</v>
      </c>
      <c r="C38" s="4">
        <f>8.75 * CHOOSE(CONTROL!$C$9, $C$13, 100%, $E$13) + CHOOSE(CONTROL!$C$28, 0.0003, 0)</f>
        <v>8.7502999999999993</v>
      </c>
      <c r="D38" s="4">
        <f>12.7521 * CHOOSE(CONTROL!$C$9, $C$13, 100%, $E$13) + CHOOSE(CONTROL!$C$28, 0, 0)</f>
        <v>12.7521</v>
      </c>
      <c r="E38" s="4">
        <f>51.19 * CHOOSE(CONTROL!$C$9, $C$13, 100%, $E$13) + CHOOSE(CONTROL!$C$28, 0, 0)</f>
        <v>51.19</v>
      </c>
    </row>
    <row r="39" spans="1:5" ht="15">
      <c r="A39" s="13">
        <v>42675</v>
      </c>
      <c r="B39" s="4">
        <f>9.125 * CHOOSE(CONTROL!$C$9, $C$13, 100%, $E$13) + CHOOSE(CONTROL!$C$28, 0.0003, 0)</f>
        <v>9.1252999999999993</v>
      </c>
      <c r="C39" s="4">
        <f>8.8125 * CHOOSE(CONTROL!$C$9, $C$13, 100%, $E$13) + CHOOSE(CONTROL!$C$28, 0.0003, 0)</f>
        <v>8.8127999999999993</v>
      </c>
      <c r="D39" s="4">
        <f>12.889 * CHOOSE(CONTROL!$C$9, $C$13, 100%, $E$13) + CHOOSE(CONTROL!$C$28, 0, 0)</f>
        <v>12.888999999999999</v>
      </c>
      <c r="E39" s="4">
        <f>51.53 * CHOOSE(CONTROL!$C$9, $C$13, 100%, $E$13) + CHOOSE(CONTROL!$C$28, 0, 0)</f>
        <v>51.53</v>
      </c>
    </row>
    <row r="40" spans="1:5" ht="15">
      <c r="A40" s="13">
        <v>42705</v>
      </c>
      <c r="B40" s="4">
        <f>9.2266 * CHOOSE(CONTROL!$C$9, $C$13, 100%, $E$13) + CHOOSE(CONTROL!$C$28, 0.0003, 0)</f>
        <v>9.2268999999999988</v>
      </c>
      <c r="C40" s="4">
        <f>8.9141 * CHOOSE(CONTROL!$C$9, $C$13, 100%, $E$13) + CHOOSE(CONTROL!$C$28, 0.0003, 0)</f>
        <v>8.9143999999999988</v>
      </c>
      <c r="D40" s="4">
        <f>13.0201 * CHOOSE(CONTROL!$C$9, $C$13, 100%, $E$13) + CHOOSE(CONTROL!$C$28, 0, 0)</f>
        <v>13.020099999999999</v>
      </c>
      <c r="E40" s="4">
        <f>51.89 * CHOOSE(CONTROL!$C$9, $C$13, 100%, $E$13) + CHOOSE(CONTROL!$C$28, 0, 0)</f>
        <v>51.89</v>
      </c>
    </row>
    <row r="41" spans="1:5" ht="15">
      <c r="A41" s="13">
        <v>42736</v>
      </c>
      <c r="B41" s="4">
        <f>9.3125 * CHOOSE(CONTROL!$C$9, $C$13, 100%, $E$13) + CHOOSE(CONTROL!$C$28, 0.0003, 0)</f>
        <v>9.3127999999999993</v>
      </c>
      <c r="C41" s="4">
        <f>9 * CHOOSE(CONTROL!$C$9, $C$13, 100%, $E$13) + CHOOSE(CONTROL!$C$28, 0.0003, 0)</f>
        <v>9.0002999999999993</v>
      </c>
      <c r="D41" s="4">
        <f>13.1454 * CHOOSE(CONTROL!$C$9, $C$13, 100%, $E$13) + CHOOSE(CONTROL!$C$28, 0, 0)</f>
        <v>13.1454</v>
      </c>
      <c r="E41" s="4">
        <f>52.13 * CHOOSE(CONTROL!$C$9, $C$13, 100%, $E$13) + CHOOSE(CONTROL!$C$28, 0, 0)</f>
        <v>52.13</v>
      </c>
    </row>
    <row r="42" spans="1:5" ht="15">
      <c r="A42" s="13">
        <v>42767</v>
      </c>
      <c r="B42" s="4">
        <f>9.3984 * CHOOSE(CONTROL!$C$9, $C$13, 100%, $E$13) + CHOOSE(CONTROL!$C$28, 0.0003, 0)</f>
        <v>9.3986999999999998</v>
      </c>
      <c r="C42" s="4">
        <f>9.0859 * CHOOSE(CONTROL!$C$9, $C$13, 100%, $E$13) + CHOOSE(CONTROL!$C$28, 0.0003, 0)</f>
        <v>9.0861999999999998</v>
      </c>
      <c r="D42" s="4">
        <f>13.2031 * CHOOSE(CONTROL!$C$9, $C$13, 100%, $E$13) + CHOOSE(CONTROL!$C$28, 0, 0)</f>
        <v>13.203099999999999</v>
      </c>
      <c r="E42" s="4">
        <f>52.37 * CHOOSE(CONTROL!$C$9, $C$13, 100%, $E$13) + CHOOSE(CONTROL!$C$28, 0, 0)</f>
        <v>52.37</v>
      </c>
    </row>
    <row r="43" spans="1:5" ht="15">
      <c r="A43" s="13">
        <v>42795</v>
      </c>
      <c r="B43" s="4">
        <f>9.4766 * CHOOSE(CONTROL!$C$9, $C$13, 100%, $E$13) + CHOOSE(CONTROL!$C$28, 0.0003, 0)</f>
        <v>9.4768999999999988</v>
      </c>
      <c r="C43" s="4">
        <f>9.1641 * CHOOSE(CONTROL!$C$9, $C$13, 100%, $E$13) + CHOOSE(CONTROL!$C$28, 0.0003, 0)</f>
        <v>9.1643999999999988</v>
      </c>
      <c r="D43" s="4">
        <f>13.1901 * CHOOSE(CONTROL!$C$9, $C$13, 100%, $E$13) + CHOOSE(CONTROL!$C$28, 0, 0)</f>
        <v>13.190099999999999</v>
      </c>
      <c r="E43" s="4">
        <f>52.61 * CHOOSE(CONTROL!$C$9, $C$13, 100%, $E$13) + CHOOSE(CONTROL!$C$28, 0, 0)</f>
        <v>52.61</v>
      </c>
    </row>
    <row r="44" spans="1:5" ht="15">
      <c r="A44" s="13">
        <v>42826</v>
      </c>
      <c r="B44" s="4">
        <f>9.5391 * CHOOSE(CONTROL!$C$9, $C$13, 100%, $E$13) + CHOOSE(CONTROL!$C$28, 0.0003, 0)</f>
        <v>9.5393999999999988</v>
      </c>
      <c r="C44" s="4">
        <f>9.2266 * CHOOSE(CONTROL!$C$9, $C$13, 100%, $E$13) + CHOOSE(CONTROL!$C$28, 0.0003, 0)</f>
        <v>9.2268999999999988</v>
      </c>
      <c r="D44" s="4">
        <f>13.131 * CHOOSE(CONTROL!$C$9, $C$13, 100%, $E$13) + CHOOSE(CONTROL!$C$28, 0, 0)</f>
        <v>13.131</v>
      </c>
      <c r="E44" s="4">
        <f>52.83 * CHOOSE(CONTROL!$C$9, $C$13, 100%, $E$13) + CHOOSE(CONTROL!$C$28, 0, 0)</f>
        <v>52.83</v>
      </c>
    </row>
    <row r="45" spans="1:5" ht="15">
      <c r="A45" s="13">
        <v>42856</v>
      </c>
      <c r="B45" s="4">
        <f>9.6016 * CHOOSE(CONTROL!$C$9, $C$13, 100%, $E$13) + CHOOSE(CONTROL!$C$28, 0.0202, 0)</f>
        <v>9.6218000000000004</v>
      </c>
      <c r="C45" s="4">
        <f>9.2891 * CHOOSE(CONTROL!$C$9, $C$13, 100%, $E$13) + CHOOSE(CONTROL!$C$28, 0.0202, 0)</f>
        <v>9.3093000000000004</v>
      </c>
      <c r="D45" s="4">
        <f>13.162 * CHOOSE(CONTROL!$C$9, $C$13, 100%, $E$13) + CHOOSE(CONTROL!$C$28, 0, 0)</f>
        <v>13.162000000000001</v>
      </c>
      <c r="E45" s="4">
        <f>53.03 * CHOOSE(CONTROL!$C$9, $C$13, 100%, $E$13) + CHOOSE(CONTROL!$C$28, 0, 0)</f>
        <v>53.03</v>
      </c>
    </row>
    <row r="46" spans="1:5" ht="15">
      <c r="A46" s="13">
        <v>42887</v>
      </c>
      <c r="B46" s="4">
        <f>9.6641 * CHOOSE(CONTROL!$C$9, $C$13, 100%, $E$13) + CHOOSE(CONTROL!$C$28, 0.0202, 0)</f>
        <v>9.6843000000000004</v>
      </c>
      <c r="C46" s="4">
        <f>9.3516 * CHOOSE(CONTROL!$C$9, $C$13, 100%, $E$13) + CHOOSE(CONTROL!$C$28, 0.0202, 0)</f>
        <v>9.3718000000000004</v>
      </c>
      <c r="D46" s="4">
        <f>13.2153 * CHOOSE(CONTROL!$C$9, $C$13, 100%, $E$13) + CHOOSE(CONTROL!$C$28, 0, 0)</f>
        <v>13.215299999999999</v>
      </c>
      <c r="E46" s="4">
        <f>53.25 * CHOOSE(CONTROL!$C$9, $C$13, 100%, $E$13) + CHOOSE(CONTROL!$C$28, 0, 0)</f>
        <v>53.25</v>
      </c>
    </row>
    <row r="47" spans="1:5" ht="15">
      <c r="A47" s="13">
        <v>42917</v>
      </c>
      <c r="B47" s="4">
        <f>9.7266 * CHOOSE(CONTROL!$C$9, $C$13, 100%, $E$13) + CHOOSE(CONTROL!$C$28, 0.0202, 0)</f>
        <v>9.7468000000000004</v>
      </c>
      <c r="C47" s="4">
        <f>9.4141 * CHOOSE(CONTROL!$C$9, $C$13, 100%, $E$13) + CHOOSE(CONTROL!$C$28, 0.0202, 0)</f>
        <v>9.4343000000000004</v>
      </c>
      <c r="D47" s="4">
        <f>13.291 * CHOOSE(CONTROL!$C$9, $C$13, 100%, $E$13) + CHOOSE(CONTROL!$C$28, 0, 0)</f>
        <v>13.291</v>
      </c>
      <c r="E47" s="4">
        <f>53.43 * CHOOSE(CONTROL!$C$9, $C$13, 100%, $E$13) + CHOOSE(CONTROL!$C$28, 0, 0)</f>
        <v>53.43</v>
      </c>
    </row>
    <row r="48" spans="1:5" ht="15">
      <c r="A48" s="13">
        <v>42948</v>
      </c>
      <c r="B48" s="4">
        <f>9.7812 * CHOOSE(CONTROL!$C$9, $C$13, 100%, $E$13) + CHOOSE(CONTROL!$C$28, 0.0202, 0)</f>
        <v>9.801400000000001</v>
      </c>
      <c r="C48" s="4">
        <f>9.4688 * CHOOSE(CONTROL!$C$9, $C$13, 100%, $E$13) + CHOOSE(CONTROL!$C$28, 0.0202, 0)</f>
        <v>9.4890000000000008</v>
      </c>
      <c r="D48" s="4">
        <f>13.3702 * CHOOSE(CONTROL!$C$9, $C$13, 100%, $E$13) + CHOOSE(CONTROL!$C$28, 0, 0)</f>
        <v>13.370200000000001</v>
      </c>
      <c r="E48" s="4">
        <f>53.62 * CHOOSE(CONTROL!$C$9, $C$13, 100%, $E$13) + CHOOSE(CONTROL!$C$28, 0, 0)</f>
        <v>53.62</v>
      </c>
    </row>
    <row r="49" spans="1:5" ht="15">
      <c r="A49" s="13">
        <v>42979</v>
      </c>
      <c r="B49" s="4">
        <f>9.8359 * CHOOSE(CONTROL!$C$9, $C$13, 100%, $E$13) + CHOOSE(CONTROL!$C$28, 0.0202, 0)</f>
        <v>9.8561000000000014</v>
      </c>
      <c r="C49" s="4">
        <f>9.5234 * CHOOSE(CONTROL!$C$9, $C$13, 100%, $E$13) + CHOOSE(CONTROL!$C$28, 0.0202, 0)</f>
        <v>9.5436000000000014</v>
      </c>
      <c r="D49" s="4">
        <f>13.4495 * CHOOSE(CONTROL!$C$9, $C$13, 100%, $E$13) + CHOOSE(CONTROL!$C$28, 0, 0)</f>
        <v>13.4495</v>
      </c>
      <c r="E49" s="4">
        <f>53.84 * CHOOSE(CONTROL!$C$9, $C$13, 100%, $E$13) + CHOOSE(CONTROL!$C$28, 0, 0)</f>
        <v>53.84</v>
      </c>
    </row>
    <row r="50" spans="1:5" ht="15">
      <c r="A50" s="13">
        <v>43009</v>
      </c>
      <c r="B50" s="4">
        <f>9.8828 * CHOOSE(CONTROL!$C$9, $C$13, 100%, $E$13) + CHOOSE(CONTROL!$C$28, 0.0003, 0)</f>
        <v>9.8830999999999989</v>
      </c>
      <c r="C50" s="4">
        <f>9.5703 * CHOOSE(CONTROL!$C$9, $C$13, 100%, $E$13) + CHOOSE(CONTROL!$C$28, 0.0003, 0)</f>
        <v>9.5705999999999989</v>
      </c>
      <c r="D50" s="4">
        <f>13.5287 * CHOOSE(CONTROL!$C$9, $C$13, 100%, $E$13) + CHOOSE(CONTROL!$C$28, 0, 0)</f>
        <v>13.528700000000001</v>
      </c>
      <c r="E50" s="4">
        <f>54.07 * CHOOSE(CONTROL!$C$9, $C$13, 100%, $E$13) + CHOOSE(CONTROL!$C$28, 0, 0)</f>
        <v>54.07</v>
      </c>
    </row>
    <row r="51" spans="1:5" ht="15">
      <c r="A51" s="13">
        <v>43040</v>
      </c>
      <c r="B51" s="4">
        <f>9.9297 * CHOOSE(CONTROL!$C$9, $C$13, 100%, $E$13) + CHOOSE(CONTROL!$C$28, 0.0003, 0)</f>
        <v>9.93</v>
      </c>
      <c r="C51" s="4">
        <f>9.6172 * CHOOSE(CONTROL!$C$9, $C$13, 100%, $E$13) + CHOOSE(CONTROL!$C$28, 0.0003, 0)</f>
        <v>9.6174999999999997</v>
      </c>
      <c r="D51" s="4">
        <f>13.5863 * CHOOSE(CONTROL!$C$9, $C$13, 100%, $E$13) + CHOOSE(CONTROL!$C$28, 0, 0)</f>
        <v>13.5863</v>
      </c>
      <c r="E51" s="4">
        <f>54.32 * CHOOSE(CONTROL!$C$9, $C$13, 100%, $E$13) + CHOOSE(CONTROL!$C$28, 0, 0)</f>
        <v>54.32</v>
      </c>
    </row>
    <row r="52" spans="1:5" ht="15">
      <c r="A52" s="13">
        <v>43070</v>
      </c>
      <c r="B52" s="4">
        <f>9.9922 * CHOOSE(CONTROL!$C$9, $C$13, 100%, $E$13) + CHOOSE(CONTROL!$C$28, 0.0003, 0)</f>
        <v>9.9924999999999997</v>
      </c>
      <c r="C52" s="4">
        <f>9.6797 * CHOOSE(CONTROL!$C$9, $C$13, 100%, $E$13) + CHOOSE(CONTROL!$C$28, 0.0003, 0)</f>
        <v>9.68</v>
      </c>
      <c r="D52" s="4">
        <f>13.6404 * CHOOSE(CONTROL!$C$9, $C$13, 100%, $E$13) + CHOOSE(CONTROL!$C$28, 0, 0)</f>
        <v>13.6404</v>
      </c>
      <c r="E52" s="4">
        <f>54.57 * CHOOSE(CONTROL!$C$9, $C$13, 100%, $E$13) + CHOOSE(CONTROL!$C$28, 0, 0)</f>
        <v>54.57</v>
      </c>
    </row>
    <row r="53" spans="1:5" ht="15">
      <c r="A53" s="13">
        <v>43101</v>
      </c>
      <c r="B53" s="4">
        <f>10.5478 * CHOOSE(CONTROL!$C$9, $C$13, 100%, $E$13) + CHOOSE(CONTROL!$C$28, 0.0003, 0)</f>
        <v>10.5481</v>
      </c>
      <c r="C53" s="4">
        <f>10.2353 * CHOOSE(CONTROL!$C$9, $C$13, 100%, $E$13) + CHOOSE(CONTROL!$C$28, 0.0003, 0)</f>
        <v>10.2356</v>
      </c>
      <c r="D53" s="4">
        <f>14.2565 * CHOOSE(CONTROL!$C$9, $C$13, 100%, $E$13) + CHOOSE(CONTROL!$C$28, 0, 0)</f>
        <v>14.256500000000001</v>
      </c>
      <c r="E53" s="4">
        <f>58.9451496280658 * CHOOSE(CONTROL!$C$9, $C$13, 100%, $E$13) + CHOOSE(CONTROL!$C$28, 0, 0)</f>
        <v>58.945149628065799</v>
      </c>
    </row>
    <row r="54" spans="1:5" ht="15">
      <c r="A54" s="13">
        <v>43132</v>
      </c>
      <c r="B54" s="4">
        <f>10.7537 * CHOOSE(CONTROL!$C$9, $C$13, 100%, $E$13) + CHOOSE(CONTROL!$C$28, 0.0003, 0)</f>
        <v>10.754</v>
      </c>
      <c r="C54" s="4">
        <f>10.4412 * CHOOSE(CONTROL!$C$9, $C$13, 100%, $E$13) + CHOOSE(CONTROL!$C$28, 0.0003, 0)</f>
        <v>10.4415</v>
      </c>
      <c r="D54" s="4">
        <f>14.7307 * CHOOSE(CONTROL!$C$9, $C$13, 100%, $E$13) + CHOOSE(CONTROL!$C$28, 0, 0)</f>
        <v>14.730700000000001</v>
      </c>
      <c r="E54" s="4">
        <f>60.3447397777327 * CHOOSE(CONTROL!$C$9, $C$13, 100%, $E$13) + CHOOSE(CONTROL!$C$28, 0, 0)</f>
        <v>60.344739777732698</v>
      </c>
    </row>
    <row r="55" spans="1:5" ht="15">
      <c r="A55" s="13">
        <v>43160</v>
      </c>
      <c r="B55" s="4">
        <f>11.2945 * CHOOSE(CONTROL!$C$9, $C$13, 100%, $E$13) + CHOOSE(CONTROL!$C$28, 0.0003, 0)</f>
        <v>11.294799999999999</v>
      </c>
      <c r="C55" s="4">
        <f>10.982 * CHOOSE(CONTROL!$C$9, $C$13, 100%, $E$13) + CHOOSE(CONTROL!$C$28, 0.0003, 0)</f>
        <v>10.982299999999999</v>
      </c>
      <c r="D55" s="4">
        <f>15.4729 * CHOOSE(CONTROL!$C$9, $C$13, 100%, $E$13) + CHOOSE(CONTROL!$C$28, 0, 0)</f>
        <v>15.472899999999999</v>
      </c>
      <c r="E55" s="4">
        <f>64.0201378894958 * CHOOSE(CONTROL!$C$9, $C$13, 100%, $E$13) + CHOOSE(CONTROL!$C$28, 0, 0)</f>
        <v>64.0201378894958</v>
      </c>
    </row>
    <row r="56" spans="1:5" ht="15">
      <c r="A56" s="13">
        <v>43191</v>
      </c>
      <c r="B56" s="4">
        <f>11.6787 * CHOOSE(CONTROL!$C$9, $C$13, 100%, $E$13) + CHOOSE(CONTROL!$C$28, 0.0003, 0)</f>
        <v>11.678999999999998</v>
      </c>
      <c r="C56" s="4">
        <f>11.3662 * CHOOSE(CONTROL!$C$9, $C$13, 100%, $E$13) + CHOOSE(CONTROL!$C$28, 0.0003, 0)</f>
        <v>11.366499999999998</v>
      </c>
      <c r="D56" s="4">
        <f>15.9004 * CHOOSE(CONTROL!$C$9, $C$13, 100%, $E$13) + CHOOSE(CONTROL!$C$28, 0, 0)</f>
        <v>15.900399999999999</v>
      </c>
      <c r="E56" s="4">
        <f>66.6315572290234 * CHOOSE(CONTROL!$C$9, $C$13, 100%, $E$13) + CHOOSE(CONTROL!$C$28, 0, 0)</f>
        <v>66.6315572290234</v>
      </c>
    </row>
    <row r="57" spans="1:5" ht="15">
      <c r="A57" s="13">
        <v>43221</v>
      </c>
      <c r="B57" s="4">
        <f>11.9134 * CHOOSE(CONTROL!$C$9, $C$13, 100%, $E$13) + CHOOSE(CONTROL!$C$28, 0.0202, 0)</f>
        <v>11.9336</v>
      </c>
      <c r="C57" s="4">
        <f>11.6009 * CHOOSE(CONTROL!$C$9, $C$13, 100%, $E$13) + CHOOSE(CONTROL!$C$28, 0.0202, 0)</f>
        <v>11.6211</v>
      </c>
      <c r="D57" s="4">
        <f>15.7315 * CHOOSE(CONTROL!$C$9, $C$13, 100%, $E$13) + CHOOSE(CONTROL!$C$28, 0, 0)</f>
        <v>15.7315</v>
      </c>
      <c r="E57" s="4">
        <f>68.2270718584882 * CHOOSE(CONTROL!$C$9, $C$13, 100%, $E$13) + CHOOSE(CONTROL!$C$28, 0, 0)</f>
        <v>68.227071858488202</v>
      </c>
    </row>
    <row r="58" spans="1:5" ht="15">
      <c r="A58" s="13">
        <v>43252</v>
      </c>
      <c r="B58" s="4">
        <f>11.9452 * CHOOSE(CONTROL!$C$9, $C$13, 100%, $E$13) + CHOOSE(CONTROL!$C$28, 0.0202, 0)</f>
        <v>11.965400000000001</v>
      </c>
      <c r="C58" s="4">
        <f>11.6327 * CHOOSE(CONTROL!$C$9, $C$13, 100%, $E$13) + CHOOSE(CONTROL!$C$28, 0.0202, 0)</f>
        <v>11.652900000000001</v>
      </c>
      <c r="D58" s="4">
        <f>15.8691 * CHOOSE(CONTROL!$C$9, $C$13, 100%, $E$13) + CHOOSE(CONTROL!$C$28, 0, 0)</f>
        <v>15.8691</v>
      </c>
      <c r="E58" s="4">
        <f>68.4429516093765 * CHOOSE(CONTROL!$C$9, $C$13, 100%, $E$13) + CHOOSE(CONTROL!$C$28, 0, 0)</f>
        <v>68.442951609376493</v>
      </c>
    </row>
    <row r="59" spans="1:5" ht="15">
      <c r="A59" s="13">
        <v>43282</v>
      </c>
      <c r="B59" s="4">
        <f>11.942 * CHOOSE(CONTROL!$C$9, $C$13, 100%, $E$13) + CHOOSE(CONTROL!$C$28, 0.0202, 0)</f>
        <v>11.962200000000001</v>
      </c>
      <c r="C59" s="4">
        <f>11.6295 * CHOOSE(CONTROL!$C$9, $C$13, 100%, $E$13) + CHOOSE(CONTROL!$C$28, 0.0202, 0)</f>
        <v>11.649700000000001</v>
      </c>
      <c r="D59" s="4">
        <f>16.1173 * CHOOSE(CONTROL!$C$9, $C$13, 100%, $E$13) + CHOOSE(CONTROL!$C$28, 0, 0)</f>
        <v>16.1173</v>
      </c>
      <c r="E59" s="4">
        <f>68.4211822227323 * CHOOSE(CONTROL!$C$9, $C$13, 100%, $E$13) + CHOOSE(CONTROL!$C$28, 0, 0)</f>
        <v>68.421182222732298</v>
      </c>
    </row>
    <row r="60" spans="1:5" ht="15">
      <c r="A60" s="13">
        <v>43313</v>
      </c>
      <c r="B60" s="4">
        <f>12.183 * CHOOSE(CONTROL!$C$9, $C$13, 100%, $E$13) + CHOOSE(CONTROL!$C$28, 0.0202, 0)</f>
        <v>12.203200000000001</v>
      </c>
      <c r="C60" s="4">
        <f>11.8705 * CHOOSE(CONTROL!$C$9, $C$13, 100%, $E$13) + CHOOSE(CONTROL!$C$28, 0.0202, 0)</f>
        <v>11.890700000000001</v>
      </c>
      <c r="D60" s="4">
        <f>15.9534 * CHOOSE(CONTROL!$C$9, $C$13, 100%, $E$13) + CHOOSE(CONTROL!$C$28, 0, 0)</f>
        <v>15.9534</v>
      </c>
      <c r="E60" s="4">
        <f>70.0593285677086 * CHOOSE(CONTROL!$C$9, $C$13, 100%, $E$13) + CHOOSE(CONTROL!$C$28, 0, 0)</f>
        <v>70.059328567708604</v>
      </c>
    </row>
    <row r="61" spans="1:5" ht="15">
      <c r="A61" s="13">
        <v>43344</v>
      </c>
      <c r="B61" s="4">
        <f>11.7722 * CHOOSE(CONTROL!$C$9, $C$13, 100%, $E$13) + CHOOSE(CONTROL!$C$28, 0.0202, 0)</f>
        <v>11.792400000000001</v>
      </c>
      <c r="C61" s="4">
        <f>11.4597 * CHOOSE(CONTROL!$C$9, $C$13, 100%, $E$13) + CHOOSE(CONTROL!$C$28, 0.0202, 0)</f>
        <v>11.479900000000001</v>
      </c>
      <c r="D61" s="4">
        <f>15.8759 * CHOOSE(CONTROL!$C$9, $C$13, 100%, $E$13) + CHOOSE(CONTROL!$C$28, 0, 0)</f>
        <v>15.8759</v>
      </c>
      <c r="E61" s="4">
        <f>67.2674047305895 * CHOOSE(CONTROL!$C$9, $C$13, 100%, $E$13) + CHOOSE(CONTROL!$C$28, 0, 0)</f>
        <v>67.267404730589504</v>
      </c>
    </row>
    <row r="62" spans="1:5" ht="15">
      <c r="A62" s="13">
        <v>43374</v>
      </c>
      <c r="B62" s="4">
        <f>11.4434 * CHOOSE(CONTROL!$C$9, $C$13, 100%, $E$13) + CHOOSE(CONTROL!$C$28, 0.0003, 0)</f>
        <v>11.4437</v>
      </c>
      <c r="C62" s="4">
        <f>11.1309 * CHOOSE(CONTROL!$C$9, $C$13, 100%, $E$13) + CHOOSE(CONTROL!$C$28, 0.0003, 0)</f>
        <v>11.1312</v>
      </c>
      <c r="D62" s="4">
        <f>15.6685 * CHOOSE(CONTROL!$C$9, $C$13, 100%, $E$13) + CHOOSE(CONTROL!$C$28, 0, 0)</f>
        <v>15.6685</v>
      </c>
      <c r="E62" s="4">
        <f>65.0324143684513 * CHOOSE(CONTROL!$C$9, $C$13, 100%, $E$13) + CHOOSE(CONTROL!$C$28, 0, 0)</f>
        <v>65.032414368451299</v>
      </c>
    </row>
    <row r="63" spans="1:5" ht="15">
      <c r="A63" s="13">
        <v>43405</v>
      </c>
      <c r="B63" s="4">
        <f>11.2316 * CHOOSE(CONTROL!$C$9, $C$13, 100%, $E$13) + CHOOSE(CONTROL!$C$28, 0.0003, 0)</f>
        <v>11.2319</v>
      </c>
      <c r="C63" s="4">
        <f>10.9191 * CHOOSE(CONTROL!$C$9, $C$13, 100%, $E$13) + CHOOSE(CONTROL!$C$28, 0.0003, 0)</f>
        <v>10.9194</v>
      </c>
      <c r="D63" s="4">
        <f>15.5972 * CHOOSE(CONTROL!$C$9, $C$13, 100%, $E$13) + CHOOSE(CONTROL!$C$28, 0, 0)</f>
        <v>15.597200000000001</v>
      </c>
      <c r="E63" s="4">
        <f>63.5929136766033 * CHOOSE(CONTROL!$C$9, $C$13, 100%, $E$13) + CHOOSE(CONTROL!$C$28, 0, 0)</f>
        <v>63.592913676603303</v>
      </c>
    </row>
    <row r="64" spans="1:5" ht="15">
      <c r="A64" s="13">
        <v>43435</v>
      </c>
      <c r="B64" s="4">
        <f>11.0851 * CHOOSE(CONTROL!$C$9, $C$13, 100%, $E$13) + CHOOSE(CONTROL!$C$28, 0.0003, 0)</f>
        <v>11.0854</v>
      </c>
      <c r="C64" s="4">
        <f>10.7726 * CHOOSE(CONTROL!$C$9, $C$13, 100%, $E$13) + CHOOSE(CONTROL!$C$28, 0.0003, 0)</f>
        <v>10.7729</v>
      </c>
      <c r="D64" s="4">
        <f>15.0722 * CHOOSE(CONTROL!$C$9, $C$13, 100%, $E$13) + CHOOSE(CONTROL!$C$28, 0, 0)</f>
        <v>15.0722</v>
      </c>
      <c r="E64" s="4">
        <f>62.596964237631 * CHOOSE(CONTROL!$C$9, $C$13, 100%, $E$13) + CHOOSE(CONTROL!$C$28, 0, 0)</f>
        <v>62.596964237630999</v>
      </c>
    </row>
    <row r="65" spans="1:5" ht="15">
      <c r="A65" s="13">
        <v>43466</v>
      </c>
      <c r="B65" s="4">
        <f>10.9989 * CHOOSE(CONTROL!$C$9, $C$13, 100%, $E$13) + CHOOSE(CONTROL!$C$28, 0.0003, 0)</f>
        <v>10.9992</v>
      </c>
      <c r="C65" s="4">
        <f>10.6864 * CHOOSE(CONTROL!$C$9, $C$13, 100%, $E$13) + CHOOSE(CONTROL!$C$28, 0.0003, 0)</f>
        <v>10.6867</v>
      </c>
      <c r="D65" s="4">
        <f>14.845 * CHOOSE(CONTROL!$C$9, $C$13, 100%, $E$13) + CHOOSE(CONTROL!$C$28, 0, 0)</f>
        <v>14.845000000000001</v>
      </c>
      <c r="E65" s="4">
        <f>61.9753633795676 * CHOOSE(CONTROL!$C$9, $C$13, 100%, $E$13) + CHOOSE(CONTROL!$C$28, 0, 0)</f>
        <v>61.975363379567597</v>
      </c>
    </row>
    <row r="66" spans="1:5" ht="15">
      <c r="A66" s="13">
        <v>43497</v>
      </c>
      <c r="B66" s="4">
        <f>11.2155 * CHOOSE(CONTROL!$C$9, $C$13, 100%, $E$13) + CHOOSE(CONTROL!$C$28, 0.0003, 0)</f>
        <v>11.2158</v>
      </c>
      <c r="C66" s="4">
        <f>10.903 * CHOOSE(CONTROL!$C$9, $C$13, 100%, $E$13) + CHOOSE(CONTROL!$C$28, 0.0003, 0)</f>
        <v>10.9033</v>
      </c>
      <c r="D66" s="4">
        <f>15.3399 * CHOOSE(CONTROL!$C$9, $C$13, 100%, $E$13) + CHOOSE(CONTROL!$C$28, 0, 0)</f>
        <v>15.3399</v>
      </c>
      <c r="E66" s="4">
        <f>63.4469027454932 * CHOOSE(CONTROL!$C$9, $C$13, 100%, $E$13) + CHOOSE(CONTROL!$C$28, 0, 0)</f>
        <v>63.446902745493198</v>
      </c>
    </row>
    <row r="67" spans="1:5" ht="15">
      <c r="A67" s="13">
        <v>43525</v>
      </c>
      <c r="B67" s="4">
        <f>11.7844 * CHOOSE(CONTROL!$C$9, $C$13, 100%, $E$13) + CHOOSE(CONTROL!$C$28, 0.0003, 0)</f>
        <v>11.784699999999999</v>
      </c>
      <c r="C67" s="4">
        <f>11.4719 * CHOOSE(CONTROL!$C$9, $C$13, 100%, $E$13) + CHOOSE(CONTROL!$C$28, 0.0003, 0)</f>
        <v>11.472199999999999</v>
      </c>
      <c r="D67" s="4">
        <f>16.1146 * CHOOSE(CONTROL!$C$9, $C$13, 100%, $E$13) + CHOOSE(CONTROL!$C$28, 0, 0)</f>
        <v>16.114599999999999</v>
      </c>
      <c r="E67" s="4">
        <f>67.311243322765 * CHOOSE(CONTROL!$C$9, $C$13, 100%, $E$13) + CHOOSE(CONTROL!$C$28, 0, 0)</f>
        <v>67.311243322764994</v>
      </c>
    </row>
    <row r="68" spans="1:5" ht="15">
      <c r="A68" s="13">
        <v>43556</v>
      </c>
      <c r="B68" s="4">
        <f>12.1886 * CHOOSE(CONTROL!$C$9, $C$13, 100%, $E$13) + CHOOSE(CONTROL!$C$28, 0.0003, 0)</f>
        <v>12.188899999999999</v>
      </c>
      <c r="C68" s="4">
        <f>11.8761 * CHOOSE(CONTROL!$C$9, $C$13, 100%, $E$13) + CHOOSE(CONTROL!$C$28, 0.0003, 0)</f>
        <v>11.876399999999999</v>
      </c>
      <c r="D68" s="4">
        <f>16.5609 * CHOOSE(CONTROL!$C$9, $C$13, 100%, $E$13) + CHOOSE(CONTROL!$C$28, 0, 0)</f>
        <v>16.5609</v>
      </c>
      <c r="E68" s="4">
        <f>70.056908802026 * CHOOSE(CONTROL!$C$9, $C$13, 100%, $E$13) + CHOOSE(CONTROL!$C$28, 0, 0)</f>
        <v>70.056908802026001</v>
      </c>
    </row>
    <row r="69" spans="1:5" ht="15">
      <c r="A69" s="13">
        <v>43586</v>
      </c>
      <c r="B69" s="4">
        <f>12.4356 * CHOOSE(CONTROL!$C$9, $C$13, 100%, $E$13) + CHOOSE(CONTROL!$C$28, 0.0202, 0)</f>
        <v>12.455800000000002</v>
      </c>
      <c r="C69" s="4">
        <f>12.1231 * CHOOSE(CONTROL!$C$9, $C$13, 100%, $E$13) + CHOOSE(CONTROL!$C$28, 0.0202, 0)</f>
        <v>12.143300000000002</v>
      </c>
      <c r="D69" s="4">
        <f>16.3846 * CHOOSE(CONTROL!$C$9, $C$13, 100%, $E$13) + CHOOSE(CONTROL!$C$28, 0, 0)</f>
        <v>16.384599999999999</v>
      </c>
      <c r="E69" s="4">
        <f>71.7344446054369 * CHOOSE(CONTROL!$C$9, $C$13, 100%, $E$13) + CHOOSE(CONTROL!$C$28, 0, 0)</f>
        <v>71.734444605436906</v>
      </c>
    </row>
    <row r="70" spans="1:5" ht="15">
      <c r="A70" s="13">
        <v>43617</v>
      </c>
      <c r="B70" s="4">
        <f>12.469 * CHOOSE(CONTROL!$C$9, $C$13, 100%, $E$13) + CHOOSE(CONTROL!$C$28, 0.0202, 0)</f>
        <v>12.4892</v>
      </c>
      <c r="C70" s="4">
        <f>12.1565 * CHOOSE(CONTROL!$C$9, $C$13, 100%, $E$13) + CHOOSE(CONTROL!$C$28, 0.0202, 0)</f>
        <v>12.1767</v>
      </c>
      <c r="D70" s="4">
        <f>16.5282 * CHOOSE(CONTROL!$C$9, $C$13, 100%, $E$13) + CHOOSE(CONTROL!$C$28, 0, 0)</f>
        <v>16.528199999999998</v>
      </c>
      <c r="E70" s="4">
        <f>71.961422161555 * CHOOSE(CONTROL!$C$9, $C$13, 100%, $E$13) + CHOOSE(CONTROL!$C$28, 0, 0)</f>
        <v>71.961422161555006</v>
      </c>
    </row>
    <row r="71" spans="1:5" ht="15">
      <c r="A71" s="13">
        <v>43647</v>
      </c>
      <c r="B71" s="4">
        <f>12.4656 * CHOOSE(CONTROL!$C$9, $C$13, 100%, $E$13) + CHOOSE(CONTROL!$C$28, 0.0202, 0)</f>
        <v>12.485800000000001</v>
      </c>
      <c r="C71" s="4">
        <f>12.1531 * CHOOSE(CONTROL!$C$9, $C$13, 100%, $E$13) + CHOOSE(CONTROL!$C$28, 0.0202, 0)</f>
        <v>12.173300000000001</v>
      </c>
      <c r="D71" s="4">
        <f>16.7873 * CHOOSE(CONTROL!$C$9, $C$13, 100%, $E$13) + CHOOSE(CONTROL!$C$28, 0, 0)</f>
        <v>16.787299999999998</v>
      </c>
      <c r="E71" s="4">
        <f>71.9385336685011 * CHOOSE(CONTROL!$C$9, $C$13, 100%, $E$13) + CHOOSE(CONTROL!$C$28, 0, 0)</f>
        <v>71.938533668501094</v>
      </c>
    </row>
    <row r="72" spans="1:5" ht="15">
      <c r="A72" s="13">
        <v>43678</v>
      </c>
      <c r="B72" s="4">
        <f>12.7192 * CHOOSE(CONTROL!$C$9, $C$13, 100%, $E$13) + CHOOSE(CONTROL!$C$28, 0.0202, 0)</f>
        <v>12.739400000000002</v>
      </c>
      <c r="C72" s="4">
        <f>12.4067 * CHOOSE(CONTROL!$C$9, $C$13, 100%, $E$13) + CHOOSE(CONTROL!$C$28, 0.0202, 0)</f>
        <v>12.426900000000002</v>
      </c>
      <c r="D72" s="4">
        <f>16.6162 * CHOOSE(CONTROL!$C$9, $C$13, 100%, $E$13) + CHOOSE(CONTROL!$C$28, 0, 0)</f>
        <v>16.616199999999999</v>
      </c>
      <c r="E72" s="4">
        <f>73.6608927708093 * CHOOSE(CONTROL!$C$9, $C$13, 100%, $E$13) + CHOOSE(CONTROL!$C$28, 0, 0)</f>
        <v>73.660892770809298</v>
      </c>
    </row>
    <row r="73" spans="1:5" ht="15">
      <c r="A73" s="13">
        <v>43709</v>
      </c>
      <c r="B73" s="4">
        <f>12.287 * CHOOSE(CONTROL!$C$9, $C$13, 100%, $E$13) + CHOOSE(CONTROL!$C$28, 0.0202, 0)</f>
        <v>12.307200000000002</v>
      </c>
      <c r="C73" s="4">
        <f>11.9745 * CHOOSE(CONTROL!$C$9, $C$13, 100%, $E$13) + CHOOSE(CONTROL!$C$28, 0.0202, 0)</f>
        <v>11.994700000000002</v>
      </c>
      <c r="D73" s="4">
        <f>16.5353 * CHOOSE(CONTROL!$C$9, $C$13, 100%, $E$13) + CHOOSE(CONTROL!$C$28, 0, 0)</f>
        <v>16.535299999999999</v>
      </c>
      <c r="E73" s="4">
        <f>70.7254435366429 * CHOOSE(CONTROL!$C$9, $C$13, 100%, $E$13) + CHOOSE(CONTROL!$C$28, 0, 0)</f>
        <v>70.725443536642899</v>
      </c>
    </row>
    <row r="74" spans="1:5" ht="15">
      <c r="A74" s="13">
        <v>43739</v>
      </c>
      <c r="B74" s="4">
        <f>11.9411 * CHOOSE(CONTROL!$C$9, $C$13, 100%, $E$13) + CHOOSE(CONTROL!$C$28, 0.0003, 0)</f>
        <v>11.9414</v>
      </c>
      <c r="C74" s="4">
        <f>11.6286 * CHOOSE(CONTROL!$C$9, $C$13, 100%, $E$13) + CHOOSE(CONTROL!$C$28, 0.0003, 0)</f>
        <v>11.6289</v>
      </c>
      <c r="D74" s="4">
        <f>16.3188 * CHOOSE(CONTROL!$C$9, $C$13, 100%, $E$13) + CHOOSE(CONTROL!$C$28, 0, 0)</f>
        <v>16.3188</v>
      </c>
      <c r="E74" s="4">
        <f>68.3755582497727 * CHOOSE(CONTROL!$C$9, $C$13, 100%, $E$13) + CHOOSE(CONTROL!$C$28, 0, 0)</f>
        <v>68.375558249772695</v>
      </c>
    </row>
    <row r="75" spans="1:5" ht="15">
      <c r="A75" s="13">
        <v>43770</v>
      </c>
      <c r="B75" s="4">
        <f>11.7183 * CHOOSE(CONTROL!$C$9, $C$13, 100%, $E$13) + CHOOSE(CONTROL!$C$28, 0.0003, 0)</f>
        <v>11.718599999999999</v>
      </c>
      <c r="C75" s="4">
        <f>11.4058 * CHOOSE(CONTROL!$C$9, $C$13, 100%, $E$13) + CHOOSE(CONTROL!$C$28, 0.0003, 0)</f>
        <v>11.406099999999999</v>
      </c>
      <c r="D75" s="4">
        <f>16.2444 * CHOOSE(CONTROL!$C$9, $C$13, 100%, $E$13) + CHOOSE(CONTROL!$C$28, 0, 0)</f>
        <v>16.244399999999999</v>
      </c>
      <c r="E75" s="4">
        <f>66.8620566465816 * CHOOSE(CONTROL!$C$9, $C$13, 100%, $E$13) + CHOOSE(CONTROL!$C$28, 0, 0)</f>
        <v>66.862056646581607</v>
      </c>
    </row>
    <row r="76" spans="1:5" ht="15">
      <c r="A76" s="13">
        <v>43800</v>
      </c>
      <c r="B76" s="4">
        <f>11.5641 * CHOOSE(CONTROL!$C$9, $C$13, 100%, $E$13) + CHOOSE(CONTROL!$C$28, 0.0003, 0)</f>
        <v>11.564399999999999</v>
      </c>
      <c r="C76" s="4">
        <f>11.2516 * CHOOSE(CONTROL!$C$9, $C$13, 100%, $E$13) + CHOOSE(CONTROL!$C$28, 0.0003, 0)</f>
        <v>11.251899999999999</v>
      </c>
      <c r="D76" s="4">
        <f>15.6964 * CHOOSE(CONTROL!$C$9, $C$13, 100%, $E$13) + CHOOSE(CONTROL!$C$28, 0, 0)</f>
        <v>15.696400000000001</v>
      </c>
      <c r="E76" s="4">
        <f>65.8149080893643 * CHOOSE(CONTROL!$C$9, $C$13, 100%, $E$13) + CHOOSE(CONTROL!$C$28, 0, 0)</f>
        <v>65.814908089364295</v>
      </c>
    </row>
    <row r="77" spans="1:5" ht="15">
      <c r="A77" s="13">
        <v>43831</v>
      </c>
      <c r="B77" s="4">
        <f>13.1135 * CHOOSE(CONTROL!$C$9, $C$13, 100%, $E$13) + CHOOSE(CONTROL!$C$28, 0.0003, 0)</f>
        <v>13.113799999999999</v>
      </c>
      <c r="C77" s="4">
        <f>12.801 * CHOOSE(CONTROL!$C$9, $C$13, 100%, $E$13) + CHOOSE(CONTROL!$C$28, 0.0003, 0)</f>
        <v>12.801299999999999</v>
      </c>
      <c r="D77" s="4">
        <f>17.2465 * CHOOSE(CONTROL!$C$9, $C$13, 100%, $E$13) + CHOOSE(CONTROL!$C$28, 0, 0)</f>
        <v>17.246500000000001</v>
      </c>
      <c r="E77" s="4">
        <f>75.4372445447902 * CHOOSE(CONTROL!$C$9, $C$13, 100%, $E$13) + CHOOSE(CONTROL!$C$28, 0, 0)</f>
        <v>75.437244544790204</v>
      </c>
    </row>
    <row r="78" spans="1:5" ht="15">
      <c r="A78" s="13">
        <v>43862</v>
      </c>
      <c r="B78" s="4">
        <f>13.3804 * CHOOSE(CONTROL!$C$9, $C$13, 100%, $E$13) + CHOOSE(CONTROL!$C$28, 0.0003, 0)</f>
        <v>13.380699999999999</v>
      </c>
      <c r="C78" s="4">
        <f>13.0679 * CHOOSE(CONTROL!$C$9, $C$13, 100%, $E$13) + CHOOSE(CONTROL!$C$28, 0.0003, 0)</f>
        <v>13.068199999999999</v>
      </c>
      <c r="D78" s="4">
        <f>17.8262 * CHOOSE(CONTROL!$C$9, $C$13, 100%, $E$13) + CHOOSE(CONTROL!$C$28, 0, 0)</f>
        <v>17.8262</v>
      </c>
      <c r="E78" s="4">
        <f>77.2284220216327 * CHOOSE(CONTROL!$C$9, $C$13, 100%, $E$13) + CHOOSE(CONTROL!$C$28, 0, 0)</f>
        <v>77.228422021632696</v>
      </c>
    </row>
    <row r="79" spans="1:5" ht="15">
      <c r="A79" s="13">
        <v>43891</v>
      </c>
      <c r="B79" s="4">
        <f>14.0811 * CHOOSE(CONTROL!$C$9, $C$13, 100%, $E$13) + CHOOSE(CONTROL!$C$28, 0.0003, 0)</f>
        <v>14.081399999999999</v>
      </c>
      <c r="C79" s="4">
        <f>13.7686 * CHOOSE(CONTROL!$C$9, $C$13, 100%, $E$13) + CHOOSE(CONTROL!$C$28, 0.0003, 0)</f>
        <v>13.768899999999999</v>
      </c>
      <c r="D79" s="4">
        <f>18.7336 * CHOOSE(CONTROL!$C$9, $C$13, 100%, $E$13) + CHOOSE(CONTROL!$C$28, 0, 0)</f>
        <v>18.733599999999999</v>
      </c>
      <c r="E79" s="4">
        <f>81.9321492647732 * CHOOSE(CONTROL!$C$9, $C$13, 100%, $E$13) + CHOOSE(CONTROL!$C$28, 0, 0)</f>
        <v>81.932149264773201</v>
      </c>
    </row>
    <row r="80" spans="1:5" ht="15">
      <c r="A80" s="13">
        <v>43922</v>
      </c>
      <c r="B80" s="4">
        <f>14.579 * CHOOSE(CONTROL!$C$9, $C$13, 100%, $E$13) + CHOOSE(CONTROL!$C$28, 0.0003, 0)</f>
        <v>14.5793</v>
      </c>
      <c r="C80" s="4">
        <f>14.2665 * CHOOSE(CONTROL!$C$9, $C$13, 100%, $E$13) + CHOOSE(CONTROL!$C$28, 0.0003, 0)</f>
        <v>14.2668</v>
      </c>
      <c r="D80" s="4">
        <f>19.2563 * CHOOSE(CONTROL!$C$9, $C$13, 100%, $E$13) + CHOOSE(CONTROL!$C$28, 0, 0)</f>
        <v>19.2563</v>
      </c>
      <c r="E80" s="4">
        <f>85.2742101564321 * CHOOSE(CONTROL!$C$9, $C$13, 100%, $E$13) + CHOOSE(CONTROL!$C$28, 0, 0)</f>
        <v>85.274210156432105</v>
      </c>
    </row>
    <row r="81" spans="1:5" ht="15">
      <c r="A81" s="13">
        <v>43952</v>
      </c>
      <c r="B81" s="4">
        <f>14.8832 * CHOOSE(CONTROL!$C$9, $C$13, 100%, $E$13) + CHOOSE(CONTROL!$C$28, 0.0202, 0)</f>
        <v>14.903400000000001</v>
      </c>
      <c r="C81" s="4">
        <f>14.5707 * CHOOSE(CONTROL!$C$9, $C$13, 100%, $E$13) + CHOOSE(CONTROL!$C$28, 0.0202, 0)</f>
        <v>14.590900000000001</v>
      </c>
      <c r="D81" s="4">
        <f>19.0497 * CHOOSE(CONTROL!$C$9, $C$13, 100%, $E$13) + CHOOSE(CONTROL!$C$28, 0, 0)</f>
        <v>19.049700000000001</v>
      </c>
      <c r="E81" s="4">
        <f>87.316129263215 * CHOOSE(CONTROL!$C$9, $C$13, 100%, $E$13) + CHOOSE(CONTROL!$C$28, 0, 0)</f>
        <v>87.316129263215004</v>
      </c>
    </row>
    <row r="82" spans="1:5" ht="15">
      <c r="A82" s="13">
        <v>43983</v>
      </c>
      <c r="B82" s="4">
        <f>14.9244 * CHOOSE(CONTROL!$C$9, $C$13, 100%, $E$13) + CHOOSE(CONTROL!$C$28, 0.0202, 0)</f>
        <v>14.944600000000001</v>
      </c>
      <c r="C82" s="4">
        <f>14.6119 * CHOOSE(CONTROL!$C$9, $C$13, 100%, $E$13) + CHOOSE(CONTROL!$C$28, 0.0202, 0)</f>
        <v>14.632100000000001</v>
      </c>
      <c r="D82" s="4">
        <f>19.218 * CHOOSE(CONTROL!$C$9, $C$13, 100%, $E$13) + CHOOSE(CONTROL!$C$28, 0, 0)</f>
        <v>19.218</v>
      </c>
      <c r="E82" s="4">
        <f>87.5924093925011 * CHOOSE(CONTROL!$C$9, $C$13, 100%, $E$13) + CHOOSE(CONTROL!$C$28, 0, 0)</f>
        <v>87.592409392501096</v>
      </c>
    </row>
    <row r="83" spans="1:5" ht="15">
      <c r="A83" s="13">
        <v>44013</v>
      </c>
      <c r="B83" s="4">
        <f>14.9202 * CHOOSE(CONTROL!$C$9, $C$13, 100%, $E$13) + CHOOSE(CONTROL!$C$28, 0.0202, 0)</f>
        <v>14.9404</v>
      </c>
      <c r="C83" s="4">
        <f>14.6077 * CHOOSE(CONTROL!$C$9, $C$13, 100%, $E$13) + CHOOSE(CONTROL!$C$28, 0.0202, 0)</f>
        <v>14.6279</v>
      </c>
      <c r="D83" s="4">
        <f>19.5215 * CHOOSE(CONTROL!$C$9, $C$13, 100%, $E$13) + CHOOSE(CONTROL!$C$28, 0, 0)</f>
        <v>19.5215</v>
      </c>
      <c r="E83" s="4">
        <f>87.5645492113967 * CHOOSE(CONTROL!$C$9, $C$13, 100%, $E$13) + CHOOSE(CONTROL!$C$28, 0, 0)</f>
        <v>87.564549211396695</v>
      </c>
    </row>
    <row r="84" spans="1:5" ht="15">
      <c r="A84" s="13">
        <v>44044</v>
      </c>
      <c r="B84" s="4">
        <f>15.2326 * CHOOSE(CONTROL!$C$9, $C$13, 100%, $E$13) + CHOOSE(CONTROL!$C$28, 0.0202, 0)</f>
        <v>15.252800000000001</v>
      </c>
      <c r="C84" s="4">
        <f>14.9201 * CHOOSE(CONTROL!$C$9, $C$13, 100%, $E$13) + CHOOSE(CONTROL!$C$28, 0.0202, 0)</f>
        <v>14.940300000000001</v>
      </c>
      <c r="D84" s="4">
        <f>19.321 * CHOOSE(CONTROL!$C$9, $C$13, 100%, $E$13) + CHOOSE(CONTROL!$C$28, 0, 0)</f>
        <v>19.321000000000002</v>
      </c>
      <c r="E84" s="4">
        <f>89.6610278395092 * CHOOSE(CONTROL!$C$9, $C$13, 100%, $E$13) + CHOOSE(CONTROL!$C$28, 0, 0)</f>
        <v>89.661027839509202</v>
      </c>
    </row>
    <row r="85" spans="1:5" ht="15">
      <c r="A85" s="13">
        <v>44075</v>
      </c>
      <c r="B85" s="4">
        <f>14.7003 * CHOOSE(CONTROL!$C$9, $C$13, 100%, $E$13) + CHOOSE(CONTROL!$C$28, 0.0202, 0)</f>
        <v>14.720500000000001</v>
      </c>
      <c r="C85" s="4">
        <f>14.3878 * CHOOSE(CONTROL!$C$9, $C$13, 100%, $E$13) + CHOOSE(CONTROL!$C$28, 0.0202, 0)</f>
        <v>14.408000000000001</v>
      </c>
      <c r="D85" s="4">
        <f>19.2263 * CHOOSE(CONTROL!$C$9, $C$13, 100%, $E$13) + CHOOSE(CONTROL!$C$28, 0, 0)</f>
        <v>19.226299999999998</v>
      </c>
      <c r="E85" s="4">
        <f>86.087959612859 * CHOOSE(CONTROL!$C$9, $C$13, 100%, $E$13) + CHOOSE(CONTROL!$C$28, 0, 0)</f>
        <v>86.087959612858995</v>
      </c>
    </row>
    <row r="86" spans="1:5" ht="15">
      <c r="A86" s="13">
        <v>44105</v>
      </c>
      <c r="B86" s="4">
        <f>14.2741 * CHOOSE(CONTROL!$C$9, $C$13, 100%, $E$13) + CHOOSE(CONTROL!$C$28, 0.0003, 0)</f>
        <v>14.2744</v>
      </c>
      <c r="C86" s="4">
        <f>13.9616 * CHOOSE(CONTROL!$C$9, $C$13, 100%, $E$13) + CHOOSE(CONTROL!$C$28, 0.0003, 0)</f>
        <v>13.9619</v>
      </c>
      <c r="D86" s="4">
        <f>18.9728 * CHOOSE(CONTROL!$C$9, $C$13, 100%, $E$13) + CHOOSE(CONTROL!$C$28, 0, 0)</f>
        <v>18.972799999999999</v>
      </c>
      <c r="E86" s="4">
        <f>83.2276476861318 * CHOOSE(CONTROL!$C$9, $C$13, 100%, $E$13) + CHOOSE(CONTROL!$C$28, 0, 0)</f>
        <v>83.227647686131803</v>
      </c>
    </row>
    <row r="87" spans="1:5" ht="15">
      <c r="A87" s="13">
        <v>44136</v>
      </c>
      <c r="B87" s="4">
        <f>13.9997 * CHOOSE(CONTROL!$C$9, $C$13, 100%, $E$13) + CHOOSE(CONTROL!$C$28, 0.0003, 0)</f>
        <v>14</v>
      </c>
      <c r="C87" s="4">
        <f>13.6872 * CHOOSE(CONTROL!$C$9, $C$13, 100%, $E$13) + CHOOSE(CONTROL!$C$28, 0.0003, 0)</f>
        <v>13.6875</v>
      </c>
      <c r="D87" s="4">
        <f>18.8856 * CHOOSE(CONTROL!$C$9, $C$13, 100%, $E$13) + CHOOSE(CONTROL!$C$28, 0, 0)</f>
        <v>18.8856</v>
      </c>
      <c r="E87" s="4">
        <f>81.3853932105977 * CHOOSE(CONTROL!$C$9, $C$13, 100%, $E$13) + CHOOSE(CONTROL!$C$28, 0, 0)</f>
        <v>81.385393210597698</v>
      </c>
    </row>
    <row r="88" spans="1:5" ht="15">
      <c r="A88" s="13">
        <v>44166</v>
      </c>
      <c r="B88" s="4">
        <f>13.8098 * CHOOSE(CONTROL!$C$9, $C$13, 100%, $E$13) + CHOOSE(CONTROL!$C$28, 0.0003, 0)</f>
        <v>13.810099999999998</v>
      </c>
      <c r="C88" s="4">
        <f>13.4973 * CHOOSE(CONTROL!$C$9, $C$13, 100%, $E$13) + CHOOSE(CONTROL!$C$28, 0.0003, 0)</f>
        <v>13.497599999999998</v>
      </c>
      <c r="D88" s="4">
        <f>18.2437 * CHOOSE(CONTROL!$C$9, $C$13, 100%, $E$13) + CHOOSE(CONTROL!$C$28, 0, 0)</f>
        <v>18.2437</v>
      </c>
      <c r="E88" s="4">
        <f>80.1107899250676 * CHOOSE(CONTROL!$C$9, $C$13, 100%, $E$13) + CHOOSE(CONTROL!$C$28, 0, 0)</f>
        <v>80.110789925067607</v>
      </c>
    </row>
    <row r="89" spans="1:5" ht="15">
      <c r="A89" s="13">
        <v>44197</v>
      </c>
      <c r="B89" s="4">
        <f>13.7765 * CHOOSE(CONTROL!$C$9, $C$13, 100%, $E$13) + CHOOSE(CONTROL!$C$28, 0.0003, 0)</f>
        <v>13.7768</v>
      </c>
      <c r="C89" s="4">
        <f>13.464 * CHOOSE(CONTROL!$C$9, $C$13, 100%, $E$13) + CHOOSE(CONTROL!$C$28, 0.0003, 0)</f>
        <v>13.4643</v>
      </c>
      <c r="D89" s="4">
        <f>17.8957 * CHOOSE(CONTROL!$C$9, $C$13, 100%, $E$13) + CHOOSE(CONTROL!$C$28, 0, 0)</f>
        <v>17.895700000000001</v>
      </c>
      <c r="E89" s="4">
        <f>78.4971529461751 * CHOOSE(CONTROL!$C$9, $C$13, 100%, $E$13) + CHOOSE(CONTROL!$C$28, 0, 0)</f>
        <v>78.497152946175106</v>
      </c>
    </row>
    <row r="90" spans="1:5" ht="15">
      <c r="A90" s="13">
        <v>44228</v>
      </c>
      <c r="B90" s="4">
        <f>14.0591 * CHOOSE(CONTROL!$C$9, $C$13, 100%, $E$13) + CHOOSE(CONTROL!$C$28, 0.0003, 0)</f>
        <v>14.0594</v>
      </c>
      <c r="C90" s="4">
        <f>13.7466 * CHOOSE(CONTROL!$C$9, $C$13, 100%, $E$13) + CHOOSE(CONTROL!$C$28, 0.0003, 0)</f>
        <v>13.7469</v>
      </c>
      <c r="D90" s="4">
        <f>18.4983 * CHOOSE(CONTROL!$C$9, $C$13, 100%, $E$13) + CHOOSE(CONTROL!$C$28, 0, 0)</f>
        <v>18.4983</v>
      </c>
      <c r="E90" s="4">
        <f>80.3609847072885 * CHOOSE(CONTROL!$C$9, $C$13, 100%, $E$13) + CHOOSE(CONTROL!$C$28, 0, 0)</f>
        <v>80.360984707288495</v>
      </c>
    </row>
    <row r="91" spans="1:5" ht="15">
      <c r="A91" s="13">
        <v>44256</v>
      </c>
      <c r="B91" s="4">
        <f>14.8012 * CHOOSE(CONTROL!$C$9, $C$13, 100%, $E$13) + CHOOSE(CONTROL!$C$28, 0.0003, 0)</f>
        <v>14.801499999999999</v>
      </c>
      <c r="C91" s="4">
        <f>14.4887 * CHOOSE(CONTROL!$C$9, $C$13, 100%, $E$13) + CHOOSE(CONTROL!$C$28, 0.0003, 0)</f>
        <v>14.488999999999999</v>
      </c>
      <c r="D91" s="4">
        <f>19.4415 * CHOOSE(CONTROL!$C$9, $C$13, 100%, $E$13) + CHOOSE(CONTROL!$C$28, 0, 0)</f>
        <v>19.441500000000001</v>
      </c>
      <c r="E91" s="4">
        <f>85.2555059620072 * CHOOSE(CONTROL!$C$9, $C$13, 100%, $E$13) + CHOOSE(CONTROL!$C$28, 0, 0)</f>
        <v>85.255505962007206</v>
      </c>
    </row>
    <row r="92" spans="1:5" ht="15">
      <c r="A92" s="13">
        <v>44287</v>
      </c>
      <c r="B92" s="4">
        <f>15.3285 * CHOOSE(CONTROL!$C$9, $C$13, 100%, $E$13) + CHOOSE(CONTROL!$C$28, 0.0003, 0)</f>
        <v>15.328799999999999</v>
      </c>
      <c r="C92" s="4">
        <f>15.016 * CHOOSE(CONTROL!$C$9, $C$13, 100%, $E$13) + CHOOSE(CONTROL!$C$28, 0.0003, 0)</f>
        <v>15.016299999999999</v>
      </c>
      <c r="D92" s="4">
        <f>19.9849 * CHOOSE(CONTROL!$C$9, $C$13, 100%, $E$13) + CHOOSE(CONTROL!$C$28, 0, 0)</f>
        <v>19.9849</v>
      </c>
      <c r="E92" s="4">
        <f>88.733128541557 * CHOOSE(CONTROL!$C$9, $C$13, 100%, $E$13) + CHOOSE(CONTROL!$C$28, 0, 0)</f>
        <v>88.733128541556994</v>
      </c>
    </row>
    <row r="93" spans="1:5" ht="15">
      <c r="A93" s="13">
        <v>44317</v>
      </c>
      <c r="B93" s="4">
        <f>15.6507 * CHOOSE(CONTROL!$C$9, $C$13, 100%, $E$13) + CHOOSE(CONTROL!$C$28, 0.0202, 0)</f>
        <v>15.670900000000001</v>
      </c>
      <c r="C93" s="4">
        <f>15.3382 * CHOOSE(CONTROL!$C$9, $C$13, 100%, $E$13) + CHOOSE(CONTROL!$C$28, 0.0202, 0)</f>
        <v>15.358400000000001</v>
      </c>
      <c r="D93" s="4">
        <f>19.7702 * CHOOSE(CONTROL!$C$9, $C$13, 100%, $E$13) + CHOOSE(CONTROL!$C$28, 0, 0)</f>
        <v>19.770199999999999</v>
      </c>
      <c r="E93" s="4">
        <f>90.857872590681 * CHOOSE(CONTROL!$C$9, $C$13, 100%, $E$13) + CHOOSE(CONTROL!$C$28, 0, 0)</f>
        <v>90.857872590680998</v>
      </c>
    </row>
    <row r="94" spans="1:5" ht="15">
      <c r="A94" s="13">
        <v>44348</v>
      </c>
      <c r="B94" s="4">
        <f>15.6942 * CHOOSE(CONTROL!$C$9, $C$13, 100%, $E$13) + CHOOSE(CONTROL!$C$28, 0.0202, 0)</f>
        <v>15.714400000000001</v>
      </c>
      <c r="C94" s="4">
        <f>15.3817 * CHOOSE(CONTROL!$C$9, $C$13, 100%, $E$13) + CHOOSE(CONTROL!$C$28, 0.0202, 0)</f>
        <v>15.401900000000001</v>
      </c>
      <c r="D94" s="4">
        <f>19.9451 * CHOOSE(CONTROL!$C$9, $C$13, 100%, $E$13) + CHOOSE(CONTROL!$C$28, 0, 0)</f>
        <v>19.9451</v>
      </c>
      <c r="E94" s="4">
        <f>91.1453592783964 * CHOOSE(CONTROL!$C$9, $C$13, 100%, $E$13) + CHOOSE(CONTROL!$C$28, 0, 0)</f>
        <v>91.145359278396398</v>
      </c>
    </row>
    <row r="95" spans="1:5" ht="15">
      <c r="A95" s="13">
        <v>44378</v>
      </c>
      <c r="B95" s="4">
        <f>15.6898 * CHOOSE(CONTROL!$C$9, $C$13, 100%, $E$13) + CHOOSE(CONTROL!$C$28, 0.0202, 0)</f>
        <v>15.71</v>
      </c>
      <c r="C95" s="4">
        <f>15.3773 * CHOOSE(CONTROL!$C$9, $C$13, 100%, $E$13) + CHOOSE(CONTROL!$C$28, 0.0202, 0)</f>
        <v>15.397500000000001</v>
      </c>
      <c r="D95" s="4">
        <f>20.2606 * CHOOSE(CONTROL!$C$9, $C$13, 100%, $E$13) + CHOOSE(CONTROL!$C$28, 0, 0)</f>
        <v>20.2606</v>
      </c>
      <c r="E95" s="4">
        <f>91.116369024173 * CHOOSE(CONTROL!$C$9, $C$13, 100%, $E$13) + CHOOSE(CONTROL!$C$28, 0, 0)</f>
        <v>91.116369024172997</v>
      </c>
    </row>
    <row r="96" spans="1:5" ht="15">
      <c r="A96" s="13">
        <v>44409</v>
      </c>
      <c r="B96" s="4">
        <f>16.0206 * CHOOSE(CONTROL!$C$9, $C$13, 100%, $E$13) + CHOOSE(CONTROL!$C$28, 0.0202, 0)</f>
        <v>16.040800000000001</v>
      </c>
      <c r="C96" s="4">
        <f>15.7081 * CHOOSE(CONTROL!$C$9, $C$13, 100%, $E$13) + CHOOSE(CONTROL!$C$28, 0.0202, 0)</f>
        <v>15.728300000000001</v>
      </c>
      <c r="D96" s="4">
        <f>20.0522 * CHOOSE(CONTROL!$C$9, $C$13, 100%, $E$13) + CHOOSE(CONTROL!$C$28, 0, 0)</f>
        <v>20.052199999999999</v>
      </c>
      <c r="E96" s="4">
        <f>93.2978856544845 * CHOOSE(CONTROL!$C$9, $C$13, 100%, $E$13) + CHOOSE(CONTROL!$C$28, 0, 0)</f>
        <v>93.297885654484503</v>
      </c>
    </row>
    <row r="97" spans="1:5" ht="15">
      <c r="A97" s="13">
        <v>44440</v>
      </c>
      <c r="B97" s="4">
        <f>15.4569 * CHOOSE(CONTROL!$C$9, $C$13, 100%, $E$13) + CHOOSE(CONTROL!$C$28, 0.0202, 0)</f>
        <v>15.4771</v>
      </c>
      <c r="C97" s="4">
        <f>15.1444 * CHOOSE(CONTROL!$C$9, $C$13, 100%, $E$13) + CHOOSE(CONTROL!$C$28, 0.0202, 0)</f>
        <v>15.1646</v>
      </c>
      <c r="D97" s="4">
        <f>19.9538 * CHOOSE(CONTROL!$C$9, $C$13, 100%, $E$13) + CHOOSE(CONTROL!$C$28, 0, 0)</f>
        <v>19.953800000000001</v>
      </c>
      <c r="E97" s="4">
        <f>89.5798855503324 * CHOOSE(CONTROL!$C$9, $C$13, 100%, $E$13) + CHOOSE(CONTROL!$C$28, 0, 0)</f>
        <v>89.579885550332406</v>
      </c>
    </row>
    <row r="98" spans="1:5" ht="15">
      <c r="A98" s="13">
        <v>44470</v>
      </c>
      <c r="B98" s="4">
        <f>15.0056 * CHOOSE(CONTROL!$C$9, $C$13, 100%, $E$13) + CHOOSE(CONTROL!$C$28, 0.0003, 0)</f>
        <v>15.005899999999999</v>
      </c>
      <c r="C98" s="4">
        <f>14.6931 * CHOOSE(CONTROL!$C$9, $C$13, 100%, $E$13) + CHOOSE(CONTROL!$C$28, 0.0003, 0)</f>
        <v>14.693399999999999</v>
      </c>
      <c r="D98" s="4">
        <f>19.6901 * CHOOSE(CONTROL!$C$9, $C$13, 100%, $E$13) + CHOOSE(CONTROL!$C$28, 0, 0)</f>
        <v>19.690100000000001</v>
      </c>
      <c r="E98" s="4">
        <f>86.6035527833958 * CHOOSE(CONTROL!$C$9, $C$13, 100%, $E$13) + CHOOSE(CONTROL!$C$28, 0, 0)</f>
        <v>86.603552783395799</v>
      </c>
    </row>
    <row r="99" spans="1:5" ht="15">
      <c r="A99" s="13">
        <v>44501</v>
      </c>
      <c r="B99" s="4">
        <f>14.715 * CHOOSE(CONTROL!$C$9, $C$13, 100%, $E$13) + CHOOSE(CONTROL!$C$28, 0.0003, 0)</f>
        <v>14.715299999999999</v>
      </c>
      <c r="C99" s="4">
        <f>14.4025 * CHOOSE(CONTROL!$C$9, $C$13, 100%, $E$13) + CHOOSE(CONTROL!$C$28, 0.0003, 0)</f>
        <v>14.402799999999999</v>
      </c>
      <c r="D99" s="4">
        <f>19.5995 * CHOOSE(CONTROL!$C$9, $C$13, 100%, $E$13) + CHOOSE(CONTROL!$C$28, 0, 0)</f>
        <v>19.599499999999999</v>
      </c>
      <c r="E99" s="4">
        <f>84.6865722228729 * CHOOSE(CONTROL!$C$9, $C$13, 100%, $E$13) + CHOOSE(CONTROL!$C$28, 0, 0)</f>
        <v>84.686572222872897</v>
      </c>
    </row>
    <row r="100" spans="1:5" ht="15">
      <c r="A100" s="13">
        <v>44531</v>
      </c>
      <c r="B100" s="4">
        <f>14.5139 * CHOOSE(CONTROL!$C$9, $C$13, 100%, $E$13) + CHOOSE(CONTROL!$C$28, 0.0003, 0)</f>
        <v>14.514199999999999</v>
      </c>
      <c r="C100" s="4">
        <f>14.2014 * CHOOSE(CONTROL!$C$9, $C$13, 100%, $E$13) + CHOOSE(CONTROL!$C$28, 0.0003, 0)</f>
        <v>14.201699999999999</v>
      </c>
      <c r="D100" s="4">
        <f>18.9323 * CHOOSE(CONTROL!$C$9, $C$13, 100%, $E$13) + CHOOSE(CONTROL!$C$28, 0, 0)</f>
        <v>18.932300000000001</v>
      </c>
      <c r="E100" s="4">
        <f>83.3602680921519 * CHOOSE(CONTROL!$C$9, $C$13, 100%, $E$13) + CHOOSE(CONTROL!$C$28, 0, 0)</f>
        <v>83.360268092151898</v>
      </c>
    </row>
    <row r="101" spans="1:5" ht="15">
      <c r="A101" s="13">
        <v>44562</v>
      </c>
      <c r="B101" s="4">
        <f>14.2688 * CHOOSE(CONTROL!$C$9, $C$13, 100%, $E$13) + CHOOSE(CONTROL!$C$28, 0.0003, 0)</f>
        <v>14.2691</v>
      </c>
      <c r="C101" s="4">
        <f>13.9563 * CHOOSE(CONTROL!$C$9, $C$13, 100%, $E$13) + CHOOSE(CONTROL!$C$28, 0.0003, 0)</f>
        <v>13.9566</v>
      </c>
      <c r="D101" s="4">
        <f>18.5825 * CHOOSE(CONTROL!$C$9, $C$13, 100%, $E$13) + CHOOSE(CONTROL!$C$28, 0, 0)</f>
        <v>18.5825</v>
      </c>
      <c r="E101" s="4">
        <f>81.5745338662004 * CHOOSE(CONTROL!$C$9, $C$13, 100%, $E$13) + CHOOSE(CONTROL!$C$28, 0, 0)</f>
        <v>81.574533866200397</v>
      </c>
    </row>
    <row r="102" spans="1:5" ht="15">
      <c r="A102" s="13">
        <v>44593</v>
      </c>
      <c r="B102" s="4">
        <f>14.5631 * CHOOSE(CONTROL!$C$9, $C$13, 100%, $E$13) + CHOOSE(CONTROL!$C$28, 0.0003, 0)</f>
        <v>14.5634</v>
      </c>
      <c r="C102" s="4">
        <f>14.2506 * CHOOSE(CONTROL!$C$9, $C$13, 100%, $E$13) + CHOOSE(CONTROL!$C$28, 0.0003, 0)</f>
        <v>14.2509</v>
      </c>
      <c r="D102" s="4">
        <f>19.2093 * CHOOSE(CONTROL!$C$9, $C$13, 100%, $E$13) + CHOOSE(CONTROL!$C$28, 0, 0)</f>
        <v>19.209299999999999</v>
      </c>
      <c r="E102" s="4">
        <f>83.5114347780346 * CHOOSE(CONTROL!$C$9, $C$13, 100%, $E$13) + CHOOSE(CONTROL!$C$28, 0, 0)</f>
        <v>83.511434778034598</v>
      </c>
    </row>
    <row r="103" spans="1:5" ht="15">
      <c r="A103" s="13">
        <v>44621</v>
      </c>
      <c r="B103" s="4">
        <f>15.3359 * CHOOSE(CONTROL!$C$9, $C$13, 100%, $E$13) + CHOOSE(CONTROL!$C$28, 0.0003, 0)</f>
        <v>15.3362</v>
      </c>
      <c r="C103" s="4">
        <f>15.0234 * CHOOSE(CONTROL!$C$9, $C$13, 100%, $E$13) + CHOOSE(CONTROL!$C$28, 0.0003, 0)</f>
        <v>15.0237</v>
      </c>
      <c r="D103" s="4">
        <f>20.1906 * CHOOSE(CONTROL!$C$9, $C$13, 100%, $E$13) + CHOOSE(CONTROL!$C$28, 0, 0)</f>
        <v>20.1906</v>
      </c>
      <c r="E103" s="4">
        <f>88.597839505677 * CHOOSE(CONTROL!$C$9, $C$13, 100%, $E$13) + CHOOSE(CONTROL!$C$28, 0, 0)</f>
        <v>88.597839505677001</v>
      </c>
    </row>
    <row r="104" spans="1:5" ht="15">
      <c r="A104" s="13">
        <v>44652</v>
      </c>
      <c r="B104" s="4">
        <f>15.8849 * CHOOSE(CONTROL!$C$9, $C$13, 100%, $E$13) + CHOOSE(CONTROL!$C$28, 0.0003, 0)</f>
        <v>15.885199999999999</v>
      </c>
      <c r="C104" s="4">
        <f>15.5724 * CHOOSE(CONTROL!$C$9, $C$13, 100%, $E$13) + CHOOSE(CONTROL!$C$28, 0.0003, 0)</f>
        <v>15.572699999999999</v>
      </c>
      <c r="D104" s="4">
        <f>20.7558 * CHOOSE(CONTROL!$C$9, $C$13, 100%, $E$13) + CHOOSE(CONTROL!$C$28, 0, 0)</f>
        <v>20.755800000000001</v>
      </c>
      <c r="E104" s="4">
        <f>92.2117978499225 * CHOOSE(CONTROL!$C$9, $C$13, 100%, $E$13) + CHOOSE(CONTROL!$C$28, 0, 0)</f>
        <v>92.211797849922505</v>
      </c>
    </row>
    <row r="105" spans="1:5" ht="15">
      <c r="A105" s="13">
        <v>44682</v>
      </c>
      <c r="B105" s="4">
        <f>16.2204 * CHOOSE(CONTROL!$C$9, $C$13, 100%, $E$13) + CHOOSE(CONTROL!$C$28, 0.0202, 0)</f>
        <v>16.240600000000001</v>
      </c>
      <c r="C105" s="4">
        <f>15.9079 * CHOOSE(CONTROL!$C$9, $C$13, 100%, $E$13) + CHOOSE(CONTROL!$C$28, 0.0202, 0)</f>
        <v>15.928100000000001</v>
      </c>
      <c r="D105" s="4">
        <f>20.5324 * CHOOSE(CONTROL!$C$9, $C$13, 100%, $E$13) + CHOOSE(CONTROL!$C$28, 0, 0)</f>
        <v>20.532399999999999</v>
      </c>
      <c r="E105" s="4">
        <f>94.4198397837633 * CHOOSE(CONTROL!$C$9, $C$13, 100%, $E$13) + CHOOSE(CONTROL!$C$28, 0, 0)</f>
        <v>94.419839783763294</v>
      </c>
    </row>
    <row r="106" spans="1:5" ht="15">
      <c r="A106" s="13">
        <v>44713</v>
      </c>
      <c r="B106" s="4">
        <f>16.2658 * CHOOSE(CONTROL!$C$9, $C$13, 100%, $E$13) + CHOOSE(CONTROL!$C$28, 0.0202, 0)</f>
        <v>16.285999999999998</v>
      </c>
      <c r="C106" s="4">
        <f>15.9533 * CHOOSE(CONTROL!$C$9, $C$13, 100%, $E$13) + CHOOSE(CONTROL!$C$28, 0.0202, 0)</f>
        <v>15.973500000000001</v>
      </c>
      <c r="D106" s="4">
        <f>20.7143 * CHOOSE(CONTROL!$C$9, $C$13, 100%, $E$13) + CHOOSE(CONTROL!$C$28, 0, 0)</f>
        <v>20.714300000000001</v>
      </c>
      <c r="E106" s="4">
        <f>94.7185970209743 * CHOOSE(CONTROL!$C$9, $C$13, 100%, $E$13) + CHOOSE(CONTROL!$C$28, 0, 0)</f>
        <v>94.7185970209743</v>
      </c>
    </row>
    <row r="107" spans="1:5" ht="15">
      <c r="A107" s="13">
        <v>44743</v>
      </c>
      <c r="B107" s="4">
        <f>16.2612 * CHOOSE(CONTROL!$C$9, $C$13, 100%, $E$13) + CHOOSE(CONTROL!$C$28, 0.0202, 0)</f>
        <v>16.281399999999998</v>
      </c>
      <c r="C107" s="4">
        <f>15.9487 * CHOOSE(CONTROL!$C$9, $C$13, 100%, $E$13) + CHOOSE(CONTROL!$C$28, 0.0202, 0)</f>
        <v>15.968900000000001</v>
      </c>
      <c r="D107" s="4">
        <f>21.0426 * CHOOSE(CONTROL!$C$9, $C$13, 100%, $E$13) + CHOOSE(CONTROL!$C$28, 0, 0)</f>
        <v>21.0426</v>
      </c>
      <c r="E107" s="4">
        <f>94.6884702407514 * CHOOSE(CONTROL!$C$9, $C$13, 100%, $E$13) + CHOOSE(CONTROL!$C$28, 0, 0)</f>
        <v>94.6884702407514</v>
      </c>
    </row>
    <row r="108" spans="1:5" ht="15">
      <c r="A108" s="13">
        <v>44774</v>
      </c>
      <c r="B108" s="4">
        <f>16.6057 * CHOOSE(CONTROL!$C$9, $C$13, 100%, $E$13) + CHOOSE(CONTROL!$C$28, 0.0202, 0)</f>
        <v>16.625899999999998</v>
      </c>
      <c r="C108" s="4">
        <f>16.2932 * CHOOSE(CONTROL!$C$9, $C$13, 100%, $E$13) + CHOOSE(CONTROL!$C$28, 0.0202, 0)</f>
        <v>16.313399999999998</v>
      </c>
      <c r="D108" s="4">
        <f>20.8258 * CHOOSE(CONTROL!$C$9, $C$13, 100%, $E$13) + CHOOSE(CONTROL!$C$28, 0, 0)</f>
        <v>20.825800000000001</v>
      </c>
      <c r="E108" s="4">
        <f>96.9555104525288 * CHOOSE(CONTROL!$C$9, $C$13, 100%, $E$13) + CHOOSE(CONTROL!$C$28, 0, 0)</f>
        <v>96.955510452528799</v>
      </c>
    </row>
    <row r="109" spans="1:5" ht="15">
      <c r="A109" s="13">
        <v>44805</v>
      </c>
      <c r="B109" s="4">
        <f>16.0186 * CHOOSE(CONTROL!$C$9, $C$13, 100%, $E$13) + CHOOSE(CONTROL!$C$28, 0.0202, 0)</f>
        <v>16.038799999999998</v>
      </c>
      <c r="C109" s="4">
        <f>15.7061 * CHOOSE(CONTROL!$C$9, $C$13, 100%, $E$13) + CHOOSE(CONTROL!$C$28, 0.0202, 0)</f>
        <v>15.7263</v>
      </c>
      <c r="D109" s="4">
        <f>20.7234 * CHOOSE(CONTROL!$C$9, $C$13, 100%, $E$13) + CHOOSE(CONTROL!$C$28, 0, 0)</f>
        <v>20.723400000000002</v>
      </c>
      <c r="E109" s="4">
        <f>93.0917508889347 * CHOOSE(CONTROL!$C$9, $C$13, 100%, $E$13) + CHOOSE(CONTROL!$C$28, 0, 0)</f>
        <v>93.091750888934698</v>
      </c>
    </row>
    <row r="110" spans="1:5" ht="15">
      <c r="A110" s="13">
        <v>44835</v>
      </c>
      <c r="B110" s="4">
        <f>15.5487 * CHOOSE(CONTROL!$C$9, $C$13, 100%, $E$13) + CHOOSE(CONTROL!$C$28, 0.0003, 0)</f>
        <v>15.548999999999999</v>
      </c>
      <c r="C110" s="4">
        <f>15.2362 * CHOOSE(CONTROL!$C$9, $C$13, 100%, $E$13) + CHOOSE(CONTROL!$C$28, 0.0003, 0)</f>
        <v>15.236499999999999</v>
      </c>
      <c r="D110" s="4">
        <f>20.4492 * CHOOSE(CONTROL!$C$9, $C$13, 100%, $E$13) + CHOOSE(CONTROL!$C$28, 0, 0)</f>
        <v>20.449200000000001</v>
      </c>
      <c r="E110" s="4">
        <f>89.9987347860445 * CHOOSE(CONTROL!$C$9, $C$13, 100%, $E$13) + CHOOSE(CONTROL!$C$28, 0, 0)</f>
        <v>89.998734786044494</v>
      </c>
    </row>
    <row r="111" spans="1:5" ht="15">
      <c r="A111" s="13">
        <v>44866</v>
      </c>
      <c r="B111" s="4">
        <f>15.246 * CHOOSE(CONTROL!$C$9, $C$13, 100%, $E$13) + CHOOSE(CONTROL!$C$28, 0.0003, 0)</f>
        <v>15.2463</v>
      </c>
      <c r="C111" s="4">
        <f>14.9335 * CHOOSE(CONTROL!$C$9, $C$13, 100%, $E$13) + CHOOSE(CONTROL!$C$28, 0.0003, 0)</f>
        <v>14.9338</v>
      </c>
      <c r="D111" s="4">
        <f>20.3549 * CHOOSE(CONTROL!$C$9, $C$13, 100%, $E$13) + CHOOSE(CONTROL!$C$28, 0, 0)</f>
        <v>20.354900000000001</v>
      </c>
      <c r="E111" s="4">
        <f>88.0066014438015 * CHOOSE(CONTROL!$C$9, $C$13, 100%, $E$13) + CHOOSE(CONTROL!$C$28, 0, 0)</f>
        <v>88.0066014438015</v>
      </c>
    </row>
    <row r="112" spans="1:5" ht="15">
      <c r="A112" s="13">
        <v>44896</v>
      </c>
      <c r="B112" s="4">
        <f>15.0366 * CHOOSE(CONTROL!$C$9, $C$13, 100%, $E$13) + CHOOSE(CONTROL!$C$28, 0.0003, 0)</f>
        <v>15.036899999999999</v>
      </c>
      <c r="C112" s="4">
        <f>14.7241 * CHOOSE(CONTROL!$C$9, $C$13, 100%, $E$13) + CHOOSE(CONTROL!$C$28, 0.0003, 0)</f>
        <v>14.724399999999999</v>
      </c>
      <c r="D112" s="4">
        <f>19.6609 * CHOOSE(CONTROL!$C$9, $C$13, 100%, $E$13) + CHOOSE(CONTROL!$C$28, 0, 0)</f>
        <v>19.660900000000002</v>
      </c>
      <c r="E112" s="4">
        <f>86.6283012486013 * CHOOSE(CONTROL!$C$9, $C$13, 100%, $E$13) + CHOOSE(CONTROL!$C$28, 0, 0)</f>
        <v>86.628301248601304</v>
      </c>
    </row>
    <row r="113" spans="1:5" ht="15">
      <c r="A113" s="13">
        <v>44927</v>
      </c>
      <c r="B113" s="4">
        <f>14.8408 * CHOOSE(CONTROL!$C$9, $C$13, 100%, $E$13) + CHOOSE(CONTROL!$C$28, 0.0003, 0)</f>
        <v>14.841099999999999</v>
      </c>
      <c r="C113" s="4">
        <f>14.5283 * CHOOSE(CONTROL!$C$9, $C$13, 100%, $E$13) + CHOOSE(CONTROL!$C$28, 0.0003, 0)</f>
        <v>14.528599999999999</v>
      </c>
      <c r="D113" s="4">
        <f>19.3555 * CHOOSE(CONTROL!$C$9, $C$13, 100%, $E$13) + CHOOSE(CONTROL!$C$28, 0, 0)</f>
        <v>19.355499999999999</v>
      </c>
      <c r="E113" s="4">
        <f>84.7897734403928 * CHOOSE(CONTROL!$C$9, $C$13, 100%, $E$13) + CHOOSE(CONTROL!$C$28, 0, 0)</f>
        <v>84.789773440392807</v>
      </c>
    </row>
    <row r="114" spans="1:5" ht="15">
      <c r="A114" s="13">
        <v>44958</v>
      </c>
      <c r="B114" s="4">
        <f>15.1486 * CHOOSE(CONTROL!$C$9, $C$13, 100%, $E$13) + CHOOSE(CONTROL!$C$28, 0.0003, 0)</f>
        <v>15.148899999999999</v>
      </c>
      <c r="C114" s="4">
        <f>14.8361 * CHOOSE(CONTROL!$C$9, $C$13, 100%, $E$13) + CHOOSE(CONTROL!$C$28, 0.0003, 0)</f>
        <v>14.836399999999999</v>
      </c>
      <c r="D114" s="4">
        <f>20.0096 * CHOOSE(CONTROL!$C$9, $C$13, 100%, $E$13) + CHOOSE(CONTROL!$C$28, 0, 0)</f>
        <v>20.009599999999999</v>
      </c>
      <c r="E114" s="4">
        <f>86.8030168106864 * CHOOSE(CONTROL!$C$9, $C$13, 100%, $E$13) + CHOOSE(CONTROL!$C$28, 0, 0)</f>
        <v>86.803016810686401</v>
      </c>
    </row>
    <row r="115" spans="1:5" ht="15">
      <c r="A115" s="13">
        <v>44986</v>
      </c>
      <c r="B115" s="4">
        <f>15.9571 * CHOOSE(CONTROL!$C$9, $C$13, 100%, $E$13) + CHOOSE(CONTROL!$C$28, 0.0003, 0)</f>
        <v>15.9574</v>
      </c>
      <c r="C115" s="4">
        <f>15.6446 * CHOOSE(CONTROL!$C$9, $C$13, 100%, $E$13) + CHOOSE(CONTROL!$C$28, 0.0003, 0)</f>
        <v>15.6449</v>
      </c>
      <c r="D115" s="4">
        <f>21.0336 * CHOOSE(CONTROL!$C$9, $C$13, 100%, $E$13) + CHOOSE(CONTROL!$C$28, 0, 0)</f>
        <v>21.0336</v>
      </c>
      <c r="E115" s="4">
        <f>92.0899008913276 * CHOOSE(CONTROL!$C$9, $C$13, 100%, $E$13) + CHOOSE(CONTROL!$C$28, 0, 0)</f>
        <v>92.089900891327602</v>
      </c>
    </row>
    <row r="116" spans="1:5" ht="15">
      <c r="A116" s="13">
        <v>45017</v>
      </c>
      <c r="B116" s="4">
        <f>16.5315 * CHOOSE(CONTROL!$C$9, $C$13, 100%, $E$13) + CHOOSE(CONTROL!$C$28, 0.0003, 0)</f>
        <v>16.5318</v>
      </c>
      <c r="C116" s="4">
        <f>16.219 * CHOOSE(CONTROL!$C$9, $C$13, 100%, $E$13) + CHOOSE(CONTROL!$C$28, 0.0003, 0)</f>
        <v>16.2193</v>
      </c>
      <c r="D116" s="4">
        <f>21.6234 * CHOOSE(CONTROL!$C$9, $C$13, 100%, $E$13) + CHOOSE(CONTROL!$C$28, 0, 0)</f>
        <v>21.6234</v>
      </c>
      <c r="E116" s="4">
        <f>95.8463024876174 * CHOOSE(CONTROL!$C$9, $C$13, 100%, $E$13) + CHOOSE(CONTROL!$C$28, 0, 0)</f>
        <v>95.846302487617393</v>
      </c>
    </row>
    <row r="117" spans="1:5" ht="15">
      <c r="A117" s="13">
        <v>45047</v>
      </c>
      <c r="B117" s="4">
        <f>16.8825 * CHOOSE(CONTROL!$C$9, $C$13, 100%, $E$13) + CHOOSE(CONTROL!$C$28, 0.0202, 0)</f>
        <v>16.902699999999999</v>
      </c>
      <c r="C117" s="4">
        <f>16.57 * CHOOSE(CONTROL!$C$9, $C$13, 100%, $E$13) + CHOOSE(CONTROL!$C$28, 0.0202, 0)</f>
        <v>16.590199999999999</v>
      </c>
      <c r="D117" s="4">
        <f>21.3903 * CHOOSE(CONTROL!$C$9, $C$13, 100%, $E$13) + CHOOSE(CONTROL!$C$28, 0, 0)</f>
        <v>21.3903</v>
      </c>
      <c r="E117" s="4">
        <f>98.141373834569 * CHOOSE(CONTROL!$C$9, $C$13, 100%, $E$13) + CHOOSE(CONTROL!$C$28, 0, 0)</f>
        <v>98.141373834568995</v>
      </c>
    </row>
    <row r="118" spans="1:5" ht="15">
      <c r="A118" s="13">
        <v>45078</v>
      </c>
      <c r="B118" s="4">
        <f>16.9299 * CHOOSE(CONTROL!$C$9, $C$13, 100%, $E$13) + CHOOSE(CONTROL!$C$28, 0.0202, 0)</f>
        <v>16.950099999999999</v>
      </c>
      <c r="C118" s="4">
        <f>16.6174 * CHOOSE(CONTROL!$C$9, $C$13, 100%, $E$13) + CHOOSE(CONTROL!$C$28, 0.0202, 0)</f>
        <v>16.637599999999999</v>
      </c>
      <c r="D118" s="4">
        <f>21.5801 * CHOOSE(CONTROL!$C$9, $C$13, 100%, $E$13) + CHOOSE(CONTROL!$C$28, 0, 0)</f>
        <v>21.580100000000002</v>
      </c>
      <c r="E118" s="4">
        <f>98.4519065125534 * CHOOSE(CONTROL!$C$9, $C$13, 100%, $E$13) + CHOOSE(CONTROL!$C$28, 0, 0)</f>
        <v>98.451906512553407</v>
      </c>
    </row>
    <row r="119" spans="1:5" ht="15">
      <c r="A119" s="13">
        <v>45108</v>
      </c>
      <c r="B119" s="4">
        <f>16.9252 * CHOOSE(CONTROL!$C$9, $C$13, 100%, $E$13) + CHOOSE(CONTROL!$C$28, 0.0202, 0)</f>
        <v>16.945399999999999</v>
      </c>
      <c r="C119" s="4">
        <f>16.6127 * CHOOSE(CONTROL!$C$9, $C$13, 100%, $E$13) + CHOOSE(CONTROL!$C$28, 0.0202, 0)</f>
        <v>16.632899999999999</v>
      </c>
      <c r="D119" s="4">
        <f>21.9226 * CHOOSE(CONTROL!$C$9, $C$13, 100%, $E$13) + CHOOSE(CONTROL!$C$28, 0, 0)</f>
        <v>21.922599999999999</v>
      </c>
      <c r="E119" s="4">
        <f>98.4205922929247 * CHOOSE(CONTROL!$C$9, $C$13, 100%, $E$13) + CHOOSE(CONTROL!$C$28, 0, 0)</f>
        <v>98.420592292924695</v>
      </c>
    </row>
    <row r="120" spans="1:5" ht="15">
      <c r="A120" s="13">
        <v>45139</v>
      </c>
      <c r="B120" s="4">
        <f>17.2855 * CHOOSE(CONTROL!$C$9, $C$13, 100%, $E$13) + CHOOSE(CONTROL!$C$28, 0.0202, 0)</f>
        <v>17.305699999999998</v>
      </c>
      <c r="C120" s="4">
        <f>16.973 * CHOOSE(CONTROL!$C$9, $C$13, 100%, $E$13) + CHOOSE(CONTROL!$C$28, 0.0202, 0)</f>
        <v>16.993199999999998</v>
      </c>
      <c r="D120" s="4">
        <f>21.6964 * CHOOSE(CONTROL!$C$9, $C$13, 100%, $E$13) + CHOOSE(CONTROL!$C$28, 0, 0)</f>
        <v>21.696400000000001</v>
      </c>
      <c r="E120" s="4">
        <f>100.776987319982 * CHOOSE(CONTROL!$C$9, $C$13, 100%, $E$13) + CHOOSE(CONTROL!$C$28, 0, 0)</f>
        <v>100.776987319982</v>
      </c>
    </row>
    <row r="121" spans="1:5" ht="15">
      <c r="A121" s="13">
        <v>45170</v>
      </c>
      <c r="B121" s="4">
        <f>16.6714 * CHOOSE(CONTROL!$C$9, $C$13, 100%, $E$13) + CHOOSE(CONTROL!$C$28, 0.0202, 0)</f>
        <v>16.691599999999998</v>
      </c>
      <c r="C121" s="4">
        <f>16.3589 * CHOOSE(CONTROL!$C$9, $C$13, 100%, $E$13) + CHOOSE(CONTROL!$C$28, 0.0202, 0)</f>
        <v>16.379099999999998</v>
      </c>
      <c r="D121" s="4">
        <f>21.5896 * CHOOSE(CONTROL!$C$9, $C$13, 100%, $E$13) + CHOOSE(CONTROL!$C$28, 0, 0)</f>
        <v>21.589600000000001</v>
      </c>
      <c r="E121" s="4">
        <f>96.7609386526049 * CHOOSE(CONTROL!$C$9, $C$13, 100%, $E$13) + CHOOSE(CONTROL!$C$28, 0, 0)</f>
        <v>96.760938652604906</v>
      </c>
    </row>
    <row r="122" spans="1:5" ht="15">
      <c r="A122" s="13">
        <v>45200</v>
      </c>
      <c r="B122" s="4">
        <f>16.1798 * CHOOSE(CONTROL!$C$9, $C$13, 100%, $E$13) + CHOOSE(CONTROL!$C$28, 0.0003, 0)</f>
        <v>16.180099999999999</v>
      </c>
      <c r="C122" s="4">
        <f>15.8673 * CHOOSE(CONTROL!$C$9, $C$13, 100%, $E$13) + CHOOSE(CONTROL!$C$28, 0.0003, 0)</f>
        <v>15.867599999999999</v>
      </c>
      <c r="D122" s="4">
        <f>21.3034 * CHOOSE(CONTROL!$C$9, $C$13, 100%, $E$13) + CHOOSE(CONTROL!$C$28, 0, 0)</f>
        <v>21.3034</v>
      </c>
      <c r="E122" s="4">
        <f>93.546012104061 * CHOOSE(CONTROL!$C$9, $C$13, 100%, $E$13) + CHOOSE(CONTROL!$C$28, 0, 0)</f>
        <v>93.546012104061006</v>
      </c>
    </row>
    <row r="123" spans="1:5" ht="15">
      <c r="A123" s="13">
        <v>45231</v>
      </c>
      <c r="B123" s="4">
        <f>15.8631 * CHOOSE(CONTROL!$C$9, $C$13, 100%, $E$13) + CHOOSE(CONTROL!$C$28, 0.0003, 0)</f>
        <v>15.863399999999999</v>
      </c>
      <c r="C123" s="4">
        <f>15.5506 * CHOOSE(CONTROL!$C$9, $C$13, 100%, $E$13) + CHOOSE(CONTROL!$C$28, 0.0003, 0)</f>
        <v>15.550899999999999</v>
      </c>
      <c r="D123" s="4">
        <f>21.2051 * CHOOSE(CONTROL!$C$9, $C$13, 100%, $E$13) + CHOOSE(CONTROL!$C$28, 0, 0)</f>
        <v>21.205100000000002</v>
      </c>
      <c r="E123" s="4">
        <f>91.4753593311149 * CHOOSE(CONTROL!$C$9, $C$13, 100%, $E$13) + CHOOSE(CONTROL!$C$28, 0, 0)</f>
        <v>91.475359331114902</v>
      </c>
    </row>
    <row r="124" spans="1:5" ht="15">
      <c r="A124" s="13">
        <v>45261</v>
      </c>
      <c r="B124" s="4">
        <f>15.644 * CHOOSE(CONTROL!$C$9, $C$13, 100%, $E$13) + CHOOSE(CONTROL!$C$28, 0.0003, 0)</f>
        <v>15.644299999999999</v>
      </c>
      <c r="C124" s="4">
        <f>15.3315 * CHOOSE(CONTROL!$C$9, $C$13, 100%, $E$13) + CHOOSE(CONTROL!$C$28, 0.0003, 0)</f>
        <v>15.331799999999999</v>
      </c>
      <c r="D124" s="4">
        <f>20.4808 * CHOOSE(CONTROL!$C$9, $C$13, 100%, $E$13) + CHOOSE(CONTROL!$C$28, 0, 0)</f>
        <v>20.480799999999999</v>
      </c>
      <c r="E124" s="4">
        <f>90.042733783103 * CHOOSE(CONTROL!$C$9, $C$13, 100%, $E$13) + CHOOSE(CONTROL!$C$28, 0, 0)</f>
        <v>90.042733783103003</v>
      </c>
    </row>
    <row r="125" spans="1:5" ht="15">
      <c r="A125" s="13">
        <v>45292</v>
      </c>
      <c r="B125" s="4">
        <f>15.3898 * CHOOSE(CONTROL!$C$9, $C$13, 100%, $E$13) + CHOOSE(CONTROL!$C$28, 0.0003, 0)</f>
        <v>15.390099999999999</v>
      </c>
      <c r="C125" s="4">
        <f>15.0773 * CHOOSE(CONTROL!$C$9, $C$13, 100%, $E$13) + CHOOSE(CONTROL!$C$28, 0.0003, 0)</f>
        <v>15.077599999999999</v>
      </c>
      <c r="D125" s="4">
        <f>20.4586 * CHOOSE(CONTROL!$C$9, $C$13, 100%, $E$13) + CHOOSE(CONTROL!$C$28, 0, 0)</f>
        <v>20.458600000000001</v>
      </c>
      <c r="E125" s="4">
        <f>88.0950271330828 * CHOOSE(CONTROL!$C$9, $C$13, 100%, $E$13) + CHOOSE(CONTROL!$C$28, 0, 0)</f>
        <v>88.095027133082795</v>
      </c>
    </row>
    <row r="126" spans="1:5" ht="15">
      <c r="A126" s="13">
        <v>45323</v>
      </c>
      <c r="B126" s="4">
        <f>15.7107 * CHOOSE(CONTROL!$C$9, $C$13, 100%, $E$13) + CHOOSE(CONTROL!$C$28, 0.0003, 0)</f>
        <v>15.710999999999999</v>
      </c>
      <c r="C126" s="4">
        <f>15.3982 * CHOOSE(CONTROL!$C$9, $C$13, 100%, $E$13) + CHOOSE(CONTROL!$C$28, 0.0003, 0)</f>
        <v>15.398499999999999</v>
      </c>
      <c r="D126" s="4">
        <f>21.1516 * CHOOSE(CONTROL!$C$9, $C$13, 100%, $E$13) + CHOOSE(CONTROL!$C$28, 0, 0)</f>
        <v>21.151599999999998</v>
      </c>
      <c r="E126" s="4">
        <f>90.1867502517463 * CHOOSE(CONTROL!$C$9, $C$13, 100%, $E$13) + CHOOSE(CONTROL!$C$28, 0, 0)</f>
        <v>90.186750251746304</v>
      </c>
    </row>
    <row r="127" spans="1:5" ht="15">
      <c r="A127" s="13">
        <v>45352</v>
      </c>
      <c r="B127" s="4">
        <f>16.5534 * CHOOSE(CONTROL!$C$9, $C$13, 100%, $E$13) + CHOOSE(CONTROL!$C$28, 0.0003, 0)</f>
        <v>16.553699999999999</v>
      </c>
      <c r="C127" s="4">
        <f>16.2409 * CHOOSE(CONTROL!$C$9, $C$13, 100%, $E$13) + CHOOSE(CONTROL!$C$28, 0.0003, 0)</f>
        <v>16.241199999999999</v>
      </c>
      <c r="D127" s="4">
        <f>22.2364 * CHOOSE(CONTROL!$C$9, $C$13, 100%, $E$13) + CHOOSE(CONTROL!$C$28, 0, 0)</f>
        <v>22.2364</v>
      </c>
      <c r="E127" s="4">
        <f>95.6797263222741 * CHOOSE(CONTROL!$C$9, $C$13, 100%, $E$13) + CHOOSE(CONTROL!$C$28, 0, 0)</f>
        <v>95.679726322274107</v>
      </c>
    </row>
    <row r="128" spans="1:5" ht="15">
      <c r="A128" s="13">
        <v>45383</v>
      </c>
      <c r="B128" s="4">
        <f>17.1521 * CHOOSE(CONTROL!$C$9, $C$13, 100%, $E$13) + CHOOSE(CONTROL!$C$28, 0.0003, 0)</f>
        <v>17.1524</v>
      </c>
      <c r="C128" s="4">
        <f>16.8396 * CHOOSE(CONTROL!$C$9, $C$13, 100%, $E$13) + CHOOSE(CONTROL!$C$28, 0.0003, 0)</f>
        <v>16.8399</v>
      </c>
      <c r="D128" s="4">
        <f>22.8614 * CHOOSE(CONTROL!$C$9, $C$13, 100%, $E$13) + CHOOSE(CONTROL!$C$28, 0, 0)</f>
        <v>22.8614</v>
      </c>
      <c r="E128" s="4">
        <f>99.5825590239152 * CHOOSE(CONTROL!$C$9, $C$13, 100%, $E$13) + CHOOSE(CONTROL!$C$28, 0, 0)</f>
        <v>99.582559023915195</v>
      </c>
    </row>
    <row r="129" spans="1:5" ht="15">
      <c r="A129" s="13">
        <v>45413</v>
      </c>
      <c r="B129" s="4">
        <f>17.5179 * CHOOSE(CONTROL!$C$9, $C$13, 100%, $E$13) + CHOOSE(CONTROL!$C$28, 0.0202, 0)</f>
        <v>17.5381</v>
      </c>
      <c r="C129" s="4">
        <f>17.2054 * CHOOSE(CONTROL!$C$9, $C$13, 100%, $E$13) + CHOOSE(CONTROL!$C$28, 0.0202, 0)</f>
        <v>17.2256</v>
      </c>
      <c r="D129" s="4">
        <f>22.6144 * CHOOSE(CONTROL!$C$9, $C$13, 100%, $E$13) + CHOOSE(CONTROL!$C$28, 0, 0)</f>
        <v>22.6144</v>
      </c>
      <c r="E129" s="4">
        <f>101.967096266773 * CHOOSE(CONTROL!$C$9, $C$13, 100%, $E$13) + CHOOSE(CONTROL!$C$28, 0, 0)</f>
        <v>101.967096266773</v>
      </c>
    </row>
    <row r="130" spans="1:5" ht="15">
      <c r="A130" s="13">
        <v>45444</v>
      </c>
      <c r="B130" s="4">
        <f>17.5674 * CHOOSE(CONTROL!$C$9, $C$13, 100%, $E$13) + CHOOSE(CONTROL!$C$28, 0.0202, 0)</f>
        <v>17.587599999999998</v>
      </c>
      <c r="C130" s="4">
        <f>17.2549 * CHOOSE(CONTROL!$C$9, $C$13, 100%, $E$13) + CHOOSE(CONTROL!$C$28, 0.0202, 0)</f>
        <v>17.275099999999998</v>
      </c>
      <c r="D130" s="4">
        <f>22.8155 * CHOOSE(CONTROL!$C$9, $C$13, 100%, $E$13) + CHOOSE(CONTROL!$C$28, 0, 0)</f>
        <v>22.8155</v>
      </c>
      <c r="E130" s="4">
        <f>102.289734051764 * CHOOSE(CONTROL!$C$9, $C$13, 100%, $E$13) + CHOOSE(CONTROL!$C$28, 0, 0)</f>
        <v>102.289734051764</v>
      </c>
    </row>
    <row r="131" spans="1:5" ht="15">
      <c r="A131" s="13">
        <v>45474</v>
      </c>
      <c r="B131" s="4">
        <f>17.5624 * CHOOSE(CONTROL!$C$9, $C$13, 100%, $E$13) + CHOOSE(CONTROL!$C$28, 0.0202, 0)</f>
        <v>17.582599999999999</v>
      </c>
      <c r="C131" s="4">
        <f>17.2499 * CHOOSE(CONTROL!$C$9, $C$13, 100%, $E$13) + CHOOSE(CONTROL!$C$28, 0.0202, 0)</f>
        <v>17.270099999999999</v>
      </c>
      <c r="D131" s="4">
        <f>23.1784 * CHOOSE(CONTROL!$C$9, $C$13, 100%, $E$13) + CHOOSE(CONTROL!$C$28, 0, 0)</f>
        <v>23.1784</v>
      </c>
      <c r="E131" s="4">
        <f>102.257199149076 * CHOOSE(CONTROL!$C$9, $C$13, 100%, $E$13) + CHOOSE(CONTROL!$C$28, 0, 0)</f>
        <v>102.257199149076</v>
      </c>
    </row>
    <row r="132" spans="1:5" ht="15">
      <c r="A132" s="13">
        <v>45505</v>
      </c>
      <c r="B132" s="4">
        <f>17.938 * CHOOSE(CONTROL!$C$9, $C$13, 100%, $E$13) + CHOOSE(CONTROL!$C$28, 0.0202, 0)</f>
        <v>17.958199999999998</v>
      </c>
      <c r="C132" s="4">
        <f>17.6255 * CHOOSE(CONTROL!$C$9, $C$13, 100%, $E$13) + CHOOSE(CONTROL!$C$28, 0.0202, 0)</f>
        <v>17.645699999999998</v>
      </c>
      <c r="D132" s="4">
        <f>22.9388 * CHOOSE(CONTROL!$C$9, $C$13, 100%, $E$13) + CHOOSE(CONTROL!$C$28, 0, 0)</f>
        <v>22.938800000000001</v>
      </c>
      <c r="E132" s="4">
        <f>104.705450576365 * CHOOSE(CONTROL!$C$9, $C$13, 100%, $E$13) + CHOOSE(CONTROL!$C$28, 0, 0)</f>
        <v>104.705450576365</v>
      </c>
    </row>
    <row r="133" spans="1:5" ht="15">
      <c r="A133" s="13">
        <v>45536</v>
      </c>
      <c r="B133" s="4">
        <f>17.2979 * CHOOSE(CONTROL!$C$9, $C$13, 100%, $E$13) + CHOOSE(CONTROL!$C$28, 0.0202, 0)</f>
        <v>17.318099999999998</v>
      </c>
      <c r="C133" s="4">
        <f>16.9854 * CHOOSE(CONTROL!$C$9, $C$13, 100%, $E$13) + CHOOSE(CONTROL!$C$28, 0.0202, 0)</f>
        <v>17.005599999999998</v>
      </c>
      <c r="D133" s="4">
        <f>22.8255 * CHOOSE(CONTROL!$C$9, $C$13, 100%, $E$13) + CHOOSE(CONTROL!$C$28, 0, 0)</f>
        <v>22.825500000000002</v>
      </c>
      <c r="E133" s="4">
        <f>100.5328493066 * CHOOSE(CONTROL!$C$9, $C$13, 100%, $E$13) + CHOOSE(CONTROL!$C$28, 0, 0)</f>
        <v>100.5328493066</v>
      </c>
    </row>
    <row r="134" spans="1:5" ht="15">
      <c r="A134" s="13">
        <v>45566</v>
      </c>
      <c r="B134" s="4">
        <f>16.7855 * CHOOSE(CONTROL!$C$9, $C$13, 100%, $E$13) + CHOOSE(CONTROL!$C$28, 0.0003, 0)</f>
        <v>16.785799999999998</v>
      </c>
      <c r="C134" s="4">
        <f>16.473 * CHOOSE(CONTROL!$C$9, $C$13, 100%, $E$13) + CHOOSE(CONTROL!$C$28, 0.0003, 0)</f>
        <v>16.473299999999998</v>
      </c>
      <c r="D134" s="4">
        <f>22.5224 * CHOOSE(CONTROL!$C$9, $C$13, 100%, $E$13) + CHOOSE(CONTROL!$C$28, 0, 0)</f>
        <v>22.522400000000001</v>
      </c>
      <c r="E134" s="4">
        <f>97.1925992972763 * CHOOSE(CONTROL!$C$9, $C$13, 100%, $E$13) + CHOOSE(CONTROL!$C$28, 0, 0)</f>
        <v>97.192599297276303</v>
      </c>
    </row>
    <row r="135" spans="1:5" ht="15">
      <c r="A135" s="13">
        <v>45597</v>
      </c>
      <c r="B135" s="4">
        <f>16.4554 * CHOOSE(CONTROL!$C$9, $C$13, 100%, $E$13) + CHOOSE(CONTROL!$C$28, 0.0003, 0)</f>
        <v>16.4557</v>
      </c>
      <c r="C135" s="4">
        <f>16.1429 * CHOOSE(CONTROL!$C$9, $C$13, 100%, $E$13) + CHOOSE(CONTROL!$C$28, 0.0003, 0)</f>
        <v>16.1432</v>
      </c>
      <c r="D135" s="4">
        <f>22.4181 * CHOOSE(CONTROL!$C$9, $C$13, 100%, $E$13) + CHOOSE(CONTROL!$C$28, 0, 0)</f>
        <v>22.418099999999999</v>
      </c>
      <c r="E135" s="4">
        <f>95.0412288570178 * CHOOSE(CONTROL!$C$9, $C$13, 100%, $E$13) + CHOOSE(CONTROL!$C$28, 0, 0)</f>
        <v>95.041228857017799</v>
      </c>
    </row>
    <row r="136" spans="1:5" ht="15">
      <c r="A136" s="13">
        <v>45627</v>
      </c>
      <c r="B136" s="4">
        <f>16.2271 * CHOOSE(CONTROL!$C$9, $C$13, 100%, $E$13) + CHOOSE(CONTROL!$C$28, 0.0003, 0)</f>
        <v>16.227399999999999</v>
      </c>
      <c r="C136" s="4">
        <f>15.9146 * CHOOSE(CONTROL!$C$9, $C$13, 100%, $E$13) + CHOOSE(CONTROL!$C$28, 0.0003, 0)</f>
        <v>15.914899999999999</v>
      </c>
      <c r="D136" s="4">
        <f>21.6508 * CHOOSE(CONTROL!$C$9, $C$13, 100%, $E$13) + CHOOSE(CONTROL!$C$28, 0, 0)</f>
        <v>21.6508</v>
      </c>
      <c r="E136" s="4">
        <f>93.5527570590317 * CHOOSE(CONTROL!$C$9, $C$13, 100%, $E$13) + CHOOSE(CONTROL!$C$28, 0, 0)</f>
        <v>93.552757059031705</v>
      </c>
    </row>
    <row r="137" spans="1:5" ht="15">
      <c r="A137" s="13">
        <v>45658</v>
      </c>
      <c r="B137" s="4">
        <f>16.1446 * CHOOSE(CONTROL!$C$9, $C$13, 100%, $E$13) + CHOOSE(CONTROL!$C$28, 0.0003, 0)</f>
        <v>16.1449</v>
      </c>
      <c r="C137" s="4">
        <f>15.8321 * CHOOSE(CONTROL!$C$9, $C$13, 100%, $E$13) + CHOOSE(CONTROL!$C$28, 0.0003, 0)</f>
        <v>15.8324</v>
      </c>
      <c r="D137" s="4">
        <f>21.3178 * CHOOSE(CONTROL!$C$9, $C$13, 100%, $E$13) + CHOOSE(CONTROL!$C$28, 0, 0)</f>
        <v>21.317799999999998</v>
      </c>
      <c r="E137" s="4">
        <f>91.1477385372352 * CHOOSE(CONTROL!$C$9, $C$13, 100%, $E$13) + CHOOSE(CONTROL!$C$28, 0, 0)</f>
        <v>91.147738537235199</v>
      </c>
    </row>
    <row r="138" spans="1:5" ht="15">
      <c r="A138" s="13">
        <v>45689</v>
      </c>
      <c r="B138" s="4">
        <f>16.4834 * CHOOSE(CONTROL!$C$9, $C$13, 100%, $E$13) + CHOOSE(CONTROL!$C$28, 0.0003, 0)</f>
        <v>16.483699999999999</v>
      </c>
      <c r="C138" s="4">
        <f>16.1709 * CHOOSE(CONTROL!$C$9, $C$13, 100%, $E$13) + CHOOSE(CONTROL!$C$28, 0.0003, 0)</f>
        <v>16.171199999999999</v>
      </c>
      <c r="D138" s="4">
        <f>22.0412 * CHOOSE(CONTROL!$C$9, $C$13, 100%, $E$13) + CHOOSE(CONTROL!$C$28, 0, 0)</f>
        <v>22.0412</v>
      </c>
      <c r="E138" s="4">
        <f>93.3119450550925 * CHOOSE(CONTROL!$C$9, $C$13, 100%, $E$13) + CHOOSE(CONTROL!$C$28, 0, 0)</f>
        <v>93.311945055092494</v>
      </c>
    </row>
    <row r="139" spans="1:5" ht="15">
      <c r="A139" s="13">
        <v>45717</v>
      </c>
      <c r="B139" s="4">
        <f>17.3732 * CHOOSE(CONTROL!$C$9, $C$13, 100%, $E$13) + CHOOSE(CONTROL!$C$28, 0.0003, 0)</f>
        <v>17.3735</v>
      </c>
      <c r="C139" s="4">
        <f>17.0607 * CHOOSE(CONTROL!$C$9, $C$13, 100%, $E$13) + CHOOSE(CONTROL!$C$28, 0.0003, 0)</f>
        <v>17.061</v>
      </c>
      <c r="D139" s="4">
        <f>23.1735 * CHOOSE(CONTROL!$C$9, $C$13, 100%, $E$13) + CHOOSE(CONTROL!$C$28, 0, 0)</f>
        <v>23.173500000000001</v>
      </c>
      <c r="E139" s="4">
        <f>98.9952663839049 * CHOOSE(CONTROL!$C$9, $C$13, 100%, $E$13) + CHOOSE(CONTROL!$C$28, 0, 0)</f>
        <v>98.995266383904905</v>
      </c>
    </row>
    <row r="140" spans="1:5" ht="15">
      <c r="A140" s="13">
        <v>45748</v>
      </c>
      <c r="B140" s="4">
        <f>18.0054 * CHOOSE(CONTROL!$C$9, $C$13, 100%, $E$13) + CHOOSE(CONTROL!$C$28, 0.0003, 0)</f>
        <v>18.005700000000001</v>
      </c>
      <c r="C140" s="4">
        <f>17.6929 * CHOOSE(CONTROL!$C$9, $C$13, 100%, $E$13) + CHOOSE(CONTROL!$C$28, 0.0003, 0)</f>
        <v>17.693200000000001</v>
      </c>
      <c r="D140" s="4">
        <f>23.8258 * CHOOSE(CONTROL!$C$9, $C$13, 100%, $E$13) + CHOOSE(CONTROL!$C$28, 0, 0)</f>
        <v>23.825800000000001</v>
      </c>
      <c r="E140" s="4">
        <f>103.033341928241 * CHOOSE(CONTROL!$C$9, $C$13, 100%, $E$13) + CHOOSE(CONTROL!$C$28, 0, 0)</f>
        <v>103.033341928241</v>
      </c>
    </row>
    <row r="141" spans="1:5" ht="15">
      <c r="A141" s="13">
        <v>45778</v>
      </c>
      <c r="B141" s="4">
        <f>18.3916 * CHOOSE(CONTROL!$C$9, $C$13, 100%, $E$13) + CHOOSE(CONTROL!$C$28, 0.0202, 0)</f>
        <v>18.411799999999999</v>
      </c>
      <c r="C141" s="4">
        <f>18.0791 * CHOOSE(CONTROL!$C$9, $C$13, 100%, $E$13) + CHOOSE(CONTROL!$C$28, 0.0202, 0)</f>
        <v>18.099299999999999</v>
      </c>
      <c r="D141" s="4">
        <f>23.568 * CHOOSE(CONTROL!$C$9, $C$13, 100%, $E$13) + CHOOSE(CONTROL!$C$28, 0, 0)</f>
        <v>23.568000000000001</v>
      </c>
      <c r="E141" s="4">
        <f>105.500509306667 * CHOOSE(CONTROL!$C$9, $C$13, 100%, $E$13) + CHOOSE(CONTROL!$C$28, 0, 0)</f>
        <v>105.500509306667</v>
      </c>
    </row>
    <row r="142" spans="1:5" ht="15">
      <c r="A142" s="13">
        <v>45809</v>
      </c>
      <c r="B142" s="4">
        <f>18.4439 * CHOOSE(CONTROL!$C$9, $C$13, 100%, $E$13) + CHOOSE(CONTROL!$C$28, 0.0202, 0)</f>
        <v>18.464099999999998</v>
      </c>
      <c r="C142" s="4">
        <f>18.1314 * CHOOSE(CONTROL!$C$9, $C$13, 100%, $E$13) + CHOOSE(CONTROL!$C$28, 0.0202, 0)</f>
        <v>18.151599999999998</v>
      </c>
      <c r="D142" s="4">
        <f>23.778 * CHOOSE(CONTROL!$C$9, $C$13, 100%, $E$13) + CHOOSE(CONTROL!$C$28, 0, 0)</f>
        <v>23.777999999999999</v>
      </c>
      <c r="E142" s="4">
        <f>105.834327291923 * CHOOSE(CONTROL!$C$9, $C$13, 100%, $E$13) + CHOOSE(CONTROL!$C$28, 0, 0)</f>
        <v>105.834327291923</v>
      </c>
    </row>
    <row r="143" spans="1:5" ht="15">
      <c r="A143" s="13">
        <v>45839</v>
      </c>
      <c r="B143" s="4">
        <f>18.4386 * CHOOSE(CONTROL!$C$9, $C$13, 100%, $E$13) + CHOOSE(CONTROL!$C$28, 0.0202, 0)</f>
        <v>18.4588</v>
      </c>
      <c r="C143" s="4">
        <f>18.1261 * CHOOSE(CONTROL!$C$9, $C$13, 100%, $E$13) + CHOOSE(CONTROL!$C$28, 0.0202, 0)</f>
        <v>18.1463</v>
      </c>
      <c r="D143" s="4">
        <f>24.1567 * CHOOSE(CONTROL!$C$9, $C$13, 100%, $E$13) + CHOOSE(CONTROL!$C$28, 0, 0)</f>
        <v>24.156700000000001</v>
      </c>
      <c r="E143" s="4">
        <f>105.800664974082 * CHOOSE(CONTROL!$C$9, $C$13, 100%, $E$13) + CHOOSE(CONTROL!$C$28, 0, 0)</f>
        <v>105.800664974082</v>
      </c>
    </row>
    <row r="144" spans="1:5" ht="15">
      <c r="A144" s="13">
        <v>45870</v>
      </c>
      <c r="B144" s="4">
        <f>18.8352 * CHOOSE(CONTROL!$C$9, $C$13, 100%, $E$13) + CHOOSE(CONTROL!$C$28, 0.0202, 0)</f>
        <v>18.855399999999999</v>
      </c>
      <c r="C144" s="4">
        <f>18.5227 * CHOOSE(CONTROL!$C$9, $C$13, 100%, $E$13) + CHOOSE(CONTROL!$C$28, 0.0202, 0)</f>
        <v>18.542899999999999</v>
      </c>
      <c r="D144" s="4">
        <f>23.9066 * CHOOSE(CONTROL!$C$9, $C$13, 100%, $E$13) + CHOOSE(CONTROL!$C$28, 0, 0)</f>
        <v>23.906600000000001</v>
      </c>
      <c r="E144" s="4">
        <f>108.333754391613 * CHOOSE(CONTROL!$C$9, $C$13, 100%, $E$13) + CHOOSE(CONTROL!$C$28, 0, 0)</f>
        <v>108.333754391613</v>
      </c>
    </row>
    <row r="145" spans="1:5" ht="15">
      <c r="A145" s="13">
        <v>45901</v>
      </c>
      <c r="B145" s="4">
        <f>18.1593 * CHOOSE(CONTROL!$C$9, $C$13, 100%, $E$13) + CHOOSE(CONTROL!$C$28, 0.0202, 0)</f>
        <v>18.179500000000001</v>
      </c>
      <c r="C145" s="4">
        <f>17.8468 * CHOOSE(CONTROL!$C$9, $C$13, 100%, $E$13) + CHOOSE(CONTROL!$C$28, 0.0202, 0)</f>
        <v>17.867000000000001</v>
      </c>
      <c r="D145" s="4">
        <f>23.7884 * CHOOSE(CONTROL!$C$9, $C$13, 100%, $E$13) + CHOOSE(CONTROL!$C$28, 0, 0)</f>
        <v>23.788399999999999</v>
      </c>
      <c r="E145" s="4">
        <f>104.016562128512 * CHOOSE(CONTROL!$C$9, $C$13, 100%, $E$13) + CHOOSE(CONTROL!$C$28, 0, 0)</f>
        <v>104.01656212851201</v>
      </c>
    </row>
    <row r="146" spans="1:5" ht="15">
      <c r="A146" s="13">
        <v>45931</v>
      </c>
      <c r="B146" s="4">
        <f>17.6182 * CHOOSE(CONTROL!$C$9, $C$13, 100%, $E$13) + CHOOSE(CONTROL!$C$28, 0.0003, 0)</f>
        <v>17.618500000000001</v>
      </c>
      <c r="C146" s="4">
        <f>17.3057 * CHOOSE(CONTROL!$C$9, $C$13, 100%, $E$13) + CHOOSE(CONTROL!$C$28, 0.0003, 0)</f>
        <v>17.306000000000001</v>
      </c>
      <c r="D146" s="4">
        <f>23.472 * CHOOSE(CONTROL!$C$9, $C$13, 100%, $E$13) + CHOOSE(CONTROL!$C$28, 0, 0)</f>
        <v>23.472000000000001</v>
      </c>
      <c r="E146" s="4">
        <f>100.560564163509 * CHOOSE(CONTROL!$C$9, $C$13, 100%, $E$13) + CHOOSE(CONTROL!$C$28, 0, 0)</f>
        <v>100.560564163509</v>
      </c>
    </row>
    <row r="147" spans="1:5" ht="15">
      <c r="A147" s="13">
        <v>45962</v>
      </c>
      <c r="B147" s="4">
        <f>17.2697 * CHOOSE(CONTROL!$C$9, $C$13, 100%, $E$13) + CHOOSE(CONTROL!$C$28, 0.0003, 0)</f>
        <v>17.27</v>
      </c>
      <c r="C147" s="4">
        <f>16.9572 * CHOOSE(CONTROL!$C$9, $C$13, 100%, $E$13) + CHOOSE(CONTROL!$C$28, 0.0003, 0)</f>
        <v>16.9575</v>
      </c>
      <c r="D147" s="4">
        <f>23.3632 * CHOOSE(CONTROL!$C$9, $C$13, 100%, $E$13) + CHOOSE(CONTROL!$C$28, 0, 0)</f>
        <v>23.363199999999999</v>
      </c>
      <c r="E147" s="4">
        <f>98.3346433962764 * CHOOSE(CONTROL!$C$9, $C$13, 100%, $E$13) + CHOOSE(CONTROL!$C$28, 0, 0)</f>
        <v>98.334643396276405</v>
      </c>
    </row>
    <row r="148" spans="1:5" ht="15">
      <c r="A148" s="13">
        <v>45992</v>
      </c>
      <c r="B148" s="4">
        <f>17.0286 * CHOOSE(CONTROL!$C$9, $C$13, 100%, $E$13) + CHOOSE(CONTROL!$C$28, 0.0003, 0)</f>
        <v>17.0289</v>
      </c>
      <c r="C148" s="4">
        <f>16.7161 * CHOOSE(CONTROL!$C$9, $C$13, 100%, $E$13) + CHOOSE(CONTROL!$C$28, 0.0003, 0)</f>
        <v>16.7164</v>
      </c>
      <c r="D148" s="4">
        <f>22.5622 * CHOOSE(CONTROL!$C$9, $C$13, 100%, $E$13) + CHOOSE(CONTROL!$C$28, 0, 0)</f>
        <v>22.562200000000001</v>
      </c>
      <c r="E148" s="4">
        <f>96.7945923550533 * CHOOSE(CONTROL!$C$9, $C$13, 100%, $E$13) + CHOOSE(CONTROL!$C$28, 0, 0)</f>
        <v>96.794592355053297</v>
      </c>
    </row>
    <row r="149" spans="1:5" ht="15">
      <c r="A149" s="13">
        <v>46023</v>
      </c>
      <c r="B149" s="4">
        <f>16.6458 * CHOOSE(CONTROL!$C$9, $C$13, 100%, $E$13) + CHOOSE(CONTROL!$C$28, 0.0003, 0)</f>
        <v>16.646100000000001</v>
      </c>
      <c r="C149" s="4">
        <f>16.3333 * CHOOSE(CONTROL!$C$9, $C$13, 100%, $E$13) + CHOOSE(CONTROL!$C$28, 0.0003, 0)</f>
        <v>16.333600000000001</v>
      </c>
      <c r="D149" s="4">
        <f>22.011 * CHOOSE(CONTROL!$C$9, $C$13, 100%, $E$13) + CHOOSE(CONTROL!$C$28, 0, 0)</f>
        <v>22.010999999999999</v>
      </c>
      <c r="E149" s="4">
        <f>94.6809476475342 * CHOOSE(CONTROL!$C$9, $C$13, 100%, $E$13) + CHOOSE(CONTROL!$C$28, 0, 0)</f>
        <v>94.680947647534197</v>
      </c>
    </row>
    <row r="150" spans="1:5" ht="15">
      <c r="A150" s="13">
        <v>46054</v>
      </c>
      <c r="B150" s="4">
        <f>16.9966 * CHOOSE(CONTROL!$C$9, $C$13, 100%, $E$13) + CHOOSE(CONTROL!$C$28, 0.0003, 0)</f>
        <v>16.9969</v>
      </c>
      <c r="C150" s="4">
        <f>16.6841 * CHOOSE(CONTROL!$C$9, $C$13, 100%, $E$13) + CHOOSE(CONTROL!$C$28, 0.0003, 0)</f>
        <v>16.6844</v>
      </c>
      <c r="D150" s="4">
        <f>22.7588 * CHOOSE(CONTROL!$C$9, $C$13, 100%, $E$13) + CHOOSE(CONTROL!$C$28, 0, 0)</f>
        <v>22.758800000000001</v>
      </c>
      <c r="E150" s="4">
        <f>96.9290464737271 * CHOOSE(CONTROL!$C$9, $C$13, 100%, $E$13) + CHOOSE(CONTROL!$C$28, 0, 0)</f>
        <v>96.929046473727098</v>
      </c>
    </row>
    <row r="151" spans="1:5" ht="15">
      <c r="A151" s="13">
        <v>46082</v>
      </c>
      <c r="B151" s="4">
        <f>17.9176 * CHOOSE(CONTROL!$C$9, $C$13, 100%, $E$13) + CHOOSE(CONTROL!$C$28, 0.0003, 0)</f>
        <v>17.917899999999999</v>
      </c>
      <c r="C151" s="4">
        <f>17.6051 * CHOOSE(CONTROL!$C$9, $C$13, 100%, $E$13) + CHOOSE(CONTROL!$C$28, 0.0003, 0)</f>
        <v>17.605399999999999</v>
      </c>
      <c r="D151" s="4">
        <f>23.9295 * CHOOSE(CONTROL!$C$9, $C$13, 100%, $E$13) + CHOOSE(CONTROL!$C$28, 0, 0)</f>
        <v>23.929500000000001</v>
      </c>
      <c r="E151" s="4">
        <f>102.832673462537 * CHOOSE(CONTROL!$C$9, $C$13, 100%, $E$13) + CHOOSE(CONTROL!$C$28, 0, 0)</f>
        <v>102.832673462537</v>
      </c>
    </row>
    <row r="152" spans="1:5" ht="15">
      <c r="A152" s="13">
        <v>46113</v>
      </c>
      <c r="B152" s="4">
        <f>18.5719 * CHOOSE(CONTROL!$C$9, $C$13, 100%, $E$13) + CHOOSE(CONTROL!$C$28, 0.0003, 0)</f>
        <v>18.572199999999999</v>
      </c>
      <c r="C152" s="4">
        <f>18.2594 * CHOOSE(CONTROL!$C$9, $C$13, 100%, $E$13) + CHOOSE(CONTROL!$C$28, 0.0003, 0)</f>
        <v>18.259699999999999</v>
      </c>
      <c r="D152" s="4">
        <f>24.6038 * CHOOSE(CONTROL!$C$9, $C$13, 100%, $E$13) + CHOOSE(CONTROL!$C$28, 0, 0)</f>
        <v>24.6038</v>
      </c>
      <c r="E152" s="4">
        <f>107.02727911426 * CHOOSE(CONTROL!$C$9, $C$13, 100%, $E$13) + CHOOSE(CONTROL!$C$28, 0, 0)</f>
        <v>107.02727911426</v>
      </c>
    </row>
    <row r="153" spans="1:5" ht="15">
      <c r="A153" s="13">
        <v>46143</v>
      </c>
      <c r="B153" s="4">
        <f>18.9718 * CHOOSE(CONTROL!$C$9, $C$13, 100%, $E$13) + CHOOSE(CONTROL!$C$28, 0.0202, 0)</f>
        <v>18.992000000000001</v>
      </c>
      <c r="C153" s="4">
        <f>18.6593 * CHOOSE(CONTROL!$C$9, $C$13, 100%, $E$13) + CHOOSE(CONTROL!$C$28, 0.0202, 0)</f>
        <v>18.679500000000001</v>
      </c>
      <c r="D153" s="4">
        <f>24.3373 * CHOOSE(CONTROL!$C$9, $C$13, 100%, $E$13) + CHOOSE(CONTROL!$C$28, 0, 0)</f>
        <v>24.337299999999999</v>
      </c>
      <c r="E153" s="4">
        <f>109.590082636797 * CHOOSE(CONTROL!$C$9, $C$13, 100%, $E$13) + CHOOSE(CONTROL!$C$28, 0, 0)</f>
        <v>109.59008263679701</v>
      </c>
    </row>
    <row r="154" spans="1:5" ht="15">
      <c r="A154" s="13">
        <v>46174</v>
      </c>
      <c r="B154" s="4">
        <f>19.0258 * CHOOSE(CONTROL!$C$9, $C$13, 100%, $E$13) + CHOOSE(CONTROL!$C$28, 0.0202, 0)</f>
        <v>19.045999999999999</v>
      </c>
      <c r="C154" s="4">
        <f>18.7133 * CHOOSE(CONTROL!$C$9, $C$13, 100%, $E$13) + CHOOSE(CONTROL!$C$28, 0.0202, 0)</f>
        <v>18.733499999999999</v>
      </c>
      <c r="D154" s="4">
        <f>24.5544 * CHOOSE(CONTROL!$C$9, $C$13, 100%, $E$13) + CHOOSE(CONTROL!$C$28, 0, 0)</f>
        <v>24.554400000000001</v>
      </c>
      <c r="E154" s="4">
        <f>109.936840589249 * CHOOSE(CONTROL!$C$9, $C$13, 100%, $E$13) + CHOOSE(CONTROL!$C$28, 0, 0)</f>
        <v>109.936840589249</v>
      </c>
    </row>
    <row r="155" spans="1:5" ht="15">
      <c r="A155" s="13">
        <v>46204</v>
      </c>
      <c r="B155" s="4">
        <f>19.0204 * CHOOSE(CONTROL!$C$9, $C$13, 100%, $E$13) + CHOOSE(CONTROL!$C$28, 0.0202, 0)</f>
        <v>19.040599999999998</v>
      </c>
      <c r="C155" s="4">
        <f>18.7079 * CHOOSE(CONTROL!$C$9, $C$13, 100%, $E$13) + CHOOSE(CONTROL!$C$28, 0.0202, 0)</f>
        <v>18.728099999999998</v>
      </c>
      <c r="D155" s="4">
        <f>24.9459 * CHOOSE(CONTROL!$C$9, $C$13, 100%, $E$13) + CHOOSE(CONTROL!$C$28, 0, 0)</f>
        <v>24.945900000000002</v>
      </c>
      <c r="E155" s="4">
        <f>109.901873400766 * CHOOSE(CONTROL!$C$9, $C$13, 100%, $E$13) + CHOOSE(CONTROL!$C$28, 0, 0)</f>
        <v>109.90187340076599</v>
      </c>
    </row>
    <row r="156" spans="1:5" ht="15">
      <c r="A156" s="13">
        <v>46235</v>
      </c>
      <c r="B156" s="4">
        <f>19.4309 * CHOOSE(CONTROL!$C$9, $C$13, 100%, $E$13) + CHOOSE(CONTROL!$C$28, 0.0202, 0)</f>
        <v>19.4511</v>
      </c>
      <c r="C156" s="4">
        <f>19.1184 * CHOOSE(CONTROL!$C$9, $C$13, 100%, $E$13) + CHOOSE(CONTROL!$C$28, 0.0202, 0)</f>
        <v>19.1386</v>
      </c>
      <c r="D156" s="4">
        <f>24.6873 * CHOOSE(CONTROL!$C$9, $C$13, 100%, $E$13) + CHOOSE(CONTROL!$C$28, 0, 0)</f>
        <v>24.6873</v>
      </c>
      <c r="E156" s="4">
        <f>112.533154334081 * CHOOSE(CONTROL!$C$9, $C$13, 100%, $E$13) + CHOOSE(CONTROL!$C$28, 0, 0)</f>
        <v>112.533154334081</v>
      </c>
    </row>
    <row r="157" spans="1:5" ht="15">
      <c r="A157" s="13">
        <v>46266</v>
      </c>
      <c r="B157" s="4">
        <f>18.7313 * CHOOSE(CONTROL!$C$9, $C$13, 100%, $E$13) + CHOOSE(CONTROL!$C$28, 0.0202, 0)</f>
        <v>18.7515</v>
      </c>
      <c r="C157" s="4">
        <f>18.4188 * CHOOSE(CONTROL!$C$9, $C$13, 100%, $E$13) + CHOOSE(CONTROL!$C$28, 0.0202, 0)</f>
        <v>18.439</v>
      </c>
      <c r="D157" s="4">
        <f>24.5652 * CHOOSE(CONTROL!$C$9, $C$13, 100%, $E$13) + CHOOSE(CONTROL!$C$28, 0, 0)</f>
        <v>24.565200000000001</v>
      </c>
      <c r="E157" s="4">
        <f>108.048612411189 * CHOOSE(CONTROL!$C$9, $C$13, 100%, $E$13) + CHOOSE(CONTROL!$C$28, 0, 0)</f>
        <v>108.048612411189</v>
      </c>
    </row>
    <row r="158" spans="1:5" ht="15">
      <c r="A158" s="13">
        <v>46296</v>
      </c>
      <c r="B158" s="4">
        <f>18.1712 * CHOOSE(CONTROL!$C$9, $C$13, 100%, $E$13) + CHOOSE(CONTROL!$C$28, 0.0003, 0)</f>
        <v>18.171499999999998</v>
      </c>
      <c r="C158" s="4">
        <f>17.8587 * CHOOSE(CONTROL!$C$9, $C$13, 100%, $E$13) + CHOOSE(CONTROL!$C$28, 0.0003, 0)</f>
        <v>17.858999999999998</v>
      </c>
      <c r="D158" s="4">
        <f>24.238 * CHOOSE(CONTROL!$C$9, $C$13, 100%, $E$13) + CHOOSE(CONTROL!$C$28, 0, 0)</f>
        <v>24.238</v>
      </c>
      <c r="E158" s="4">
        <f>104.458647726977 * CHOOSE(CONTROL!$C$9, $C$13, 100%, $E$13) + CHOOSE(CONTROL!$C$28, 0, 0)</f>
        <v>104.45864772697701</v>
      </c>
    </row>
    <row r="159" spans="1:5" ht="15">
      <c r="A159" s="13">
        <v>46327</v>
      </c>
      <c r="B159" s="4">
        <f>17.8105 * CHOOSE(CONTROL!$C$9, $C$13, 100%, $E$13) + CHOOSE(CONTROL!$C$28, 0.0003, 0)</f>
        <v>17.8108</v>
      </c>
      <c r="C159" s="4">
        <f>17.498 * CHOOSE(CONTROL!$C$9, $C$13, 100%, $E$13) + CHOOSE(CONTROL!$C$28, 0.0003, 0)</f>
        <v>17.4983</v>
      </c>
      <c r="D159" s="4">
        <f>24.1255 * CHOOSE(CONTROL!$C$9, $C$13, 100%, $E$13) + CHOOSE(CONTROL!$C$28, 0, 0)</f>
        <v>24.125499999999999</v>
      </c>
      <c r="E159" s="4">
        <f>102.146442388566 * CHOOSE(CONTROL!$C$9, $C$13, 100%, $E$13) + CHOOSE(CONTROL!$C$28, 0, 0)</f>
        <v>102.146442388566</v>
      </c>
    </row>
    <row r="160" spans="1:5" ht="15">
      <c r="A160" s="13">
        <v>46357</v>
      </c>
      <c r="B160" s="4">
        <f>17.5609 * CHOOSE(CONTROL!$C$9, $C$13, 100%, $E$13) + CHOOSE(CONTROL!$C$28, 0.0003, 0)</f>
        <v>17.561199999999999</v>
      </c>
      <c r="C160" s="4">
        <f>17.2484 * CHOOSE(CONTROL!$C$9, $C$13, 100%, $E$13) + CHOOSE(CONTROL!$C$28, 0.0003, 0)</f>
        <v>17.248699999999999</v>
      </c>
      <c r="D160" s="4">
        <f>23.2975 * CHOOSE(CONTROL!$C$9, $C$13, 100%, $E$13) + CHOOSE(CONTROL!$C$28, 0, 0)</f>
        <v>23.297499999999999</v>
      </c>
      <c r="E160" s="4">
        <f>100.546693515488 * CHOOSE(CONTROL!$C$9, $C$13, 100%, $E$13) + CHOOSE(CONTROL!$C$28, 0, 0)</f>
        <v>100.546693515488</v>
      </c>
    </row>
    <row r="161" spans="1:5" ht="15">
      <c r="A161" s="13">
        <v>46388</v>
      </c>
      <c r="B161" s="4">
        <f>17.1847 * CHOOSE(CONTROL!$C$9, $C$13, 100%, $E$13) + CHOOSE(CONTROL!$C$28, 0.0003, 0)</f>
        <v>17.184999999999999</v>
      </c>
      <c r="C161" s="4">
        <f>16.8722 * CHOOSE(CONTROL!$C$9, $C$13, 100%, $E$13) + CHOOSE(CONTROL!$C$28, 0.0003, 0)</f>
        <v>16.872499999999999</v>
      </c>
      <c r="D161" s="4">
        <f>22.6984 * CHOOSE(CONTROL!$C$9, $C$13, 100%, $E$13) + CHOOSE(CONTROL!$C$28, 0, 0)</f>
        <v>22.698399999999999</v>
      </c>
      <c r="E161" s="4">
        <f>98.1885850346518 * CHOOSE(CONTROL!$C$9, $C$13, 100%, $E$13) + CHOOSE(CONTROL!$C$28, 0, 0)</f>
        <v>98.188585034651794</v>
      </c>
    </row>
    <row r="162" spans="1:5" ht="15">
      <c r="A162" s="13">
        <v>46419</v>
      </c>
      <c r="B162" s="4">
        <f>17.5482 * CHOOSE(CONTROL!$C$9, $C$13, 100%, $E$13) + CHOOSE(CONTROL!$C$28, 0.0003, 0)</f>
        <v>17.548500000000001</v>
      </c>
      <c r="C162" s="4">
        <f>17.2357 * CHOOSE(CONTROL!$C$9, $C$13, 100%, $E$13) + CHOOSE(CONTROL!$C$28, 0.0003, 0)</f>
        <v>17.236000000000001</v>
      </c>
      <c r="D162" s="4">
        <f>23.4705 * CHOOSE(CONTROL!$C$9, $C$13, 100%, $E$13) + CHOOSE(CONTROL!$C$28, 0, 0)</f>
        <v>23.470500000000001</v>
      </c>
      <c r="E162" s="4">
        <f>100.519968995696 * CHOOSE(CONTROL!$C$9, $C$13, 100%, $E$13) + CHOOSE(CONTROL!$C$28, 0, 0)</f>
        <v>100.519968995696</v>
      </c>
    </row>
    <row r="163" spans="1:5" ht="15">
      <c r="A163" s="13">
        <v>46447</v>
      </c>
      <c r="B163" s="4">
        <f>18.5028 * CHOOSE(CONTROL!$C$9, $C$13, 100%, $E$13) + CHOOSE(CONTROL!$C$28, 0.0003, 0)</f>
        <v>18.5031</v>
      </c>
      <c r="C163" s="4">
        <f>18.1903 * CHOOSE(CONTROL!$C$9, $C$13, 100%, $E$13) + CHOOSE(CONTROL!$C$28, 0.0003, 0)</f>
        <v>18.1906</v>
      </c>
      <c r="D163" s="4">
        <f>24.6791 * CHOOSE(CONTROL!$C$9, $C$13, 100%, $E$13) + CHOOSE(CONTROL!$C$28, 0, 0)</f>
        <v>24.679099999999998</v>
      </c>
      <c r="E163" s="4">
        <f>106.642307174667 * CHOOSE(CONTROL!$C$9, $C$13, 100%, $E$13) + CHOOSE(CONTROL!$C$28, 0, 0)</f>
        <v>106.642307174667</v>
      </c>
    </row>
    <row r="164" spans="1:5" ht="15">
      <c r="A164" s="13">
        <v>46478</v>
      </c>
      <c r="B164" s="4">
        <f>19.1811 * CHOOSE(CONTROL!$C$9, $C$13, 100%, $E$13) + CHOOSE(CONTROL!$C$28, 0.0003, 0)</f>
        <v>19.1814</v>
      </c>
      <c r="C164" s="4">
        <f>18.8686 * CHOOSE(CONTROL!$C$9, $C$13, 100%, $E$13) + CHOOSE(CONTROL!$C$28, 0.0003, 0)</f>
        <v>18.8689</v>
      </c>
      <c r="D164" s="4">
        <f>25.3753 * CHOOSE(CONTROL!$C$9, $C$13, 100%, $E$13) + CHOOSE(CONTROL!$C$28, 0, 0)</f>
        <v>25.375299999999999</v>
      </c>
      <c r="E164" s="4">
        <f>110.992310041709 * CHOOSE(CONTROL!$C$9, $C$13, 100%, $E$13) + CHOOSE(CONTROL!$C$28, 0, 0)</f>
        <v>110.992310041709</v>
      </c>
    </row>
    <row r="165" spans="1:5" ht="15">
      <c r="A165" s="13">
        <v>46508</v>
      </c>
      <c r="B165" s="4">
        <f>19.5955 * CHOOSE(CONTROL!$C$9, $C$13, 100%, $E$13) + CHOOSE(CONTROL!$C$28, 0.0202, 0)</f>
        <v>19.6157</v>
      </c>
      <c r="C165" s="4">
        <f>19.283 * CHOOSE(CONTROL!$C$9, $C$13, 100%, $E$13) + CHOOSE(CONTROL!$C$28, 0.0202, 0)</f>
        <v>19.3032</v>
      </c>
      <c r="D165" s="4">
        <f>25.1002 * CHOOSE(CONTROL!$C$9, $C$13, 100%, $E$13) + CHOOSE(CONTROL!$C$28, 0, 0)</f>
        <v>25.100200000000001</v>
      </c>
      <c r="E165" s="4">
        <f>113.650057538454 * CHOOSE(CONTROL!$C$9, $C$13, 100%, $E$13) + CHOOSE(CONTROL!$C$28, 0, 0)</f>
        <v>113.65005753845401</v>
      </c>
    </row>
    <row r="166" spans="1:5" ht="15">
      <c r="A166" s="13">
        <v>46539</v>
      </c>
      <c r="B166" s="4">
        <f>19.6516 * CHOOSE(CONTROL!$C$9, $C$13, 100%, $E$13) + CHOOSE(CONTROL!$C$28, 0.0202, 0)</f>
        <v>19.671799999999998</v>
      </c>
      <c r="C166" s="4">
        <f>19.3391 * CHOOSE(CONTROL!$C$9, $C$13, 100%, $E$13) + CHOOSE(CONTROL!$C$28, 0.0202, 0)</f>
        <v>19.359299999999998</v>
      </c>
      <c r="D166" s="4">
        <f>25.3242 * CHOOSE(CONTROL!$C$9, $C$13, 100%, $E$13) + CHOOSE(CONTROL!$C$28, 0, 0)</f>
        <v>25.324200000000001</v>
      </c>
      <c r="E166" s="4">
        <f>114.009661804642 * CHOOSE(CONTROL!$C$9, $C$13, 100%, $E$13) + CHOOSE(CONTROL!$C$28, 0, 0)</f>
        <v>114.00966180464199</v>
      </c>
    </row>
    <row r="167" spans="1:5" ht="15">
      <c r="A167" s="13">
        <v>46569</v>
      </c>
      <c r="B167" s="4">
        <f>19.6459 * CHOOSE(CONTROL!$C$9, $C$13, 100%, $E$13) + CHOOSE(CONTROL!$C$28, 0.0202, 0)</f>
        <v>19.6661</v>
      </c>
      <c r="C167" s="4">
        <f>19.3334 * CHOOSE(CONTROL!$C$9, $C$13, 100%, $E$13) + CHOOSE(CONTROL!$C$28, 0.0202, 0)</f>
        <v>19.3536</v>
      </c>
      <c r="D167" s="4">
        <f>25.7285 * CHOOSE(CONTROL!$C$9, $C$13, 100%, $E$13) + CHOOSE(CONTROL!$C$28, 0, 0)</f>
        <v>25.7285</v>
      </c>
      <c r="E167" s="4">
        <f>113.973399189565 * CHOOSE(CONTROL!$C$9, $C$13, 100%, $E$13) + CHOOSE(CONTROL!$C$28, 0, 0)</f>
        <v>113.973399189565</v>
      </c>
    </row>
    <row r="168" spans="1:5" ht="15">
      <c r="A168" s="13">
        <v>46600</v>
      </c>
      <c r="B168" s="4">
        <f>20.0714 * CHOOSE(CONTROL!$C$9, $C$13, 100%, $E$13) + CHOOSE(CONTROL!$C$28, 0.0202, 0)</f>
        <v>20.0916</v>
      </c>
      <c r="C168" s="4">
        <f>19.7589 * CHOOSE(CONTROL!$C$9, $C$13, 100%, $E$13) + CHOOSE(CONTROL!$C$28, 0.0202, 0)</f>
        <v>19.7791</v>
      </c>
      <c r="D168" s="4">
        <f>25.4615 * CHOOSE(CONTROL!$C$9, $C$13, 100%, $E$13) + CHOOSE(CONTROL!$C$28, 0, 0)</f>
        <v>25.461500000000001</v>
      </c>
      <c r="E168" s="4">
        <f>116.70216097417 * CHOOSE(CONTROL!$C$9, $C$13, 100%, $E$13) + CHOOSE(CONTROL!$C$28, 0, 0)</f>
        <v>116.70216097417</v>
      </c>
    </row>
    <row r="169" spans="1:5" ht="15">
      <c r="A169" s="13">
        <v>46631</v>
      </c>
      <c r="B169" s="4">
        <f>19.3462 * CHOOSE(CONTROL!$C$9, $C$13, 100%, $E$13) + CHOOSE(CONTROL!$C$28, 0.0202, 0)</f>
        <v>19.366399999999999</v>
      </c>
      <c r="C169" s="4">
        <f>19.0337 * CHOOSE(CONTROL!$C$9, $C$13, 100%, $E$13) + CHOOSE(CONTROL!$C$28, 0.0202, 0)</f>
        <v>19.053899999999999</v>
      </c>
      <c r="D169" s="4">
        <f>25.3354 * CHOOSE(CONTROL!$C$9, $C$13, 100%, $E$13) + CHOOSE(CONTROL!$C$28, 0, 0)</f>
        <v>25.3354</v>
      </c>
      <c r="E169" s="4">
        <f>112.051480590441 * CHOOSE(CONTROL!$C$9, $C$13, 100%, $E$13) + CHOOSE(CONTROL!$C$28, 0, 0)</f>
        <v>112.051480590441</v>
      </c>
    </row>
    <row r="170" spans="1:5" ht="15">
      <c r="A170" s="13">
        <v>46661</v>
      </c>
      <c r="B170" s="4">
        <f>18.7657 * CHOOSE(CONTROL!$C$9, $C$13, 100%, $E$13) + CHOOSE(CONTROL!$C$28, 0.0003, 0)</f>
        <v>18.765999999999998</v>
      </c>
      <c r="C170" s="4">
        <f>18.4532 * CHOOSE(CONTROL!$C$9, $C$13, 100%, $E$13) + CHOOSE(CONTROL!$C$28, 0.0003, 0)</f>
        <v>18.453499999999998</v>
      </c>
      <c r="D170" s="4">
        <f>24.9976 * CHOOSE(CONTROL!$C$9, $C$13, 100%, $E$13) + CHOOSE(CONTROL!$C$28, 0, 0)</f>
        <v>24.997599999999998</v>
      </c>
      <c r="E170" s="4">
        <f>108.328518775785 * CHOOSE(CONTROL!$C$9, $C$13, 100%, $E$13) + CHOOSE(CONTROL!$C$28, 0, 0)</f>
        <v>108.328518775785</v>
      </c>
    </row>
    <row r="171" spans="1:5" ht="15">
      <c r="A171" s="13">
        <v>46692</v>
      </c>
      <c r="B171" s="4">
        <f>18.3919 * CHOOSE(CONTROL!$C$9, $C$13, 100%, $E$13) + CHOOSE(CONTROL!$C$28, 0.0003, 0)</f>
        <v>18.392199999999999</v>
      </c>
      <c r="C171" s="4">
        <f>18.0794 * CHOOSE(CONTROL!$C$9, $C$13, 100%, $E$13) + CHOOSE(CONTROL!$C$28, 0.0003, 0)</f>
        <v>18.079699999999999</v>
      </c>
      <c r="D171" s="4">
        <f>24.8815 * CHOOSE(CONTROL!$C$9, $C$13, 100%, $E$13) + CHOOSE(CONTROL!$C$28, 0, 0)</f>
        <v>24.881499999999999</v>
      </c>
      <c r="E171" s="4">
        <f>105.930653353765 * CHOOSE(CONTROL!$C$9, $C$13, 100%, $E$13) + CHOOSE(CONTROL!$C$28, 0, 0)</f>
        <v>105.930653353765</v>
      </c>
    </row>
    <row r="172" spans="1:5" ht="15">
      <c r="A172" s="13">
        <v>46722</v>
      </c>
      <c r="B172" s="4">
        <f>18.1332 * CHOOSE(CONTROL!$C$9, $C$13, 100%, $E$13) + CHOOSE(CONTROL!$C$28, 0.0003, 0)</f>
        <v>18.133499999999998</v>
      </c>
      <c r="C172" s="4">
        <f>17.8207 * CHOOSE(CONTROL!$C$9, $C$13, 100%, $E$13) + CHOOSE(CONTROL!$C$28, 0.0003, 0)</f>
        <v>17.820999999999998</v>
      </c>
      <c r="D172" s="4">
        <f>24.0266 * CHOOSE(CONTROL!$C$9, $C$13, 100%, $E$13) + CHOOSE(CONTROL!$C$28, 0, 0)</f>
        <v>24.026599999999998</v>
      </c>
      <c r="E172" s="4">
        <f>104.271638713955 * CHOOSE(CONTROL!$C$9, $C$13, 100%, $E$13) + CHOOSE(CONTROL!$C$28, 0, 0)</f>
        <v>104.271638713955</v>
      </c>
    </row>
    <row r="173" spans="1:5" ht="15">
      <c r="A173" s="13">
        <v>46753</v>
      </c>
      <c r="B173" s="4">
        <f>17.7453 * CHOOSE(CONTROL!$C$9, $C$13, 100%, $E$13) + CHOOSE(CONTROL!$C$28, 0.0003, 0)</f>
        <v>17.7456</v>
      </c>
      <c r="C173" s="4">
        <f>17.4328 * CHOOSE(CONTROL!$C$9, $C$13, 100%, $E$13) + CHOOSE(CONTROL!$C$28, 0.0003, 0)</f>
        <v>17.4331</v>
      </c>
      <c r="D173" s="4">
        <f>23.3638 * CHOOSE(CONTROL!$C$9, $C$13, 100%, $E$13) + CHOOSE(CONTROL!$C$28, 0, 0)</f>
        <v>23.363800000000001</v>
      </c>
      <c r="E173" s="4">
        <f>101.884983474545 * CHOOSE(CONTROL!$C$9, $C$13, 100%, $E$13) + CHOOSE(CONTROL!$C$28, 0, 0)</f>
        <v>101.884983474545</v>
      </c>
    </row>
    <row r="174" spans="1:5" ht="15">
      <c r="A174" s="13">
        <v>46784</v>
      </c>
      <c r="B174" s="4">
        <f>18.1222 * CHOOSE(CONTROL!$C$9, $C$13, 100%, $E$13) + CHOOSE(CONTROL!$C$28, 0.0003, 0)</f>
        <v>18.122499999999999</v>
      </c>
      <c r="C174" s="4">
        <f>17.8097 * CHOOSE(CONTROL!$C$9, $C$13, 100%, $E$13) + CHOOSE(CONTROL!$C$28, 0.0003, 0)</f>
        <v>17.809999999999999</v>
      </c>
      <c r="D174" s="4">
        <f>24.1594 * CHOOSE(CONTROL!$C$9, $C$13, 100%, $E$13) + CHOOSE(CONTROL!$C$28, 0, 0)</f>
        <v>24.159400000000002</v>
      </c>
      <c r="E174" s="4">
        <f>104.304134501724 * CHOOSE(CONTROL!$C$9, $C$13, 100%, $E$13) + CHOOSE(CONTROL!$C$28, 0, 0)</f>
        <v>104.30413450172399</v>
      </c>
    </row>
    <row r="175" spans="1:5" ht="15">
      <c r="A175" s="13">
        <v>46813</v>
      </c>
      <c r="B175" s="4">
        <f>19.1117 * CHOOSE(CONTROL!$C$9, $C$13, 100%, $E$13) + CHOOSE(CONTROL!$C$28, 0.0003, 0)</f>
        <v>19.111999999999998</v>
      </c>
      <c r="C175" s="4">
        <f>18.7992 * CHOOSE(CONTROL!$C$9, $C$13, 100%, $E$13) + CHOOSE(CONTROL!$C$28, 0.0003, 0)</f>
        <v>18.799499999999998</v>
      </c>
      <c r="D175" s="4">
        <f>25.4048 * CHOOSE(CONTROL!$C$9, $C$13, 100%, $E$13) + CHOOSE(CONTROL!$C$28, 0, 0)</f>
        <v>25.404800000000002</v>
      </c>
      <c r="E175" s="4">
        <f>110.656953660589 * CHOOSE(CONTROL!$C$9, $C$13, 100%, $E$13) + CHOOSE(CONTROL!$C$28, 0, 0)</f>
        <v>110.656953660589</v>
      </c>
    </row>
    <row r="176" spans="1:5" ht="15">
      <c r="A176" s="13">
        <v>46844</v>
      </c>
      <c r="B176" s="4">
        <f>19.8148 * CHOOSE(CONTROL!$C$9, $C$13, 100%, $E$13) + CHOOSE(CONTROL!$C$28, 0.0003, 0)</f>
        <v>19.815100000000001</v>
      </c>
      <c r="C176" s="4">
        <f>19.5023 * CHOOSE(CONTROL!$C$9, $C$13, 100%, $E$13) + CHOOSE(CONTROL!$C$28, 0.0003, 0)</f>
        <v>19.502600000000001</v>
      </c>
      <c r="D176" s="4">
        <f>26.1221 * CHOOSE(CONTROL!$C$9, $C$13, 100%, $E$13) + CHOOSE(CONTROL!$C$28, 0, 0)</f>
        <v>26.1221</v>
      </c>
      <c r="E176" s="4">
        <f>115.17071633541 * CHOOSE(CONTROL!$C$9, $C$13, 100%, $E$13) + CHOOSE(CONTROL!$C$28, 0, 0)</f>
        <v>115.17071633541001</v>
      </c>
    </row>
    <row r="177" spans="1:5" ht="15">
      <c r="A177" s="13">
        <v>46874</v>
      </c>
      <c r="B177" s="4">
        <f>20.2444 * CHOOSE(CONTROL!$C$9, $C$13, 100%, $E$13) + CHOOSE(CONTROL!$C$28, 0.0202, 0)</f>
        <v>20.264599999999998</v>
      </c>
      <c r="C177" s="4">
        <f>19.9319 * CHOOSE(CONTROL!$C$9, $C$13, 100%, $E$13) + CHOOSE(CONTROL!$C$28, 0.0202, 0)</f>
        <v>19.952099999999998</v>
      </c>
      <c r="D177" s="4">
        <f>25.8387 * CHOOSE(CONTROL!$C$9, $C$13, 100%, $E$13) + CHOOSE(CONTROL!$C$28, 0, 0)</f>
        <v>25.838699999999999</v>
      </c>
      <c r="E177" s="4">
        <f>117.928517149932 * CHOOSE(CONTROL!$C$9, $C$13, 100%, $E$13) + CHOOSE(CONTROL!$C$28, 0, 0)</f>
        <v>117.92851714993201</v>
      </c>
    </row>
    <row r="178" spans="1:5" ht="15">
      <c r="A178" s="13">
        <v>46905</v>
      </c>
      <c r="B178" s="4">
        <f>20.3025 * CHOOSE(CONTROL!$C$9, $C$13, 100%, $E$13) + CHOOSE(CONTROL!$C$28, 0.0202, 0)</f>
        <v>20.322699999999998</v>
      </c>
      <c r="C178" s="4">
        <f>19.99 * CHOOSE(CONTROL!$C$9, $C$13, 100%, $E$13) + CHOOSE(CONTROL!$C$28, 0.0202, 0)</f>
        <v>20.010199999999998</v>
      </c>
      <c r="D178" s="4">
        <f>26.0695 * CHOOSE(CONTROL!$C$9, $C$13, 100%, $E$13) + CHOOSE(CONTROL!$C$28, 0, 0)</f>
        <v>26.069500000000001</v>
      </c>
      <c r="E178" s="4">
        <f>118.301659045246 * CHOOSE(CONTROL!$C$9, $C$13, 100%, $E$13) + CHOOSE(CONTROL!$C$28, 0, 0)</f>
        <v>118.301659045246</v>
      </c>
    </row>
    <row r="179" spans="1:5" ht="15">
      <c r="A179" s="13">
        <v>46935</v>
      </c>
      <c r="B179" s="4">
        <f>20.2967 * CHOOSE(CONTROL!$C$9, $C$13, 100%, $E$13) + CHOOSE(CONTROL!$C$28, 0.0202, 0)</f>
        <v>20.3169</v>
      </c>
      <c r="C179" s="4">
        <f>19.9842 * CHOOSE(CONTROL!$C$9, $C$13, 100%, $E$13) + CHOOSE(CONTROL!$C$28, 0.0202, 0)</f>
        <v>20.0044</v>
      </c>
      <c r="D179" s="4">
        <f>26.4861 * CHOOSE(CONTROL!$C$9, $C$13, 100%, $E$13) + CHOOSE(CONTROL!$C$28, 0, 0)</f>
        <v>26.4861</v>
      </c>
      <c r="E179" s="4">
        <f>118.264031291096 * CHOOSE(CONTROL!$C$9, $C$13, 100%, $E$13) + CHOOSE(CONTROL!$C$28, 0, 0)</f>
        <v>118.264031291096</v>
      </c>
    </row>
    <row r="180" spans="1:5" ht="15">
      <c r="A180" s="13">
        <v>46966</v>
      </c>
      <c r="B180" s="4">
        <f>20.7377 * CHOOSE(CONTROL!$C$9, $C$13, 100%, $E$13) + CHOOSE(CONTROL!$C$28, 0.0202, 0)</f>
        <v>20.757899999999999</v>
      </c>
      <c r="C180" s="4">
        <f>20.4252 * CHOOSE(CONTROL!$C$9, $C$13, 100%, $E$13) + CHOOSE(CONTROL!$C$28, 0.0202, 0)</f>
        <v>20.445399999999999</v>
      </c>
      <c r="D180" s="4">
        <f>26.211 * CHOOSE(CONTROL!$C$9, $C$13, 100%, $E$13) + CHOOSE(CONTROL!$C$28, 0, 0)</f>
        <v>26.210999999999999</v>
      </c>
      <c r="E180" s="4">
        <f>121.095519790827 * CHOOSE(CONTROL!$C$9, $C$13, 100%, $E$13) + CHOOSE(CONTROL!$C$28, 0, 0)</f>
        <v>121.095519790827</v>
      </c>
    </row>
    <row r="181" spans="1:5" ht="15">
      <c r="A181" s="13">
        <v>46997</v>
      </c>
      <c r="B181" s="4">
        <f>19.986 * CHOOSE(CONTROL!$C$9, $C$13, 100%, $E$13) + CHOOSE(CONTROL!$C$28, 0.0202, 0)</f>
        <v>20.0062</v>
      </c>
      <c r="C181" s="4">
        <f>19.6735 * CHOOSE(CONTROL!$C$9, $C$13, 100%, $E$13) + CHOOSE(CONTROL!$C$28, 0.0202, 0)</f>
        <v>19.6937</v>
      </c>
      <c r="D181" s="4">
        <f>26.081 * CHOOSE(CONTROL!$C$9, $C$13, 100%, $E$13) + CHOOSE(CONTROL!$C$28, 0, 0)</f>
        <v>26.081</v>
      </c>
      <c r="E181" s="4">
        <f>116.269760321186 * CHOOSE(CONTROL!$C$9, $C$13, 100%, $E$13) + CHOOSE(CONTROL!$C$28, 0, 0)</f>
        <v>116.269760321186</v>
      </c>
    </row>
    <row r="182" spans="1:5" ht="15">
      <c r="A182" s="13">
        <v>47027</v>
      </c>
      <c r="B182" s="4">
        <f>19.3843 * CHOOSE(CONTROL!$C$9, $C$13, 100%, $E$13) + CHOOSE(CONTROL!$C$28, 0.0003, 0)</f>
        <v>19.384599999999999</v>
      </c>
      <c r="C182" s="4">
        <f>19.0718 * CHOOSE(CONTROL!$C$9, $C$13, 100%, $E$13) + CHOOSE(CONTROL!$C$28, 0.0003, 0)</f>
        <v>19.072099999999999</v>
      </c>
      <c r="D182" s="4">
        <f>25.733 * CHOOSE(CONTROL!$C$9, $C$13, 100%, $E$13) + CHOOSE(CONTROL!$C$28, 0, 0)</f>
        <v>25.733000000000001</v>
      </c>
      <c r="E182" s="4">
        <f>112.40664422853 * CHOOSE(CONTROL!$C$9, $C$13, 100%, $E$13) + CHOOSE(CONTROL!$C$28, 0, 0)</f>
        <v>112.40664422853</v>
      </c>
    </row>
    <row r="183" spans="1:5" ht="15">
      <c r="A183" s="13">
        <v>47058</v>
      </c>
      <c r="B183" s="4">
        <f>18.9967 * CHOOSE(CONTROL!$C$9, $C$13, 100%, $E$13) + CHOOSE(CONTROL!$C$28, 0.0003, 0)</f>
        <v>18.997</v>
      </c>
      <c r="C183" s="4">
        <f>18.6842 * CHOOSE(CONTROL!$C$9, $C$13, 100%, $E$13) + CHOOSE(CONTROL!$C$28, 0.0003, 0)</f>
        <v>18.6845</v>
      </c>
      <c r="D183" s="4">
        <f>25.6133 * CHOOSE(CONTROL!$C$9, $C$13, 100%, $E$13) + CHOOSE(CONTROL!$C$28, 0, 0)</f>
        <v>25.613299999999999</v>
      </c>
      <c r="E183" s="4">
        <f>109.91850898541 * CHOOSE(CONTROL!$C$9, $C$13, 100%, $E$13) + CHOOSE(CONTROL!$C$28, 0, 0)</f>
        <v>109.91850898541</v>
      </c>
    </row>
    <row r="184" spans="1:5" ht="15">
      <c r="A184" s="13">
        <v>47088</v>
      </c>
      <c r="B184" s="4">
        <f>18.7286 * CHOOSE(CONTROL!$C$9, $C$13, 100%, $E$13) + CHOOSE(CONTROL!$C$28, 0.0003, 0)</f>
        <v>18.728899999999999</v>
      </c>
      <c r="C184" s="4">
        <f>18.4161 * CHOOSE(CONTROL!$C$9, $C$13, 100%, $E$13) + CHOOSE(CONTROL!$C$28, 0.0003, 0)</f>
        <v>18.416399999999999</v>
      </c>
      <c r="D184" s="4">
        <f>24.7324 * CHOOSE(CONTROL!$C$9, $C$13, 100%, $E$13) + CHOOSE(CONTROL!$C$28, 0, 0)</f>
        <v>24.732399999999998</v>
      </c>
      <c r="E184" s="4">
        <f>108.197039233082 * CHOOSE(CONTROL!$C$9, $C$13, 100%, $E$13) + CHOOSE(CONTROL!$C$28, 0, 0)</f>
        <v>108.19703923308199</v>
      </c>
    </row>
    <row r="185" spans="1:5" ht="15">
      <c r="A185" s="13">
        <v>47119</v>
      </c>
      <c r="B185" s="4">
        <f>18.3377 * CHOOSE(CONTROL!$C$9, $C$13, 100%, $E$13) + CHOOSE(CONTROL!$C$28, 0.0003, 0)</f>
        <v>18.338000000000001</v>
      </c>
      <c r="C185" s="4">
        <f>18.0252 * CHOOSE(CONTROL!$C$9, $C$13, 100%, $E$13) + CHOOSE(CONTROL!$C$28, 0.0003, 0)</f>
        <v>18.025500000000001</v>
      </c>
      <c r="D185" s="4">
        <f>24.0026 * CHOOSE(CONTROL!$C$9, $C$13, 100%, $E$13) + CHOOSE(CONTROL!$C$28, 0, 0)</f>
        <v>24.002600000000001</v>
      </c>
      <c r="E185" s="4">
        <f>105.693971876887 * CHOOSE(CONTROL!$C$9, $C$13, 100%, $E$13) + CHOOSE(CONTROL!$C$28, 0, 0)</f>
        <v>105.69397187688701</v>
      </c>
    </row>
    <row r="186" spans="1:5" ht="15">
      <c r="A186" s="13">
        <v>47150</v>
      </c>
      <c r="B186" s="4">
        <f>18.7286 * CHOOSE(CONTROL!$C$9, $C$13, 100%, $E$13) + CHOOSE(CONTROL!$C$28, 0.0003, 0)</f>
        <v>18.728899999999999</v>
      </c>
      <c r="C186" s="4">
        <f>18.4161 * CHOOSE(CONTROL!$C$9, $C$13, 100%, $E$13) + CHOOSE(CONTROL!$C$28, 0.0003, 0)</f>
        <v>18.416399999999999</v>
      </c>
      <c r="D186" s="4">
        <f>24.8207 * CHOOSE(CONTROL!$C$9, $C$13, 100%, $E$13) + CHOOSE(CONTROL!$C$28, 0, 0)</f>
        <v>24.820699999999999</v>
      </c>
      <c r="E186" s="4">
        <f>108.203563299616 * CHOOSE(CONTROL!$C$9, $C$13, 100%, $E$13) + CHOOSE(CONTROL!$C$28, 0, 0)</f>
        <v>108.20356329961599</v>
      </c>
    </row>
    <row r="187" spans="1:5" ht="15">
      <c r="A187" s="13">
        <v>47178</v>
      </c>
      <c r="B187" s="4">
        <f>19.7551 * CHOOSE(CONTROL!$C$9, $C$13, 100%, $E$13) + CHOOSE(CONTROL!$C$28, 0.0003, 0)</f>
        <v>19.755399999999998</v>
      </c>
      <c r="C187" s="4">
        <f>19.4426 * CHOOSE(CONTROL!$C$9, $C$13, 100%, $E$13) + CHOOSE(CONTROL!$C$28, 0.0003, 0)</f>
        <v>19.442899999999998</v>
      </c>
      <c r="D187" s="4">
        <f>26.1014 * CHOOSE(CONTROL!$C$9, $C$13, 100%, $E$13) + CHOOSE(CONTROL!$C$28, 0, 0)</f>
        <v>26.101400000000002</v>
      </c>
      <c r="E187" s="4">
        <f>114.79388374349 * CHOOSE(CONTROL!$C$9, $C$13, 100%, $E$13) + CHOOSE(CONTROL!$C$28, 0, 0)</f>
        <v>114.79388374349</v>
      </c>
    </row>
    <row r="188" spans="1:5" ht="15">
      <c r="A188" s="13">
        <v>47209</v>
      </c>
      <c r="B188" s="4">
        <f>20.4844 * CHOOSE(CONTROL!$C$9, $C$13, 100%, $E$13) + CHOOSE(CONTROL!$C$28, 0.0003, 0)</f>
        <v>20.4847</v>
      </c>
      <c r="C188" s="4">
        <f>20.1719 * CHOOSE(CONTROL!$C$9, $C$13, 100%, $E$13) + CHOOSE(CONTROL!$C$28, 0.0003, 0)</f>
        <v>20.1722</v>
      </c>
      <c r="D188" s="4">
        <f>26.8391 * CHOOSE(CONTROL!$C$9, $C$13, 100%, $E$13) + CHOOSE(CONTROL!$C$28, 0, 0)</f>
        <v>26.839099999999998</v>
      </c>
      <c r="E188" s="4">
        <f>119.47639424643 * CHOOSE(CONTROL!$C$9, $C$13, 100%, $E$13) + CHOOSE(CONTROL!$C$28, 0, 0)</f>
        <v>119.47639424643</v>
      </c>
    </row>
    <row r="189" spans="1:5" ht="15">
      <c r="A189" s="13">
        <v>47239</v>
      </c>
      <c r="B189" s="4">
        <f>20.93 * CHOOSE(CONTROL!$C$9, $C$13, 100%, $E$13) + CHOOSE(CONTROL!$C$28, 0.0202, 0)</f>
        <v>20.950199999999999</v>
      </c>
      <c r="C189" s="4">
        <f>20.6175 * CHOOSE(CONTROL!$C$9, $C$13, 100%, $E$13) + CHOOSE(CONTROL!$C$28, 0.0202, 0)</f>
        <v>20.637699999999999</v>
      </c>
      <c r="D189" s="4">
        <f>26.5476 * CHOOSE(CONTROL!$C$9, $C$13, 100%, $E$13) + CHOOSE(CONTROL!$C$28, 0, 0)</f>
        <v>26.547599999999999</v>
      </c>
      <c r="E189" s="4">
        <f>122.337295939612 * CHOOSE(CONTROL!$C$9, $C$13, 100%, $E$13) + CHOOSE(CONTROL!$C$28, 0, 0)</f>
        <v>122.33729593961201</v>
      </c>
    </row>
    <row r="190" spans="1:5" ht="15">
      <c r="A190" s="13">
        <v>47270</v>
      </c>
      <c r="B190" s="4">
        <f>20.9903 * CHOOSE(CONTROL!$C$9, $C$13, 100%, $E$13) + CHOOSE(CONTROL!$C$28, 0.0202, 0)</f>
        <v>21.0105</v>
      </c>
      <c r="C190" s="4">
        <f>20.6778 * CHOOSE(CONTROL!$C$9, $C$13, 100%, $E$13) + CHOOSE(CONTROL!$C$28, 0.0202, 0)</f>
        <v>20.698</v>
      </c>
      <c r="D190" s="4">
        <f>26.785 * CHOOSE(CONTROL!$C$9, $C$13, 100%, $E$13) + CHOOSE(CONTROL!$C$28, 0, 0)</f>
        <v>26.785</v>
      </c>
      <c r="E190" s="4">
        <f>122.724387811685 * CHOOSE(CONTROL!$C$9, $C$13, 100%, $E$13) + CHOOSE(CONTROL!$C$28, 0, 0)</f>
        <v>122.72438781168501</v>
      </c>
    </row>
    <row r="191" spans="1:5" ht="15">
      <c r="A191" s="13">
        <v>47300</v>
      </c>
      <c r="B191" s="4">
        <f>20.9842 * CHOOSE(CONTROL!$C$9, $C$13, 100%, $E$13) + CHOOSE(CONTROL!$C$28, 0.0202, 0)</f>
        <v>21.0044</v>
      </c>
      <c r="C191" s="4">
        <f>20.6717 * CHOOSE(CONTROL!$C$9, $C$13, 100%, $E$13) + CHOOSE(CONTROL!$C$28, 0.0202, 0)</f>
        <v>20.6919</v>
      </c>
      <c r="D191" s="4">
        <f>27.2134 * CHOOSE(CONTROL!$C$9, $C$13, 100%, $E$13) + CHOOSE(CONTROL!$C$28, 0, 0)</f>
        <v>27.2134</v>
      </c>
      <c r="E191" s="4">
        <f>122.685353337191 * CHOOSE(CONTROL!$C$9, $C$13, 100%, $E$13) + CHOOSE(CONTROL!$C$28, 0, 0)</f>
        <v>122.685353337191</v>
      </c>
    </row>
    <row r="192" spans="1:5" ht="15">
      <c r="A192" s="13">
        <v>47331</v>
      </c>
      <c r="B192" s="4">
        <f>21.4417 * CHOOSE(CONTROL!$C$9, $C$13, 100%, $E$13) + CHOOSE(CONTROL!$C$28, 0.0202, 0)</f>
        <v>21.4619</v>
      </c>
      <c r="C192" s="4">
        <f>21.1292 * CHOOSE(CONTROL!$C$9, $C$13, 100%, $E$13) + CHOOSE(CONTROL!$C$28, 0.0202, 0)</f>
        <v>21.1494</v>
      </c>
      <c r="D192" s="4">
        <f>26.9305 * CHOOSE(CONTROL!$C$9, $C$13, 100%, $E$13) + CHOOSE(CONTROL!$C$28, 0, 0)</f>
        <v>26.930499999999999</v>
      </c>
      <c r="E192" s="4">
        <f>125.622697542925 * CHOOSE(CONTROL!$C$9, $C$13, 100%, $E$13) + CHOOSE(CONTROL!$C$28, 0, 0)</f>
        <v>125.622697542925</v>
      </c>
    </row>
    <row r="193" spans="1:5" ht="15">
      <c r="A193" s="13">
        <v>47362</v>
      </c>
      <c r="B193" s="4">
        <f>20.662 * CHOOSE(CONTROL!$C$9, $C$13, 100%, $E$13) + CHOOSE(CONTROL!$C$28, 0.0202, 0)</f>
        <v>20.682199999999998</v>
      </c>
      <c r="C193" s="4">
        <f>20.3495 * CHOOSE(CONTROL!$C$9, $C$13, 100%, $E$13) + CHOOSE(CONTROL!$C$28, 0.0202, 0)</f>
        <v>20.369699999999998</v>
      </c>
      <c r="D193" s="4">
        <f>26.7968 * CHOOSE(CONTROL!$C$9, $C$13, 100%, $E$13) + CHOOSE(CONTROL!$C$28, 0, 0)</f>
        <v>26.796800000000001</v>
      </c>
      <c r="E193" s="4">
        <f>120.616526188966 * CHOOSE(CONTROL!$C$9, $C$13, 100%, $E$13) + CHOOSE(CONTROL!$C$28, 0, 0)</f>
        <v>120.61652618896601</v>
      </c>
    </row>
    <row r="194" spans="1:5" ht="15">
      <c r="A194" s="13">
        <v>47392</v>
      </c>
      <c r="B194" s="4">
        <f>20.0378 * CHOOSE(CONTROL!$C$9, $C$13, 100%, $E$13) + CHOOSE(CONTROL!$C$28, 0.0003, 0)</f>
        <v>20.0381</v>
      </c>
      <c r="C194" s="4">
        <f>19.7253 * CHOOSE(CONTROL!$C$9, $C$13, 100%, $E$13) + CHOOSE(CONTROL!$C$28, 0.0003, 0)</f>
        <v>19.7256</v>
      </c>
      <c r="D194" s="4">
        <f>26.4389 * CHOOSE(CONTROL!$C$9, $C$13, 100%, $E$13) + CHOOSE(CONTROL!$C$28, 0, 0)</f>
        <v>26.4389</v>
      </c>
      <c r="E194" s="4">
        <f>116.608986807498 * CHOOSE(CONTROL!$C$9, $C$13, 100%, $E$13) + CHOOSE(CONTROL!$C$28, 0, 0)</f>
        <v>116.608986807498</v>
      </c>
    </row>
    <row r="195" spans="1:5" ht="15">
      <c r="A195" s="13">
        <v>47423</v>
      </c>
      <c r="B195" s="4">
        <f>19.6357 * CHOOSE(CONTROL!$C$9, $C$13, 100%, $E$13) + CHOOSE(CONTROL!$C$28, 0.0003, 0)</f>
        <v>19.635999999999999</v>
      </c>
      <c r="C195" s="4">
        <f>19.3232 * CHOOSE(CONTROL!$C$9, $C$13, 100%, $E$13) + CHOOSE(CONTROL!$C$28, 0.0003, 0)</f>
        <v>19.323499999999999</v>
      </c>
      <c r="D195" s="4">
        <f>26.3159 * CHOOSE(CONTROL!$C$9, $C$13, 100%, $E$13) + CHOOSE(CONTROL!$C$28, 0, 0)</f>
        <v>26.315899999999999</v>
      </c>
      <c r="E195" s="4">
        <f>114.027832181529 * CHOOSE(CONTROL!$C$9, $C$13, 100%, $E$13) + CHOOSE(CONTROL!$C$28, 0, 0)</f>
        <v>114.02783218152901</v>
      </c>
    </row>
    <row r="196" spans="1:5" ht="15">
      <c r="A196" s="13">
        <v>47453</v>
      </c>
      <c r="B196" s="4">
        <f>19.3576 * CHOOSE(CONTROL!$C$9, $C$13, 100%, $E$13) + CHOOSE(CONTROL!$C$28, 0.0003, 0)</f>
        <v>19.357900000000001</v>
      </c>
      <c r="C196" s="4">
        <f>19.0451 * CHOOSE(CONTROL!$C$9, $C$13, 100%, $E$13) + CHOOSE(CONTROL!$C$28, 0.0003, 0)</f>
        <v>19.045400000000001</v>
      </c>
      <c r="D196" s="4">
        <f>25.41 * CHOOSE(CONTROL!$C$9, $C$13, 100%, $E$13) + CHOOSE(CONTROL!$C$28, 0, 0)</f>
        <v>25.41</v>
      </c>
      <c r="E196" s="4">
        <f>112.242004973391 * CHOOSE(CONTROL!$C$9, $C$13, 100%, $E$13) + CHOOSE(CONTROL!$C$28, 0, 0)</f>
        <v>112.242004973391</v>
      </c>
    </row>
    <row r="197" spans="1:5" ht="15">
      <c r="A197" s="13">
        <v>47484</v>
      </c>
      <c r="B197" s="4">
        <f>18.9384 * CHOOSE(CONTROL!$C$9, $C$13, 100%, $E$13) + CHOOSE(CONTROL!$C$28, 0.0003, 0)</f>
        <v>18.938700000000001</v>
      </c>
      <c r="C197" s="4">
        <f>18.6259 * CHOOSE(CONTROL!$C$9, $C$13, 100%, $E$13) + CHOOSE(CONTROL!$C$28, 0.0003, 0)</f>
        <v>18.626200000000001</v>
      </c>
      <c r="D197" s="4">
        <f>24.6579 * CHOOSE(CONTROL!$C$9, $C$13, 100%, $E$13) + CHOOSE(CONTROL!$C$28, 0, 0)</f>
        <v>24.657900000000001</v>
      </c>
      <c r="E197" s="4">
        <f>109.569103782981 * CHOOSE(CONTROL!$C$9, $C$13, 100%, $E$13) + CHOOSE(CONTROL!$C$28, 0, 0)</f>
        <v>109.569103782981</v>
      </c>
    </row>
    <row r="198" spans="1:5" ht="15">
      <c r="A198" s="13">
        <v>47515</v>
      </c>
      <c r="B198" s="4">
        <f>19.3435 * CHOOSE(CONTROL!$C$9, $C$13, 100%, $E$13) + CHOOSE(CONTROL!$C$28, 0.0003, 0)</f>
        <v>19.343799999999998</v>
      </c>
      <c r="C198" s="4">
        <f>19.031 * CHOOSE(CONTROL!$C$9, $C$13, 100%, $E$13) + CHOOSE(CONTROL!$C$28, 0.0003, 0)</f>
        <v>19.031299999999998</v>
      </c>
      <c r="D198" s="4">
        <f>25.4991 * CHOOSE(CONTROL!$C$9, $C$13, 100%, $E$13) + CHOOSE(CONTROL!$C$28, 0, 0)</f>
        <v>25.499099999999999</v>
      </c>
      <c r="E198" s="4">
        <f>112.170706108705 * CHOOSE(CONTROL!$C$9, $C$13, 100%, $E$13) + CHOOSE(CONTROL!$C$28, 0, 0)</f>
        <v>112.17070610870501</v>
      </c>
    </row>
    <row r="199" spans="1:5" ht="15">
      <c r="A199" s="13">
        <v>47543</v>
      </c>
      <c r="B199" s="4">
        <f>20.4075 * CHOOSE(CONTROL!$C$9, $C$13, 100%, $E$13) + CHOOSE(CONTROL!$C$28, 0.0003, 0)</f>
        <v>20.407799999999998</v>
      </c>
      <c r="C199" s="4">
        <f>20.095 * CHOOSE(CONTROL!$C$9, $C$13, 100%, $E$13) + CHOOSE(CONTROL!$C$28, 0.0003, 0)</f>
        <v>20.095299999999998</v>
      </c>
      <c r="D199" s="4">
        <f>26.816 * CHOOSE(CONTROL!$C$9, $C$13, 100%, $E$13) + CHOOSE(CONTROL!$C$28, 0, 0)</f>
        <v>26.815999999999999</v>
      </c>
      <c r="E199" s="4">
        <f>119.002652073599 * CHOOSE(CONTROL!$C$9, $C$13, 100%, $E$13) + CHOOSE(CONTROL!$C$28, 0, 0)</f>
        <v>119.00265207359899</v>
      </c>
    </row>
    <row r="200" spans="1:5" ht="15">
      <c r="A200" s="13">
        <v>47574</v>
      </c>
      <c r="B200" s="4">
        <f>21.1634 * CHOOSE(CONTROL!$C$9, $C$13, 100%, $E$13) + CHOOSE(CONTROL!$C$28, 0.0003, 0)</f>
        <v>21.163699999999999</v>
      </c>
      <c r="C200" s="4">
        <f>20.8509 * CHOOSE(CONTROL!$C$9, $C$13, 100%, $E$13) + CHOOSE(CONTROL!$C$28, 0.0003, 0)</f>
        <v>20.851199999999999</v>
      </c>
      <c r="D200" s="4">
        <f>27.5745 * CHOOSE(CONTROL!$C$9, $C$13, 100%, $E$13) + CHOOSE(CONTROL!$C$28, 0, 0)</f>
        <v>27.5745</v>
      </c>
      <c r="E200" s="4">
        <f>123.856840729307 * CHOOSE(CONTROL!$C$9, $C$13, 100%, $E$13) + CHOOSE(CONTROL!$C$28, 0, 0)</f>
        <v>123.856840729307</v>
      </c>
    </row>
    <row r="201" spans="1:5" ht="15">
      <c r="A201" s="13">
        <v>47604</v>
      </c>
      <c r="B201" s="4">
        <f>21.6253 * CHOOSE(CONTROL!$C$9, $C$13, 100%, $E$13) + CHOOSE(CONTROL!$C$28, 0.0202, 0)</f>
        <v>21.645499999999998</v>
      </c>
      <c r="C201" s="4">
        <f>21.3128 * CHOOSE(CONTROL!$C$9, $C$13, 100%, $E$13) + CHOOSE(CONTROL!$C$28, 0.0202, 0)</f>
        <v>21.332999999999998</v>
      </c>
      <c r="D201" s="4">
        <f>27.2748 * CHOOSE(CONTROL!$C$9, $C$13, 100%, $E$13) + CHOOSE(CONTROL!$C$28, 0, 0)</f>
        <v>27.274799999999999</v>
      </c>
      <c r="E201" s="4">
        <f>126.82263365928 * CHOOSE(CONTROL!$C$9, $C$13, 100%, $E$13) + CHOOSE(CONTROL!$C$28, 0, 0)</f>
        <v>126.82263365928</v>
      </c>
    </row>
    <row r="202" spans="1:5" ht="15">
      <c r="A202" s="13">
        <v>47635</v>
      </c>
      <c r="B202" s="4">
        <f>21.6878 * CHOOSE(CONTROL!$C$9, $C$13, 100%, $E$13) + CHOOSE(CONTROL!$C$28, 0.0202, 0)</f>
        <v>21.707999999999998</v>
      </c>
      <c r="C202" s="4">
        <f>21.3753 * CHOOSE(CONTROL!$C$9, $C$13, 100%, $E$13) + CHOOSE(CONTROL!$C$28, 0.0202, 0)</f>
        <v>21.395499999999998</v>
      </c>
      <c r="D202" s="4">
        <f>27.5189 * CHOOSE(CONTROL!$C$9, $C$13, 100%, $E$13) + CHOOSE(CONTROL!$C$28, 0, 0)</f>
        <v>27.518899999999999</v>
      </c>
      <c r="E202" s="4">
        <f>127.223917750999 * CHOOSE(CONTROL!$C$9, $C$13, 100%, $E$13) + CHOOSE(CONTROL!$C$28, 0, 0)</f>
        <v>127.22391775099899</v>
      </c>
    </row>
    <row r="203" spans="1:5" ht="15">
      <c r="A203" s="13">
        <v>47665</v>
      </c>
      <c r="B203" s="4">
        <f>21.6815 * CHOOSE(CONTROL!$C$9, $C$13, 100%, $E$13) + CHOOSE(CONTROL!$C$28, 0.0202, 0)</f>
        <v>21.701699999999999</v>
      </c>
      <c r="C203" s="4">
        <f>21.369 * CHOOSE(CONTROL!$C$9, $C$13, 100%, $E$13) + CHOOSE(CONTROL!$C$28, 0.0202, 0)</f>
        <v>21.389199999999999</v>
      </c>
      <c r="D203" s="4">
        <f>27.9594 * CHOOSE(CONTROL!$C$9, $C$13, 100%, $E$13) + CHOOSE(CONTROL!$C$28, 0, 0)</f>
        <v>27.959399999999999</v>
      </c>
      <c r="E203" s="4">
        <f>127.183452128304 * CHOOSE(CONTROL!$C$9, $C$13, 100%, $E$13) + CHOOSE(CONTROL!$C$28, 0, 0)</f>
        <v>127.183452128304</v>
      </c>
    </row>
    <row r="204" spans="1:5" ht="15">
      <c r="A204" s="13">
        <v>47696</v>
      </c>
      <c r="B204" s="4">
        <f>22.1557 * CHOOSE(CONTROL!$C$9, $C$13, 100%, $E$13) + CHOOSE(CONTROL!$C$28, 0.0202, 0)</f>
        <v>22.175899999999999</v>
      </c>
      <c r="C204" s="4">
        <f>21.8432 * CHOOSE(CONTROL!$C$9, $C$13, 100%, $E$13) + CHOOSE(CONTROL!$C$28, 0.0202, 0)</f>
        <v>21.863399999999999</v>
      </c>
      <c r="D204" s="4">
        <f>27.6685 * CHOOSE(CONTROL!$C$9, $C$13, 100%, $E$13) + CHOOSE(CONTROL!$C$28, 0, 0)</f>
        <v>27.668500000000002</v>
      </c>
      <c r="E204" s="4">
        <f>130.228490236053 * CHOOSE(CONTROL!$C$9, $C$13, 100%, $E$13) + CHOOSE(CONTROL!$C$28, 0, 0)</f>
        <v>130.22849023605301</v>
      </c>
    </row>
    <row r="205" spans="1:5" ht="15">
      <c r="A205" s="13">
        <v>47727</v>
      </c>
      <c r="B205" s="4">
        <f>21.3475 * CHOOSE(CONTROL!$C$9, $C$13, 100%, $E$13) + CHOOSE(CONTROL!$C$28, 0.0202, 0)</f>
        <v>21.367699999999999</v>
      </c>
      <c r="C205" s="4">
        <f>21.035 * CHOOSE(CONTROL!$C$9, $C$13, 100%, $E$13) + CHOOSE(CONTROL!$C$28, 0.0202, 0)</f>
        <v>21.055199999999999</v>
      </c>
      <c r="D205" s="4">
        <f>27.5311 * CHOOSE(CONTROL!$C$9, $C$13, 100%, $E$13) + CHOOSE(CONTROL!$C$28, 0, 0)</f>
        <v>27.531099999999999</v>
      </c>
      <c r="E205" s="4">
        <f>125.038774125504 * CHOOSE(CONTROL!$C$9, $C$13, 100%, $E$13) + CHOOSE(CONTROL!$C$28, 0, 0)</f>
        <v>125.03877412550401</v>
      </c>
    </row>
    <row r="206" spans="1:5" ht="15">
      <c r="A206" s="13">
        <v>47757</v>
      </c>
      <c r="B206" s="4">
        <f>20.7005 * CHOOSE(CONTROL!$C$9, $C$13, 100%, $E$13) + CHOOSE(CONTROL!$C$28, 0.0003, 0)</f>
        <v>20.700800000000001</v>
      </c>
      <c r="C206" s="4">
        <f>20.388 * CHOOSE(CONTROL!$C$9, $C$13, 100%, $E$13) + CHOOSE(CONTROL!$C$28, 0.0003, 0)</f>
        <v>20.388300000000001</v>
      </c>
      <c r="D206" s="4">
        <f>27.163 * CHOOSE(CONTROL!$C$9, $C$13, 100%, $E$13) + CHOOSE(CONTROL!$C$28, 0, 0)</f>
        <v>27.163</v>
      </c>
      <c r="E206" s="4">
        <f>120.884303528886 * CHOOSE(CONTROL!$C$9, $C$13, 100%, $E$13) + CHOOSE(CONTROL!$C$28, 0, 0)</f>
        <v>120.88430352888599</v>
      </c>
    </row>
    <row r="207" spans="1:5" ht="15">
      <c r="A207" s="13">
        <v>47788</v>
      </c>
      <c r="B207" s="4">
        <f>20.2838 * CHOOSE(CONTROL!$C$9, $C$13, 100%, $E$13) + CHOOSE(CONTROL!$C$28, 0.0003, 0)</f>
        <v>20.284099999999999</v>
      </c>
      <c r="C207" s="4">
        <f>19.9713 * CHOOSE(CONTROL!$C$9, $C$13, 100%, $E$13) + CHOOSE(CONTROL!$C$28, 0.0003, 0)</f>
        <v>19.971599999999999</v>
      </c>
      <c r="D207" s="4">
        <f>27.0365 * CHOOSE(CONTROL!$C$9, $C$13, 100%, $E$13) + CHOOSE(CONTROL!$C$28, 0, 0)</f>
        <v>27.0365</v>
      </c>
      <c r="E207" s="4">
        <f>118.208514228222 * CHOOSE(CONTROL!$C$9, $C$13, 100%, $E$13) + CHOOSE(CONTROL!$C$28, 0, 0)</f>
        <v>118.208514228222</v>
      </c>
    </row>
    <row r="208" spans="1:5" ht="15">
      <c r="A208" s="13">
        <v>47818</v>
      </c>
      <c r="B208" s="4">
        <f>19.9955 * CHOOSE(CONTROL!$C$9, $C$13, 100%, $E$13) + CHOOSE(CONTROL!$C$28, 0.0003, 0)</f>
        <v>19.995799999999999</v>
      </c>
      <c r="C208" s="4">
        <f>19.683 * CHOOSE(CONTROL!$C$9, $C$13, 100%, $E$13) + CHOOSE(CONTROL!$C$28, 0.0003, 0)</f>
        <v>19.683299999999999</v>
      </c>
      <c r="D208" s="4">
        <f>26.1051 * CHOOSE(CONTROL!$C$9, $C$13, 100%, $E$13) + CHOOSE(CONTROL!$C$28, 0, 0)</f>
        <v>26.1051</v>
      </c>
      <c r="E208" s="4">
        <f>116.357211989957 * CHOOSE(CONTROL!$C$9, $C$13, 100%, $E$13) + CHOOSE(CONTROL!$C$28, 0, 0)</f>
        <v>116.35721198995699</v>
      </c>
    </row>
    <row r="209" spans="1:5" ht="15">
      <c r="A209" s="13">
        <v>47849</v>
      </c>
      <c r="B209" s="4">
        <f>19.2683 * CHOOSE(CONTROL!$C$9, $C$13, 100%, $E$13) + CHOOSE(CONTROL!$C$28, 0.0003, 0)</f>
        <v>19.268599999999999</v>
      </c>
      <c r="C209" s="4">
        <f>18.9558 * CHOOSE(CONTROL!$C$9, $C$13, 100%, $E$13) + CHOOSE(CONTROL!$C$28, 0.0003, 0)</f>
        <v>18.956099999999999</v>
      </c>
      <c r="D209" s="4">
        <f>25.024 * CHOOSE(CONTROL!$C$9, $C$13, 100%, $E$13) + CHOOSE(CONTROL!$C$28, 0, 0)</f>
        <v>25.024000000000001</v>
      </c>
      <c r="E209" s="4">
        <f>111.751164473115 * CHOOSE(CONTROL!$C$9, $C$13, 100%, $E$13) + CHOOSE(CONTROL!$C$28, 0, 0)</f>
        <v>111.751164473115</v>
      </c>
    </row>
    <row r="210" spans="1:5" ht="15">
      <c r="A210" s="13">
        <v>47880</v>
      </c>
      <c r="B210" s="4">
        <f>19.6812 * CHOOSE(CONTROL!$C$9, $C$13, 100%, $E$13) + CHOOSE(CONTROL!$C$28, 0.0003, 0)</f>
        <v>19.6815</v>
      </c>
      <c r="C210" s="4">
        <f>19.3687 * CHOOSE(CONTROL!$C$9, $C$13, 100%, $E$13) + CHOOSE(CONTROL!$C$28, 0.0003, 0)</f>
        <v>19.369</v>
      </c>
      <c r="D210" s="4">
        <f>25.8781 * CHOOSE(CONTROL!$C$9, $C$13, 100%, $E$13) + CHOOSE(CONTROL!$C$28, 0, 0)</f>
        <v>25.8781</v>
      </c>
      <c r="E210" s="4">
        <f>114.404577518926 * CHOOSE(CONTROL!$C$9, $C$13, 100%, $E$13) + CHOOSE(CONTROL!$C$28, 0, 0)</f>
        <v>114.404577518926</v>
      </c>
    </row>
    <row r="211" spans="1:5" ht="15">
      <c r="A211" s="13">
        <v>47908</v>
      </c>
      <c r="B211" s="4">
        <f>20.7658 * CHOOSE(CONTROL!$C$9, $C$13, 100%, $E$13) + CHOOSE(CONTROL!$C$28, 0.0003, 0)</f>
        <v>20.766099999999998</v>
      </c>
      <c r="C211" s="4">
        <f>20.4533 * CHOOSE(CONTROL!$C$9, $C$13, 100%, $E$13) + CHOOSE(CONTROL!$C$28, 0.0003, 0)</f>
        <v>20.453599999999998</v>
      </c>
      <c r="D211" s="4">
        <f>27.2153 * CHOOSE(CONTROL!$C$9, $C$13, 100%, $E$13) + CHOOSE(CONTROL!$C$28, 0, 0)</f>
        <v>27.215299999999999</v>
      </c>
      <c r="E211" s="4">
        <f>121.372581188158 * CHOOSE(CONTROL!$C$9, $C$13, 100%, $E$13) + CHOOSE(CONTROL!$C$28, 0, 0)</f>
        <v>121.37258118815799</v>
      </c>
    </row>
    <row r="212" spans="1:5" ht="15">
      <c r="A212" s="13">
        <v>47939</v>
      </c>
      <c r="B212" s="4">
        <f>21.5363 * CHOOSE(CONTROL!$C$9, $C$13, 100%, $E$13) + CHOOSE(CONTROL!$C$28, 0.0003, 0)</f>
        <v>21.5366</v>
      </c>
      <c r="C212" s="4">
        <f>21.2238 * CHOOSE(CONTROL!$C$9, $C$13, 100%, $E$13) + CHOOSE(CONTROL!$C$28, 0.0003, 0)</f>
        <v>21.2241</v>
      </c>
      <c r="D212" s="4">
        <f>27.9855 * CHOOSE(CONTROL!$C$9, $C$13, 100%, $E$13) + CHOOSE(CONTROL!$C$28, 0, 0)</f>
        <v>27.985499999999998</v>
      </c>
      <c r="E212" s="4">
        <f>126.323440656006 * CHOOSE(CONTROL!$C$9, $C$13, 100%, $E$13) + CHOOSE(CONTROL!$C$28, 0, 0)</f>
        <v>126.323440656006</v>
      </c>
    </row>
    <row r="213" spans="1:5" ht="15">
      <c r="A213" s="13">
        <v>47969</v>
      </c>
      <c r="B213" s="4">
        <f>22.0071 * CHOOSE(CONTROL!$C$9, $C$13, 100%, $E$13) + CHOOSE(CONTROL!$C$28, 0.0202, 0)</f>
        <v>22.0273</v>
      </c>
      <c r="C213" s="4">
        <f>21.6946 * CHOOSE(CONTROL!$C$9, $C$13, 100%, $E$13) + CHOOSE(CONTROL!$C$28, 0.0202, 0)</f>
        <v>21.7148</v>
      </c>
      <c r="D213" s="4">
        <f>27.6811 * CHOOSE(CONTROL!$C$9, $C$13, 100%, $E$13) + CHOOSE(CONTROL!$C$28, 0, 0)</f>
        <v>27.681100000000001</v>
      </c>
      <c r="E213" s="4">
        <f>129.34829713532 * CHOOSE(CONTROL!$C$9, $C$13, 100%, $E$13) + CHOOSE(CONTROL!$C$28, 0, 0)</f>
        <v>129.34829713532</v>
      </c>
    </row>
    <row r="214" spans="1:5" ht="15">
      <c r="A214" s="13">
        <v>48000</v>
      </c>
      <c r="B214" s="4">
        <f>22.0708 * CHOOSE(CONTROL!$C$9, $C$13, 100%, $E$13) + CHOOSE(CONTROL!$C$28, 0.0202, 0)</f>
        <v>22.090999999999998</v>
      </c>
      <c r="C214" s="4">
        <f>21.7583 * CHOOSE(CONTROL!$C$9, $C$13, 100%, $E$13) + CHOOSE(CONTROL!$C$28, 0.0202, 0)</f>
        <v>21.778499999999998</v>
      </c>
      <c r="D214" s="4">
        <f>27.929 * CHOOSE(CONTROL!$C$9, $C$13, 100%, $E$13) + CHOOSE(CONTROL!$C$28, 0, 0)</f>
        <v>27.928999999999998</v>
      </c>
      <c r="E214" s="4">
        <f>129.757572770384 * CHOOSE(CONTROL!$C$9, $C$13, 100%, $E$13) + CHOOSE(CONTROL!$C$28, 0, 0)</f>
        <v>129.757572770384</v>
      </c>
    </row>
    <row r="215" spans="1:5" ht="15">
      <c r="A215" s="13">
        <v>48030</v>
      </c>
      <c r="B215" s="4">
        <f>22.0644 * CHOOSE(CONTROL!$C$9, $C$13, 100%, $E$13) + CHOOSE(CONTROL!$C$28, 0.0202, 0)</f>
        <v>22.084599999999998</v>
      </c>
      <c r="C215" s="4">
        <f>21.7519 * CHOOSE(CONTROL!$C$9, $C$13, 100%, $E$13) + CHOOSE(CONTROL!$C$28, 0.0202, 0)</f>
        <v>21.772099999999998</v>
      </c>
      <c r="D215" s="4">
        <f>28.3762 * CHOOSE(CONTROL!$C$9, $C$13, 100%, $E$13) + CHOOSE(CONTROL!$C$28, 0, 0)</f>
        <v>28.376200000000001</v>
      </c>
      <c r="E215" s="4">
        <f>129.716301277772 * CHOOSE(CONTROL!$C$9, $C$13, 100%, $E$13) + CHOOSE(CONTROL!$C$28, 0, 0)</f>
        <v>129.716301277772</v>
      </c>
    </row>
    <row r="216" spans="1:5" ht="15">
      <c r="A216" s="13">
        <v>48061</v>
      </c>
      <c r="B216" s="4">
        <f>22.5478 * CHOOSE(CONTROL!$C$9, $C$13, 100%, $E$13) + CHOOSE(CONTROL!$C$28, 0.0202, 0)</f>
        <v>22.567999999999998</v>
      </c>
      <c r="C216" s="4">
        <f>22.2353 * CHOOSE(CONTROL!$C$9, $C$13, 100%, $E$13) + CHOOSE(CONTROL!$C$28, 0.0202, 0)</f>
        <v>22.255499999999998</v>
      </c>
      <c r="D216" s="4">
        <f>28.0809 * CHOOSE(CONTROL!$C$9, $C$13, 100%, $E$13) + CHOOSE(CONTROL!$C$28, 0, 0)</f>
        <v>28.0809</v>
      </c>
      <c r="E216" s="4">
        <f>132.821981096783 * CHOOSE(CONTROL!$C$9, $C$13, 100%, $E$13) + CHOOSE(CONTROL!$C$28, 0, 0)</f>
        <v>132.82198109678299</v>
      </c>
    </row>
    <row r="217" spans="1:5" ht="15">
      <c r="A217" s="13">
        <v>48092</v>
      </c>
      <c r="B217" s="4">
        <f>21.724 * CHOOSE(CONTROL!$C$9, $C$13, 100%, $E$13) + CHOOSE(CONTROL!$C$28, 0.0202, 0)</f>
        <v>21.744199999999999</v>
      </c>
      <c r="C217" s="4">
        <f>21.4115 * CHOOSE(CONTROL!$C$9, $C$13, 100%, $E$13) + CHOOSE(CONTROL!$C$28, 0.0202, 0)</f>
        <v>21.431699999999999</v>
      </c>
      <c r="D217" s="4">
        <f>27.9413 * CHOOSE(CONTROL!$C$9, $C$13, 100%, $E$13) + CHOOSE(CONTROL!$C$28, 0, 0)</f>
        <v>27.941299999999998</v>
      </c>
      <c r="E217" s="4">
        <f>127.528912169366 * CHOOSE(CONTROL!$C$9, $C$13, 100%, $E$13) + CHOOSE(CONTROL!$C$28, 0, 0)</f>
        <v>127.528912169366</v>
      </c>
    </row>
    <row r="218" spans="1:5" ht="15">
      <c r="A218" s="13">
        <v>48122</v>
      </c>
      <c r="B218" s="4">
        <f>21.0645 * CHOOSE(CONTROL!$C$9, $C$13, 100%, $E$13) + CHOOSE(CONTROL!$C$28, 0.0003, 0)</f>
        <v>21.064799999999998</v>
      </c>
      <c r="C218" s="4">
        <f>20.752 * CHOOSE(CONTROL!$C$9, $C$13, 100%, $E$13) + CHOOSE(CONTROL!$C$28, 0.0003, 0)</f>
        <v>20.752299999999998</v>
      </c>
      <c r="D218" s="4">
        <f>27.5677 * CHOOSE(CONTROL!$C$9, $C$13, 100%, $E$13) + CHOOSE(CONTROL!$C$28, 0, 0)</f>
        <v>27.567699999999999</v>
      </c>
      <c r="E218" s="4">
        <f>123.291705594591 * CHOOSE(CONTROL!$C$9, $C$13, 100%, $E$13) + CHOOSE(CONTROL!$C$28, 0, 0)</f>
        <v>123.29170559459099</v>
      </c>
    </row>
    <row r="219" spans="1:5" ht="15">
      <c r="A219" s="13">
        <v>48153</v>
      </c>
      <c r="B219" s="4">
        <f>20.6397 * CHOOSE(CONTROL!$C$9, $C$13, 100%, $E$13) + CHOOSE(CONTROL!$C$28, 0.0003, 0)</f>
        <v>20.64</v>
      </c>
      <c r="C219" s="4">
        <f>20.3272 * CHOOSE(CONTROL!$C$9, $C$13, 100%, $E$13) + CHOOSE(CONTROL!$C$28, 0.0003, 0)</f>
        <v>20.327500000000001</v>
      </c>
      <c r="D219" s="4">
        <f>27.4392 * CHOOSE(CONTROL!$C$9, $C$13, 100%, $E$13) + CHOOSE(CONTROL!$C$28, 0, 0)</f>
        <v>27.4392</v>
      </c>
      <c r="E219" s="4">
        <f>120.562628145659 * CHOOSE(CONTROL!$C$9, $C$13, 100%, $E$13) + CHOOSE(CONTROL!$C$28, 0, 0)</f>
        <v>120.562628145659</v>
      </c>
    </row>
    <row r="220" spans="1:5" ht="15">
      <c r="A220" s="13">
        <v>48183</v>
      </c>
      <c r="B220" s="4">
        <f>20.3458 * CHOOSE(CONTROL!$C$9, $C$13, 100%, $E$13) + CHOOSE(CONTROL!$C$28, 0.0003, 0)</f>
        <v>20.3461</v>
      </c>
      <c r="C220" s="4">
        <f>20.0333 * CHOOSE(CONTROL!$C$9, $C$13, 100%, $E$13) + CHOOSE(CONTROL!$C$28, 0.0003, 0)</f>
        <v>20.0336</v>
      </c>
      <c r="D220" s="4">
        <f>26.4934 * CHOOSE(CONTROL!$C$9, $C$13, 100%, $E$13) + CHOOSE(CONTROL!$C$28, 0, 0)</f>
        <v>26.493400000000001</v>
      </c>
      <c r="E220" s="4">
        <f>118.674457358685 * CHOOSE(CONTROL!$C$9, $C$13, 100%, $E$13) + CHOOSE(CONTROL!$C$28, 0, 0)</f>
        <v>118.674457358685</v>
      </c>
    </row>
    <row r="221" spans="1:5" ht="15">
      <c r="A221" s="13">
        <v>48214</v>
      </c>
      <c r="B221" s="4">
        <f>19.6195 * CHOOSE(CONTROL!$C$9, $C$13, 100%, $E$13) + CHOOSE(CONTROL!$C$28, 0.0003, 0)</f>
        <v>19.619799999999998</v>
      </c>
      <c r="C221" s="4">
        <f>19.307 * CHOOSE(CONTROL!$C$9, $C$13, 100%, $E$13) + CHOOSE(CONTROL!$C$28, 0.0003, 0)</f>
        <v>19.307299999999998</v>
      </c>
      <c r="D221" s="4">
        <f>25.3982 * CHOOSE(CONTROL!$C$9, $C$13, 100%, $E$13) + CHOOSE(CONTROL!$C$28, 0, 0)</f>
        <v>25.398199999999999</v>
      </c>
      <c r="E221" s="4">
        <f>113.968087555585 * CHOOSE(CONTROL!$C$9, $C$13, 100%, $E$13) + CHOOSE(CONTROL!$C$28, 0, 0)</f>
        <v>113.968087555585</v>
      </c>
    </row>
    <row r="222" spans="1:5" ht="15">
      <c r="A222" s="13">
        <v>48245</v>
      </c>
      <c r="B222" s="4">
        <f>20.0408 * CHOOSE(CONTROL!$C$9, $C$13, 100%, $E$13) + CHOOSE(CONTROL!$C$28, 0.0003, 0)</f>
        <v>20.0411</v>
      </c>
      <c r="C222" s="4">
        <f>19.7283 * CHOOSE(CONTROL!$C$9, $C$13, 100%, $E$13) + CHOOSE(CONTROL!$C$28, 0.0003, 0)</f>
        <v>19.7286</v>
      </c>
      <c r="D222" s="4">
        <f>26.2655 * CHOOSE(CONTROL!$C$9, $C$13, 100%, $E$13) + CHOOSE(CONTROL!$C$28, 0, 0)</f>
        <v>26.265499999999999</v>
      </c>
      <c r="E222" s="4">
        <f>116.674139092067 * CHOOSE(CONTROL!$C$9, $C$13, 100%, $E$13) + CHOOSE(CONTROL!$C$28, 0, 0)</f>
        <v>116.67413909206699</v>
      </c>
    </row>
    <row r="223" spans="1:5" ht="15">
      <c r="A223" s="13">
        <v>48274</v>
      </c>
      <c r="B223" s="4">
        <f>21.1472 * CHOOSE(CONTROL!$C$9, $C$13, 100%, $E$13) + CHOOSE(CONTROL!$C$28, 0.0003, 0)</f>
        <v>21.147500000000001</v>
      </c>
      <c r="C223" s="4">
        <f>20.8347 * CHOOSE(CONTROL!$C$9, $C$13, 100%, $E$13) + CHOOSE(CONTROL!$C$28, 0.0003, 0)</f>
        <v>20.835000000000001</v>
      </c>
      <c r="D223" s="4">
        <f>27.6233 * CHOOSE(CONTROL!$C$9, $C$13, 100%, $E$13) + CHOOSE(CONTROL!$C$28, 0, 0)</f>
        <v>27.6233</v>
      </c>
      <c r="E223" s="4">
        <f>123.780374235181 * CHOOSE(CONTROL!$C$9, $C$13, 100%, $E$13) + CHOOSE(CONTROL!$C$28, 0, 0)</f>
        <v>123.780374235181</v>
      </c>
    </row>
    <row r="224" spans="1:5" ht="15">
      <c r="A224" s="13">
        <v>48305</v>
      </c>
      <c r="B224" s="4">
        <f>21.9333 * CHOOSE(CONTROL!$C$9, $C$13, 100%, $E$13) + CHOOSE(CONTROL!$C$28, 0.0003, 0)</f>
        <v>21.933599999999998</v>
      </c>
      <c r="C224" s="4">
        <f>21.6208 * CHOOSE(CONTROL!$C$9, $C$13, 100%, $E$13) + CHOOSE(CONTROL!$C$28, 0.0003, 0)</f>
        <v>21.621099999999998</v>
      </c>
      <c r="D224" s="4">
        <f>28.4054 * CHOOSE(CONTROL!$C$9, $C$13, 100%, $E$13) + CHOOSE(CONTROL!$C$28, 0, 0)</f>
        <v>28.4054</v>
      </c>
      <c r="E224" s="4">
        <f>128.829449007398 * CHOOSE(CONTROL!$C$9, $C$13, 100%, $E$13) + CHOOSE(CONTROL!$C$28, 0, 0)</f>
        <v>128.82944900739801</v>
      </c>
    </row>
    <row r="225" spans="1:5" ht="15">
      <c r="A225" s="13">
        <v>48335</v>
      </c>
      <c r="B225" s="4">
        <f>22.4136 * CHOOSE(CONTROL!$C$9, $C$13, 100%, $E$13) + CHOOSE(CONTROL!$C$28, 0.0202, 0)</f>
        <v>22.433799999999998</v>
      </c>
      <c r="C225" s="4">
        <f>22.1011 * CHOOSE(CONTROL!$C$9, $C$13, 100%, $E$13) + CHOOSE(CONTROL!$C$28, 0.0202, 0)</f>
        <v>22.121299999999998</v>
      </c>
      <c r="D225" s="4">
        <f>28.0964 * CHOOSE(CONTROL!$C$9, $C$13, 100%, $E$13) + CHOOSE(CONTROL!$C$28, 0, 0)</f>
        <v>28.096399999999999</v>
      </c>
      <c r="E225" s="4">
        <f>131.914312683789 * CHOOSE(CONTROL!$C$9, $C$13, 100%, $E$13) + CHOOSE(CONTROL!$C$28, 0, 0)</f>
        <v>131.91431268378901</v>
      </c>
    </row>
    <row r="226" spans="1:5" ht="15">
      <c r="A226" s="13">
        <v>48366</v>
      </c>
      <c r="B226" s="4">
        <f>22.4786 * CHOOSE(CONTROL!$C$9, $C$13, 100%, $E$13) + CHOOSE(CONTROL!$C$28, 0.0202, 0)</f>
        <v>22.498799999999999</v>
      </c>
      <c r="C226" s="4">
        <f>22.1661 * CHOOSE(CONTROL!$C$9, $C$13, 100%, $E$13) + CHOOSE(CONTROL!$C$28, 0.0202, 0)</f>
        <v>22.186299999999999</v>
      </c>
      <c r="D226" s="4">
        <f>28.3481 * CHOOSE(CONTROL!$C$9, $C$13, 100%, $E$13) + CHOOSE(CONTROL!$C$28, 0, 0)</f>
        <v>28.348099999999999</v>
      </c>
      <c r="E226" s="4">
        <f>132.331707541652 * CHOOSE(CONTROL!$C$9, $C$13, 100%, $E$13) + CHOOSE(CONTROL!$C$28, 0, 0)</f>
        <v>132.33170754165201</v>
      </c>
    </row>
    <row r="227" spans="1:5" ht="15">
      <c r="A227" s="13">
        <v>48396</v>
      </c>
      <c r="B227" s="4">
        <f>22.4721 * CHOOSE(CONTROL!$C$9, $C$13, 100%, $E$13) + CHOOSE(CONTROL!$C$28, 0.0202, 0)</f>
        <v>22.4923</v>
      </c>
      <c r="C227" s="4">
        <f>22.1596 * CHOOSE(CONTROL!$C$9, $C$13, 100%, $E$13) + CHOOSE(CONTROL!$C$28, 0.0202, 0)</f>
        <v>22.1798</v>
      </c>
      <c r="D227" s="4">
        <f>28.8022 * CHOOSE(CONTROL!$C$9, $C$13, 100%, $E$13) + CHOOSE(CONTROL!$C$28, 0, 0)</f>
        <v>28.802199999999999</v>
      </c>
      <c r="E227" s="4">
        <f>132.289617303884 * CHOOSE(CONTROL!$C$9, $C$13, 100%, $E$13) + CHOOSE(CONTROL!$C$28, 0, 0)</f>
        <v>132.289617303884</v>
      </c>
    </row>
    <row r="228" spans="1:5" ht="15">
      <c r="A228" s="13">
        <v>48427</v>
      </c>
      <c r="B228" s="4">
        <f>22.9652 * CHOOSE(CONTROL!$C$9, $C$13, 100%, $E$13) + CHOOSE(CONTROL!$C$28, 0.0202, 0)</f>
        <v>22.985399999999998</v>
      </c>
      <c r="C228" s="4">
        <f>22.6527 * CHOOSE(CONTROL!$C$9, $C$13, 100%, $E$13) + CHOOSE(CONTROL!$C$28, 0.0202, 0)</f>
        <v>22.672899999999998</v>
      </c>
      <c r="D228" s="4">
        <f>28.5023 * CHOOSE(CONTROL!$C$9, $C$13, 100%, $E$13) + CHOOSE(CONTROL!$C$28, 0, 0)</f>
        <v>28.502300000000002</v>
      </c>
      <c r="E228" s="4">
        <f>135.456907695904 * CHOOSE(CONTROL!$C$9, $C$13, 100%, $E$13) + CHOOSE(CONTROL!$C$28, 0, 0)</f>
        <v>135.45690769590399</v>
      </c>
    </row>
    <row r="229" spans="1:5" ht="15">
      <c r="A229" s="13">
        <v>48458</v>
      </c>
      <c r="B229" s="4">
        <f>22.1248 * CHOOSE(CONTROL!$C$9, $C$13, 100%, $E$13) + CHOOSE(CONTROL!$C$28, 0.0202, 0)</f>
        <v>22.145</v>
      </c>
      <c r="C229" s="4">
        <f>21.8123 * CHOOSE(CONTROL!$C$9, $C$13, 100%, $E$13) + CHOOSE(CONTROL!$C$28, 0.0202, 0)</f>
        <v>21.8325</v>
      </c>
      <c r="D229" s="4">
        <f>28.3606 * CHOOSE(CONTROL!$C$9, $C$13, 100%, $E$13) + CHOOSE(CONTROL!$C$28, 0, 0)</f>
        <v>28.360600000000002</v>
      </c>
      <c r="E229" s="4">
        <f>130.058834702196 * CHOOSE(CONTROL!$C$9, $C$13, 100%, $E$13) + CHOOSE(CONTROL!$C$28, 0, 0)</f>
        <v>130.05883470219601</v>
      </c>
    </row>
    <row r="230" spans="1:5" ht="15">
      <c r="A230" s="13">
        <v>48488</v>
      </c>
      <c r="B230" s="4">
        <f>21.4519 * CHOOSE(CONTROL!$C$9, $C$13, 100%, $E$13) + CHOOSE(CONTROL!$C$28, 0.0003, 0)</f>
        <v>21.452199999999998</v>
      </c>
      <c r="C230" s="4">
        <f>21.1394 * CHOOSE(CONTROL!$C$9, $C$13, 100%, $E$13) + CHOOSE(CONTROL!$C$28, 0.0003, 0)</f>
        <v>21.139699999999998</v>
      </c>
      <c r="D230" s="4">
        <f>27.9812 * CHOOSE(CONTROL!$C$9, $C$13, 100%, $E$13) + CHOOSE(CONTROL!$C$28, 0, 0)</f>
        <v>27.981200000000001</v>
      </c>
      <c r="E230" s="4">
        <f>125.737570291379 * CHOOSE(CONTROL!$C$9, $C$13, 100%, $E$13) + CHOOSE(CONTROL!$C$28, 0, 0)</f>
        <v>125.737570291379</v>
      </c>
    </row>
    <row r="231" spans="1:5" ht="15">
      <c r="A231" s="13">
        <v>48519</v>
      </c>
      <c r="B231" s="4">
        <f>21.0186 * CHOOSE(CONTROL!$C$9, $C$13, 100%, $E$13) + CHOOSE(CONTROL!$C$28, 0.0003, 0)</f>
        <v>21.018899999999999</v>
      </c>
      <c r="C231" s="4">
        <f>20.7061 * CHOOSE(CONTROL!$C$9, $C$13, 100%, $E$13) + CHOOSE(CONTROL!$C$28, 0.0003, 0)</f>
        <v>20.706399999999999</v>
      </c>
      <c r="D231" s="4">
        <f>27.8507 * CHOOSE(CONTROL!$C$9, $C$13, 100%, $E$13) + CHOOSE(CONTROL!$C$28, 0, 0)</f>
        <v>27.8507</v>
      </c>
      <c r="E231" s="4">
        <f>122.954353318989 * CHOOSE(CONTROL!$C$9, $C$13, 100%, $E$13) + CHOOSE(CONTROL!$C$28, 0, 0)</f>
        <v>122.95435331898901</v>
      </c>
    </row>
    <row r="232" spans="1:5" ht="15">
      <c r="A232" s="13">
        <v>48549</v>
      </c>
      <c r="B232" s="4">
        <f>20.7188 * CHOOSE(CONTROL!$C$9, $C$13, 100%, $E$13) + CHOOSE(CONTROL!$C$28, 0.0003, 0)</f>
        <v>20.719100000000001</v>
      </c>
      <c r="C232" s="4">
        <f>20.4063 * CHOOSE(CONTROL!$C$9, $C$13, 100%, $E$13) + CHOOSE(CONTROL!$C$28, 0.0003, 0)</f>
        <v>20.406600000000001</v>
      </c>
      <c r="D232" s="4">
        <f>26.8903 * CHOOSE(CONTROL!$C$9, $C$13, 100%, $E$13) + CHOOSE(CONTROL!$C$28, 0, 0)</f>
        <v>26.8903</v>
      </c>
      <c r="E232" s="4">
        <f>121.028724941117 * CHOOSE(CONTROL!$C$9, $C$13, 100%, $E$13) + CHOOSE(CONTROL!$C$28, 0, 0)</f>
        <v>121.02872494111701</v>
      </c>
    </row>
    <row r="233" spans="1:5" ht="15">
      <c r="A233" s="13">
        <v>48580</v>
      </c>
      <c r="B233" s="4">
        <f>19.9747 * CHOOSE(CONTROL!$C$9, $C$13, 100%, $E$13) + CHOOSE(CONTROL!$C$28, 0.0003, 0)</f>
        <v>19.974999999999998</v>
      </c>
      <c r="C233" s="4">
        <f>19.6622 * CHOOSE(CONTROL!$C$9, $C$13, 100%, $E$13) + CHOOSE(CONTROL!$C$28, 0.0003, 0)</f>
        <v>19.662499999999998</v>
      </c>
      <c r="D233" s="4">
        <f>25.7768 * CHOOSE(CONTROL!$C$9, $C$13, 100%, $E$13) + CHOOSE(CONTROL!$C$28, 0, 0)</f>
        <v>25.776800000000001</v>
      </c>
      <c r="E233" s="4">
        <f>116.221050720848 * CHOOSE(CONTROL!$C$9, $C$13, 100%, $E$13) + CHOOSE(CONTROL!$C$28, 0, 0)</f>
        <v>116.221050720848</v>
      </c>
    </row>
    <row r="234" spans="1:5" ht="15">
      <c r="A234" s="13">
        <v>48611</v>
      </c>
      <c r="B234" s="4">
        <f>20.4045 * CHOOSE(CONTROL!$C$9, $C$13, 100%, $E$13) + CHOOSE(CONTROL!$C$28, 0.0003, 0)</f>
        <v>20.404799999999998</v>
      </c>
      <c r="C234" s="4">
        <f>20.092 * CHOOSE(CONTROL!$C$9, $C$13, 100%, $E$13) + CHOOSE(CONTROL!$C$28, 0.0003, 0)</f>
        <v>20.092299999999998</v>
      </c>
      <c r="D234" s="4">
        <f>26.6576 * CHOOSE(CONTROL!$C$9, $C$13, 100%, $E$13) + CHOOSE(CONTROL!$C$28, 0, 0)</f>
        <v>26.657599999999999</v>
      </c>
      <c r="E234" s="4">
        <f>118.980596481597 * CHOOSE(CONTROL!$C$9, $C$13, 100%, $E$13) + CHOOSE(CONTROL!$C$28, 0, 0)</f>
        <v>118.980596481597</v>
      </c>
    </row>
    <row r="235" spans="1:5" ht="15">
      <c r="A235" s="13">
        <v>48639</v>
      </c>
      <c r="B235" s="4">
        <f>21.5331 * CHOOSE(CONTROL!$C$9, $C$13, 100%, $E$13) + CHOOSE(CONTROL!$C$28, 0.0003, 0)</f>
        <v>21.5334</v>
      </c>
      <c r="C235" s="4">
        <f>21.2206 * CHOOSE(CONTROL!$C$9, $C$13, 100%, $E$13) + CHOOSE(CONTROL!$C$28, 0.0003, 0)</f>
        <v>21.2209</v>
      </c>
      <c r="D235" s="4">
        <f>28.0363 * CHOOSE(CONTROL!$C$9, $C$13, 100%, $E$13) + CHOOSE(CONTROL!$C$28, 0, 0)</f>
        <v>28.036300000000001</v>
      </c>
      <c r="E235" s="4">
        <f>126.227310300492 * CHOOSE(CONTROL!$C$9, $C$13, 100%, $E$13) + CHOOSE(CONTROL!$C$28, 0, 0)</f>
        <v>126.22731030049199</v>
      </c>
    </row>
    <row r="236" spans="1:5" ht="15">
      <c r="A236" s="13">
        <v>48670</v>
      </c>
      <c r="B236" s="4">
        <f>22.3349 * CHOOSE(CONTROL!$C$9, $C$13, 100%, $E$13) + CHOOSE(CONTROL!$C$28, 0.0003, 0)</f>
        <v>22.3352</v>
      </c>
      <c r="C236" s="4">
        <f>22.0224 * CHOOSE(CONTROL!$C$9, $C$13, 100%, $E$13) + CHOOSE(CONTROL!$C$28, 0.0003, 0)</f>
        <v>22.0227</v>
      </c>
      <c r="D236" s="4">
        <f>28.8304 * CHOOSE(CONTROL!$C$9, $C$13, 100%, $E$13) + CHOOSE(CONTROL!$C$28, 0, 0)</f>
        <v>28.830400000000001</v>
      </c>
      <c r="E236" s="4">
        <f>131.376197043976 * CHOOSE(CONTROL!$C$9, $C$13, 100%, $E$13) + CHOOSE(CONTROL!$C$28, 0, 0)</f>
        <v>131.37619704397599</v>
      </c>
    </row>
    <row r="237" spans="1:5" ht="15">
      <c r="A237" s="13">
        <v>48700</v>
      </c>
      <c r="B237" s="4">
        <f>22.8249 * CHOOSE(CONTROL!$C$9, $C$13, 100%, $E$13) + CHOOSE(CONTROL!$C$28, 0.0202, 0)</f>
        <v>22.845099999999999</v>
      </c>
      <c r="C237" s="4">
        <f>22.5124 * CHOOSE(CONTROL!$C$9, $C$13, 100%, $E$13) + CHOOSE(CONTROL!$C$28, 0.0202, 0)</f>
        <v>22.532599999999999</v>
      </c>
      <c r="D237" s="4">
        <f>28.5166 * CHOOSE(CONTROL!$C$9, $C$13, 100%, $E$13) + CHOOSE(CONTROL!$C$28, 0, 0)</f>
        <v>28.5166</v>
      </c>
      <c r="E237" s="4">
        <f>134.522043442652 * CHOOSE(CONTROL!$C$9, $C$13, 100%, $E$13) + CHOOSE(CONTROL!$C$28, 0, 0)</f>
        <v>134.52204344265201</v>
      </c>
    </row>
    <row r="238" spans="1:5" ht="15">
      <c r="A238" s="13">
        <v>48731</v>
      </c>
      <c r="B238" s="4">
        <f>22.8911 * CHOOSE(CONTROL!$C$9, $C$13, 100%, $E$13) + CHOOSE(CONTROL!$C$28, 0.0202, 0)</f>
        <v>22.911300000000001</v>
      </c>
      <c r="C238" s="4">
        <f>22.5786 * CHOOSE(CONTROL!$C$9, $C$13, 100%, $E$13) + CHOOSE(CONTROL!$C$28, 0.0202, 0)</f>
        <v>22.598800000000001</v>
      </c>
      <c r="D238" s="4">
        <f>28.7722 * CHOOSE(CONTROL!$C$9, $C$13, 100%, $E$13) + CHOOSE(CONTROL!$C$28, 0, 0)</f>
        <v>28.772200000000002</v>
      </c>
      <c r="E238" s="4">
        <f>134.947689515924 * CHOOSE(CONTROL!$C$9, $C$13, 100%, $E$13) + CHOOSE(CONTROL!$C$28, 0, 0)</f>
        <v>134.947689515924</v>
      </c>
    </row>
    <row r="239" spans="1:5" ht="15">
      <c r="A239" s="13">
        <v>48761</v>
      </c>
      <c r="B239" s="4">
        <f>22.8845 * CHOOSE(CONTROL!$C$9, $C$13, 100%, $E$13) + CHOOSE(CONTROL!$C$28, 0.0202, 0)</f>
        <v>22.904699999999998</v>
      </c>
      <c r="C239" s="4">
        <f>22.572 * CHOOSE(CONTROL!$C$9, $C$13, 100%, $E$13) + CHOOSE(CONTROL!$C$28, 0.0202, 0)</f>
        <v>22.592199999999998</v>
      </c>
      <c r="D239" s="4">
        <f>29.2334 * CHOOSE(CONTROL!$C$9, $C$13, 100%, $E$13) + CHOOSE(CONTROL!$C$28, 0, 0)</f>
        <v>29.2334</v>
      </c>
      <c r="E239" s="4">
        <f>134.904767222821 * CHOOSE(CONTROL!$C$9, $C$13, 100%, $E$13) + CHOOSE(CONTROL!$C$28, 0, 0)</f>
        <v>134.90476722282099</v>
      </c>
    </row>
    <row r="240" spans="1:5" ht="15">
      <c r="A240" s="13">
        <v>48792</v>
      </c>
      <c r="B240" s="4">
        <f>23.3875 * CHOOSE(CONTROL!$C$9, $C$13, 100%, $E$13) + CHOOSE(CONTROL!$C$28, 0.0202, 0)</f>
        <v>23.407699999999998</v>
      </c>
      <c r="C240" s="4">
        <f>23.075 * CHOOSE(CONTROL!$C$9, $C$13, 100%, $E$13) + CHOOSE(CONTROL!$C$28, 0.0202, 0)</f>
        <v>23.095199999999998</v>
      </c>
      <c r="D240" s="4">
        <f>28.9288 * CHOOSE(CONTROL!$C$9, $C$13, 100%, $E$13) + CHOOSE(CONTROL!$C$28, 0, 0)</f>
        <v>28.928799999999999</v>
      </c>
      <c r="E240" s="4">
        <f>138.134669778824 * CHOOSE(CONTROL!$C$9, $C$13, 100%, $E$13) + CHOOSE(CONTROL!$C$28, 0, 0)</f>
        <v>138.13466977882399</v>
      </c>
    </row>
    <row r="241" spans="1:5" ht="15">
      <c r="A241" s="13">
        <v>48823</v>
      </c>
      <c r="B241" s="4">
        <f>22.5302 * CHOOSE(CONTROL!$C$9, $C$13, 100%, $E$13) + CHOOSE(CONTROL!$C$28, 0.0202, 0)</f>
        <v>22.5504</v>
      </c>
      <c r="C241" s="4">
        <f>22.2177 * CHOOSE(CONTROL!$C$9, $C$13, 100%, $E$13) + CHOOSE(CONTROL!$C$28, 0.0202, 0)</f>
        <v>22.2379</v>
      </c>
      <c r="D241" s="4">
        <f>28.7849 * CHOOSE(CONTROL!$C$9, $C$13, 100%, $E$13) + CHOOSE(CONTROL!$C$28, 0, 0)</f>
        <v>28.7849</v>
      </c>
      <c r="E241" s="4">
        <f>132.62988568836 * CHOOSE(CONTROL!$C$9, $C$13, 100%, $E$13) + CHOOSE(CONTROL!$C$28, 0, 0)</f>
        <v>132.62988568835999</v>
      </c>
    </row>
    <row r="242" spans="1:5" ht="15">
      <c r="A242" s="13">
        <v>48853</v>
      </c>
      <c r="B242" s="4">
        <f>21.8439 * CHOOSE(CONTROL!$C$9, $C$13, 100%, $E$13) + CHOOSE(CONTROL!$C$28, 0.0003, 0)</f>
        <v>21.844200000000001</v>
      </c>
      <c r="C242" s="4">
        <f>21.5314 * CHOOSE(CONTROL!$C$9, $C$13, 100%, $E$13) + CHOOSE(CONTROL!$C$28, 0.0003, 0)</f>
        <v>21.531700000000001</v>
      </c>
      <c r="D242" s="4">
        <f>28.3996 * CHOOSE(CONTROL!$C$9, $C$13, 100%, $E$13) + CHOOSE(CONTROL!$C$28, 0, 0)</f>
        <v>28.3996</v>
      </c>
      <c r="E242" s="4">
        <f>128.223196929782 * CHOOSE(CONTROL!$C$9, $C$13, 100%, $E$13) + CHOOSE(CONTROL!$C$28, 0, 0)</f>
        <v>128.22319692978201</v>
      </c>
    </row>
    <row r="243" spans="1:5" ht="15">
      <c r="A243" s="13">
        <v>48884</v>
      </c>
      <c r="B243" s="4">
        <f>21.4019 * CHOOSE(CONTROL!$C$9, $C$13, 100%, $E$13) + CHOOSE(CONTROL!$C$28, 0.0003, 0)</f>
        <v>21.402200000000001</v>
      </c>
      <c r="C243" s="4">
        <f>21.0894 * CHOOSE(CONTROL!$C$9, $C$13, 100%, $E$13) + CHOOSE(CONTROL!$C$28, 0.0003, 0)</f>
        <v>21.089700000000001</v>
      </c>
      <c r="D243" s="4">
        <f>28.2672 * CHOOSE(CONTROL!$C$9, $C$13, 100%, $E$13) + CHOOSE(CONTROL!$C$28, 0, 0)</f>
        <v>28.267199999999999</v>
      </c>
      <c r="E243" s="4">
        <f>125.384960298345 * CHOOSE(CONTROL!$C$9, $C$13, 100%, $E$13) + CHOOSE(CONTROL!$C$28, 0, 0)</f>
        <v>125.38496029834501</v>
      </c>
    </row>
    <row r="244" spans="1:5" ht="15">
      <c r="A244" s="13">
        <v>48914</v>
      </c>
      <c r="B244" s="4">
        <f>21.0961 * CHOOSE(CONTROL!$C$9, $C$13, 100%, $E$13) + CHOOSE(CONTROL!$C$28, 0.0003, 0)</f>
        <v>21.096399999999999</v>
      </c>
      <c r="C244" s="4">
        <f>20.7836 * CHOOSE(CONTROL!$C$9, $C$13, 100%, $E$13) + CHOOSE(CONTROL!$C$28, 0.0003, 0)</f>
        <v>20.783899999999999</v>
      </c>
      <c r="D244" s="4">
        <f>27.292 * CHOOSE(CONTROL!$C$9, $C$13, 100%, $E$13) + CHOOSE(CONTROL!$C$28, 0, 0)</f>
        <v>27.292000000000002</v>
      </c>
      <c r="E244" s="4">
        <f>123.421265388881 * CHOOSE(CONTROL!$C$9, $C$13, 100%, $E$13) + CHOOSE(CONTROL!$C$28, 0, 0)</f>
        <v>123.421265388881</v>
      </c>
    </row>
    <row r="245" spans="1:5" ht="15">
      <c r="A245" s="13">
        <v>48945</v>
      </c>
      <c r="B245" s="4">
        <f>20.3361 * CHOOSE(CONTROL!$C$9, $C$13, 100%, $E$13) + CHOOSE(CONTROL!$C$28, 0.0003, 0)</f>
        <v>20.336399999999998</v>
      </c>
      <c r="C245" s="4">
        <f>20.0236 * CHOOSE(CONTROL!$C$9, $C$13, 100%, $E$13) + CHOOSE(CONTROL!$C$28, 0.0003, 0)</f>
        <v>20.023899999999998</v>
      </c>
      <c r="D245" s="4">
        <f>26.1623 * CHOOSE(CONTROL!$C$9, $C$13, 100%, $E$13) + CHOOSE(CONTROL!$C$28, 0, 0)</f>
        <v>26.162299999999998</v>
      </c>
      <c r="E245" s="4">
        <f>118.517863916139 * CHOOSE(CONTROL!$C$9, $C$13, 100%, $E$13) + CHOOSE(CONTROL!$C$28, 0, 0)</f>
        <v>118.51786391613901</v>
      </c>
    </row>
    <row r="246" spans="1:5" ht="15">
      <c r="A246" s="13">
        <v>48976</v>
      </c>
      <c r="B246" s="4">
        <f>20.7745 * CHOOSE(CONTROL!$C$9, $C$13, 100%, $E$13) + CHOOSE(CONTROL!$C$28, 0.0003, 0)</f>
        <v>20.774799999999999</v>
      </c>
      <c r="C246" s="4">
        <f>20.462 * CHOOSE(CONTROL!$C$9, $C$13, 100%, $E$13) + CHOOSE(CONTROL!$C$28, 0.0003, 0)</f>
        <v>20.462299999999999</v>
      </c>
      <c r="D246" s="4">
        <f>27.0566 * CHOOSE(CONTROL!$C$9, $C$13, 100%, $E$13) + CHOOSE(CONTROL!$C$28, 0, 0)</f>
        <v>27.0566</v>
      </c>
      <c r="E246" s="4">
        <f>121.331945073677 * CHOOSE(CONTROL!$C$9, $C$13, 100%, $E$13) + CHOOSE(CONTROL!$C$28, 0, 0)</f>
        <v>121.33194507367701</v>
      </c>
    </row>
    <row r="247" spans="1:5" ht="15">
      <c r="A247" s="13">
        <v>49004</v>
      </c>
      <c r="B247" s="4">
        <f>21.9256 * CHOOSE(CONTROL!$C$9, $C$13, 100%, $E$13) + CHOOSE(CONTROL!$C$28, 0.0003, 0)</f>
        <v>21.925899999999999</v>
      </c>
      <c r="C247" s="4">
        <f>21.6131 * CHOOSE(CONTROL!$C$9, $C$13, 100%, $E$13) + CHOOSE(CONTROL!$C$28, 0.0003, 0)</f>
        <v>21.613399999999999</v>
      </c>
      <c r="D247" s="4">
        <f>28.4567 * CHOOSE(CONTROL!$C$9, $C$13, 100%, $E$13) + CHOOSE(CONTROL!$C$28, 0, 0)</f>
        <v>28.456700000000001</v>
      </c>
      <c r="E247" s="4">
        <f>128.721871742727 * CHOOSE(CONTROL!$C$9, $C$13, 100%, $E$13) + CHOOSE(CONTROL!$C$28, 0, 0)</f>
        <v>128.72187174272699</v>
      </c>
    </row>
    <row r="248" spans="1:5" ht="15">
      <c r="A248" s="13">
        <v>49035</v>
      </c>
      <c r="B248" s="4">
        <f>22.7434 * CHOOSE(CONTROL!$C$9, $C$13, 100%, $E$13) + CHOOSE(CONTROL!$C$28, 0.0003, 0)</f>
        <v>22.7437</v>
      </c>
      <c r="C248" s="4">
        <f>22.4309 * CHOOSE(CONTROL!$C$9, $C$13, 100%, $E$13) + CHOOSE(CONTROL!$C$28, 0.0003, 0)</f>
        <v>22.4312</v>
      </c>
      <c r="D248" s="4">
        <f>29.2631 * CHOOSE(CONTROL!$C$9, $C$13, 100%, $E$13) + CHOOSE(CONTROL!$C$28, 0, 0)</f>
        <v>29.263100000000001</v>
      </c>
      <c r="E248" s="4">
        <f>133.972513124808 * CHOOSE(CONTROL!$C$9, $C$13, 100%, $E$13) + CHOOSE(CONTROL!$C$28, 0, 0)</f>
        <v>133.97251312480799</v>
      </c>
    </row>
    <row r="249" spans="1:5" ht="15">
      <c r="A249" s="13">
        <v>49065</v>
      </c>
      <c r="B249" s="4">
        <f>23.2431 * CHOOSE(CONTROL!$C$9, $C$13, 100%, $E$13) + CHOOSE(CONTROL!$C$28, 0.0202, 0)</f>
        <v>23.263299999999997</v>
      </c>
      <c r="C249" s="4">
        <f>22.9306 * CHOOSE(CONTROL!$C$9, $C$13, 100%, $E$13) + CHOOSE(CONTROL!$C$28, 0.0202, 0)</f>
        <v>22.950799999999997</v>
      </c>
      <c r="D249" s="4">
        <f>28.9444 * CHOOSE(CONTROL!$C$9, $C$13, 100%, $E$13) + CHOOSE(CONTROL!$C$28, 0, 0)</f>
        <v>28.944400000000002</v>
      </c>
      <c r="E249" s="4">
        <f>137.180529168949 * CHOOSE(CONTROL!$C$9, $C$13, 100%, $E$13) + CHOOSE(CONTROL!$C$28, 0, 0)</f>
        <v>137.18052916894899</v>
      </c>
    </row>
    <row r="250" spans="1:5" ht="15">
      <c r="A250" s="13">
        <v>49096</v>
      </c>
      <c r="B250" s="4">
        <f>23.3108 * CHOOSE(CONTROL!$C$9, $C$13, 100%, $E$13) + CHOOSE(CONTROL!$C$28, 0.0202, 0)</f>
        <v>23.331</v>
      </c>
      <c r="C250" s="4">
        <f>22.9983 * CHOOSE(CONTROL!$C$9, $C$13, 100%, $E$13) + CHOOSE(CONTROL!$C$28, 0.0202, 0)</f>
        <v>23.0185</v>
      </c>
      <c r="D250" s="4">
        <f>29.204 * CHOOSE(CONTROL!$C$9, $C$13, 100%, $E$13) + CHOOSE(CONTROL!$C$28, 0, 0)</f>
        <v>29.204000000000001</v>
      </c>
      <c r="E250" s="4">
        <f>137.614587053261 * CHOOSE(CONTROL!$C$9, $C$13, 100%, $E$13) + CHOOSE(CONTROL!$C$28, 0, 0)</f>
        <v>137.614587053261</v>
      </c>
    </row>
    <row r="251" spans="1:5" ht="15">
      <c r="A251" s="13">
        <v>49126</v>
      </c>
      <c r="B251" s="4">
        <f>23.3039 * CHOOSE(CONTROL!$C$9, $C$13, 100%, $E$13) + CHOOSE(CONTROL!$C$28, 0.0202, 0)</f>
        <v>23.324099999999998</v>
      </c>
      <c r="C251" s="4">
        <f>22.9914 * CHOOSE(CONTROL!$C$9, $C$13, 100%, $E$13) + CHOOSE(CONTROL!$C$28, 0.0202, 0)</f>
        <v>23.011599999999998</v>
      </c>
      <c r="D251" s="4">
        <f>29.6723 * CHOOSE(CONTROL!$C$9, $C$13, 100%, $E$13) + CHOOSE(CONTROL!$C$28, 0, 0)</f>
        <v>29.6723</v>
      </c>
      <c r="E251" s="4">
        <f>137.570816510305 * CHOOSE(CONTROL!$C$9, $C$13, 100%, $E$13) + CHOOSE(CONTROL!$C$28, 0, 0)</f>
        <v>137.57081651030501</v>
      </c>
    </row>
    <row r="252" spans="1:5" ht="15">
      <c r="A252" s="13">
        <v>49157</v>
      </c>
      <c r="B252" s="4">
        <f>23.817 * CHOOSE(CONTROL!$C$9, $C$13, 100%, $E$13) + CHOOSE(CONTROL!$C$28, 0.0202, 0)</f>
        <v>23.837199999999999</v>
      </c>
      <c r="C252" s="4">
        <f>23.5045 * CHOOSE(CONTROL!$C$9, $C$13, 100%, $E$13) + CHOOSE(CONTROL!$C$28, 0.0202, 0)</f>
        <v>23.524699999999999</v>
      </c>
      <c r="D252" s="4">
        <f>29.363 * CHOOSE(CONTROL!$C$9, $C$13, 100%, $E$13) + CHOOSE(CONTROL!$C$28, 0, 0)</f>
        <v>29.363</v>
      </c>
      <c r="E252" s="4">
        <f>140.864549867735 * CHOOSE(CONTROL!$C$9, $C$13, 100%, $E$13) + CHOOSE(CONTROL!$C$28, 0, 0)</f>
        <v>140.86454986773501</v>
      </c>
    </row>
    <row r="253" spans="1:5" ht="15">
      <c r="A253" s="13">
        <v>49188</v>
      </c>
      <c r="B253" s="4">
        <f>22.9426 * CHOOSE(CONTROL!$C$9, $C$13, 100%, $E$13) + CHOOSE(CONTROL!$C$28, 0.0202, 0)</f>
        <v>22.962799999999998</v>
      </c>
      <c r="C253" s="4">
        <f>22.6301 * CHOOSE(CONTROL!$C$9, $C$13, 100%, $E$13) + CHOOSE(CONTROL!$C$28, 0.0202, 0)</f>
        <v>22.650299999999998</v>
      </c>
      <c r="D253" s="4">
        <f>29.2169 * CHOOSE(CONTROL!$C$9, $C$13, 100%, $E$13) + CHOOSE(CONTROL!$C$28, 0, 0)</f>
        <v>29.216899999999999</v>
      </c>
      <c r="E253" s="4">
        <f>135.250977733644 * CHOOSE(CONTROL!$C$9, $C$13, 100%, $E$13) + CHOOSE(CONTROL!$C$28, 0, 0)</f>
        <v>135.25097773364399</v>
      </c>
    </row>
    <row r="254" spans="1:5" ht="15">
      <c r="A254" s="13">
        <v>49218</v>
      </c>
      <c r="B254" s="4">
        <f>22.2426 * CHOOSE(CONTROL!$C$9, $C$13, 100%, $E$13) + CHOOSE(CONTROL!$C$28, 0.0003, 0)</f>
        <v>22.242899999999999</v>
      </c>
      <c r="C254" s="4">
        <f>21.9301 * CHOOSE(CONTROL!$C$9, $C$13, 100%, $E$13) + CHOOSE(CONTROL!$C$28, 0.0003, 0)</f>
        <v>21.930399999999999</v>
      </c>
      <c r="D254" s="4">
        <f>28.8256 * CHOOSE(CONTROL!$C$9, $C$13, 100%, $E$13) + CHOOSE(CONTROL!$C$28, 0, 0)</f>
        <v>28.825600000000001</v>
      </c>
      <c r="E254" s="4">
        <f>130.757201990175 * CHOOSE(CONTROL!$C$9, $C$13, 100%, $E$13) + CHOOSE(CONTROL!$C$28, 0, 0)</f>
        <v>130.75720199017499</v>
      </c>
    </row>
    <row r="255" spans="1:5" ht="15">
      <c r="A255" s="13">
        <v>49249</v>
      </c>
      <c r="B255" s="4">
        <f>21.7918 * CHOOSE(CONTROL!$C$9, $C$13, 100%, $E$13) + CHOOSE(CONTROL!$C$28, 0.0003, 0)</f>
        <v>21.792099999999998</v>
      </c>
      <c r="C255" s="4">
        <f>21.4793 * CHOOSE(CONTROL!$C$9, $C$13, 100%, $E$13) + CHOOSE(CONTROL!$C$28, 0.0003, 0)</f>
        <v>21.479599999999998</v>
      </c>
      <c r="D255" s="4">
        <f>28.6911 * CHOOSE(CONTROL!$C$9, $C$13, 100%, $E$13) + CHOOSE(CONTROL!$C$28, 0, 0)</f>
        <v>28.691099999999999</v>
      </c>
      <c r="E255" s="4">
        <f>127.862874837218 * CHOOSE(CONTROL!$C$9, $C$13, 100%, $E$13) + CHOOSE(CONTROL!$C$28, 0, 0)</f>
        <v>127.862874837218</v>
      </c>
    </row>
    <row r="256" spans="1:5" ht="15">
      <c r="A256" s="13">
        <v>49279</v>
      </c>
      <c r="B256" s="4">
        <f>21.4798 * CHOOSE(CONTROL!$C$9, $C$13, 100%, $E$13) + CHOOSE(CONTROL!$C$28, 0.0003, 0)</f>
        <v>21.4801</v>
      </c>
      <c r="C256" s="4">
        <f>21.1673 * CHOOSE(CONTROL!$C$9, $C$13, 100%, $E$13) + CHOOSE(CONTROL!$C$28, 0.0003, 0)</f>
        <v>21.1676</v>
      </c>
      <c r="D256" s="4">
        <f>27.7009 * CHOOSE(CONTROL!$C$9, $C$13, 100%, $E$13) + CHOOSE(CONTROL!$C$28, 0, 0)</f>
        <v>27.700900000000001</v>
      </c>
      <c r="E256" s="4">
        <f>125.860372496987 * CHOOSE(CONTROL!$C$9, $C$13, 100%, $E$13) + CHOOSE(CONTROL!$C$28, 0, 0)</f>
        <v>125.860372496987</v>
      </c>
    </row>
    <row r="257" spans="1:5" ht="15">
      <c r="A257" s="13">
        <v>49310</v>
      </c>
      <c r="B257" s="4">
        <f>20.7054 * CHOOSE(CONTROL!$C$9, $C$13, 100%, $E$13) + CHOOSE(CONTROL!$C$28, 0.0003, 0)</f>
        <v>20.7057</v>
      </c>
      <c r="C257" s="4">
        <f>20.3929 * CHOOSE(CONTROL!$C$9, $C$13, 100%, $E$13) + CHOOSE(CONTROL!$C$28, 0.0003, 0)</f>
        <v>20.3932</v>
      </c>
      <c r="D257" s="4">
        <f>26.5816 * CHOOSE(CONTROL!$C$9, $C$13, 100%, $E$13) + CHOOSE(CONTROL!$C$28, 0, 0)</f>
        <v>26.581600000000002</v>
      </c>
      <c r="E257" s="4">
        <f>120.861853600467 * CHOOSE(CONTROL!$C$9, $C$13, 100%, $E$13) + CHOOSE(CONTROL!$C$28, 0, 0)</f>
        <v>120.861853600467</v>
      </c>
    </row>
    <row r="258" spans="1:5" ht="15">
      <c r="A258" s="13">
        <v>49341</v>
      </c>
      <c r="B258" s="4">
        <f>21.1525 * CHOOSE(CONTROL!$C$9, $C$13, 100%, $E$13) + CHOOSE(CONTROL!$C$28, 0.0003, 0)</f>
        <v>21.152799999999999</v>
      </c>
      <c r="C258" s="4">
        <f>20.84 * CHOOSE(CONTROL!$C$9, $C$13, 100%, $E$13) + CHOOSE(CONTROL!$C$28, 0.0003, 0)</f>
        <v>20.840299999999999</v>
      </c>
      <c r="D258" s="4">
        <f>27.4908 * CHOOSE(CONTROL!$C$9, $C$13, 100%, $E$13) + CHOOSE(CONTROL!$C$28, 0, 0)</f>
        <v>27.4908</v>
      </c>
      <c r="E258" s="4">
        <f>123.731590310562 * CHOOSE(CONTROL!$C$9, $C$13, 100%, $E$13) + CHOOSE(CONTROL!$C$28, 0, 0)</f>
        <v>123.731590310562</v>
      </c>
    </row>
    <row r="259" spans="1:5" ht="15">
      <c r="A259" s="13">
        <v>49369</v>
      </c>
      <c r="B259" s="4">
        <f>22.3266 * CHOOSE(CONTROL!$C$9, $C$13, 100%, $E$13) + CHOOSE(CONTROL!$C$28, 0.0003, 0)</f>
        <v>22.326899999999998</v>
      </c>
      <c r="C259" s="4">
        <f>22.0141 * CHOOSE(CONTROL!$C$9, $C$13, 100%, $E$13) + CHOOSE(CONTROL!$C$28, 0.0003, 0)</f>
        <v>22.014399999999998</v>
      </c>
      <c r="D259" s="4">
        <f>28.9139 * CHOOSE(CONTROL!$C$9, $C$13, 100%, $E$13) + CHOOSE(CONTROL!$C$28, 0, 0)</f>
        <v>28.913900000000002</v>
      </c>
      <c r="E259" s="4">
        <f>131.267671418342 * CHOOSE(CONTROL!$C$9, $C$13, 100%, $E$13) + CHOOSE(CONTROL!$C$28, 0, 0)</f>
        <v>131.26767141834199</v>
      </c>
    </row>
    <row r="260" spans="1:5" ht="15">
      <c r="A260" s="13">
        <v>49400</v>
      </c>
      <c r="B260" s="4">
        <f>23.1609 * CHOOSE(CONTROL!$C$9, $C$13, 100%, $E$13) + CHOOSE(CONTROL!$C$28, 0.0003, 0)</f>
        <v>23.161200000000001</v>
      </c>
      <c r="C260" s="4">
        <f>22.8484 * CHOOSE(CONTROL!$C$9, $C$13, 100%, $E$13) + CHOOSE(CONTROL!$C$28, 0.0003, 0)</f>
        <v>22.848700000000001</v>
      </c>
      <c r="D260" s="4">
        <f>29.7337 * CHOOSE(CONTROL!$C$9, $C$13, 100%, $E$13) + CHOOSE(CONTROL!$C$28, 0, 0)</f>
        <v>29.733699999999999</v>
      </c>
      <c r="E260" s="4">
        <f>136.622157476905 * CHOOSE(CONTROL!$C$9, $C$13, 100%, $E$13) + CHOOSE(CONTROL!$C$28, 0, 0)</f>
        <v>136.62215747690499</v>
      </c>
    </row>
    <row r="261" spans="1:5" ht="15">
      <c r="A261" s="13">
        <v>49430</v>
      </c>
      <c r="B261" s="4">
        <f>23.6706 * CHOOSE(CONTROL!$C$9, $C$13, 100%, $E$13) + CHOOSE(CONTROL!$C$28, 0.0202, 0)</f>
        <v>23.690799999999999</v>
      </c>
      <c r="C261" s="4">
        <f>23.3581 * CHOOSE(CONTROL!$C$9, $C$13, 100%, $E$13) + CHOOSE(CONTROL!$C$28, 0.0202, 0)</f>
        <v>23.378299999999999</v>
      </c>
      <c r="D261" s="4">
        <f>29.4098 * CHOOSE(CONTROL!$C$9, $C$13, 100%, $E$13) + CHOOSE(CONTROL!$C$28, 0, 0)</f>
        <v>29.409800000000001</v>
      </c>
      <c r="E261" s="4">
        <f>139.893620129567 * CHOOSE(CONTROL!$C$9, $C$13, 100%, $E$13) + CHOOSE(CONTROL!$C$28, 0, 0)</f>
        <v>139.89362012956701</v>
      </c>
    </row>
    <row r="262" spans="1:5" ht="15">
      <c r="A262" s="14">
        <v>49461</v>
      </c>
      <c r="B262" s="4">
        <f>23.7395 * CHOOSE(CONTROL!$C$9, $C$13, 100%, $E$13) + CHOOSE(CONTROL!$C$28, 0.0202, 0)</f>
        <v>23.759699999999999</v>
      </c>
      <c r="C262" s="4">
        <f>23.427 * CHOOSE(CONTROL!$C$9, $C$13, 100%, $E$13) + CHOOSE(CONTROL!$C$28, 0.0202, 0)</f>
        <v>23.447199999999999</v>
      </c>
      <c r="D262" s="4">
        <f>29.6736 * CHOOSE(CONTROL!$C$9, $C$13, 100%, $E$13) + CHOOSE(CONTROL!$C$28, 0, 0)</f>
        <v>29.6736</v>
      </c>
      <c r="E262" s="4">
        <f>140.336262603321 * CHOOSE(CONTROL!$C$9, $C$13, 100%, $E$13) + CHOOSE(CONTROL!$C$28, 0, 0)</f>
        <v>140.33626260332099</v>
      </c>
    </row>
    <row r="263" spans="1:5" ht="15">
      <c r="A263" s="14">
        <v>49491</v>
      </c>
      <c r="B263" s="4">
        <f>23.7326 * CHOOSE(CONTROL!$C$9, $C$13, 100%, $E$13) + CHOOSE(CONTROL!$C$28, 0.0202, 0)</f>
        <v>23.752800000000001</v>
      </c>
      <c r="C263" s="4">
        <f>23.4201 * CHOOSE(CONTROL!$C$9, $C$13, 100%, $E$13) + CHOOSE(CONTROL!$C$28, 0.0202, 0)</f>
        <v>23.440300000000001</v>
      </c>
      <c r="D263" s="4">
        <f>30.1497 * CHOOSE(CONTROL!$C$9, $C$13, 100%, $E$13) + CHOOSE(CONTROL!$C$28, 0, 0)</f>
        <v>30.149699999999999</v>
      </c>
      <c r="E263" s="4">
        <f>140.29162638748 * CHOOSE(CONTROL!$C$9, $C$13, 100%, $E$13) + CHOOSE(CONTROL!$C$28, 0, 0)</f>
        <v>140.29162638747999</v>
      </c>
    </row>
    <row r="264" spans="1:5" ht="15">
      <c r="A264" s="14">
        <v>49522</v>
      </c>
      <c r="B264" s="4">
        <f>24.2559 * CHOOSE(CONTROL!$C$9, $C$13, 100%, $E$13) + CHOOSE(CONTROL!$C$28, 0.0202, 0)</f>
        <v>24.2761</v>
      </c>
      <c r="C264" s="4">
        <f>23.9434 * CHOOSE(CONTROL!$C$9, $C$13, 100%, $E$13) + CHOOSE(CONTROL!$C$28, 0.0202, 0)</f>
        <v>23.9636</v>
      </c>
      <c r="D264" s="4">
        <f>29.8353 * CHOOSE(CONTROL!$C$9, $C$13, 100%, $E$13) + CHOOSE(CONTROL!$C$28, 0, 0)</f>
        <v>29.8353</v>
      </c>
      <c r="E264" s="4">
        <f>143.650501629497 * CHOOSE(CONTROL!$C$9, $C$13, 100%, $E$13) + CHOOSE(CONTROL!$C$28, 0, 0)</f>
        <v>143.650501629497</v>
      </c>
    </row>
    <row r="265" spans="1:5" ht="15">
      <c r="A265" s="14">
        <v>49553</v>
      </c>
      <c r="B265" s="4">
        <f>23.364 * CHOOSE(CONTROL!$C$9, $C$13, 100%, $E$13) + CHOOSE(CONTROL!$C$28, 0.0202, 0)</f>
        <v>23.3842</v>
      </c>
      <c r="C265" s="4">
        <f>23.0515 * CHOOSE(CONTROL!$C$9, $C$13, 100%, $E$13) + CHOOSE(CONTROL!$C$28, 0.0202, 0)</f>
        <v>23.0717</v>
      </c>
      <c r="D265" s="4">
        <f>29.6868 * CHOOSE(CONTROL!$C$9, $C$13, 100%, $E$13) + CHOOSE(CONTROL!$C$28, 0, 0)</f>
        <v>29.686800000000002</v>
      </c>
      <c r="E265" s="4">
        <f>137.925906947921 * CHOOSE(CONTROL!$C$9, $C$13, 100%, $E$13) + CHOOSE(CONTROL!$C$28, 0, 0)</f>
        <v>137.92590694792099</v>
      </c>
    </row>
    <row r="266" spans="1:5" ht="15">
      <c r="A266" s="14">
        <v>49583</v>
      </c>
      <c r="B266" s="4">
        <f>22.65 * CHOOSE(CONTROL!$C$9, $C$13, 100%, $E$13) + CHOOSE(CONTROL!$C$28, 0.0003, 0)</f>
        <v>22.650299999999998</v>
      </c>
      <c r="C266" s="4">
        <f>22.3375 * CHOOSE(CONTROL!$C$9, $C$13, 100%, $E$13) + CHOOSE(CONTROL!$C$28, 0.0003, 0)</f>
        <v>22.337799999999998</v>
      </c>
      <c r="D266" s="4">
        <f>29.289 * CHOOSE(CONTROL!$C$9, $C$13, 100%, $E$13) + CHOOSE(CONTROL!$C$28, 0, 0)</f>
        <v>29.289000000000001</v>
      </c>
      <c r="E266" s="4">
        <f>133.343255454937 * CHOOSE(CONTROL!$C$9, $C$13, 100%, $E$13) + CHOOSE(CONTROL!$C$28, 0, 0)</f>
        <v>133.34325545493701</v>
      </c>
    </row>
    <row r="267" spans="1:5" ht="15">
      <c r="A267" s="14">
        <v>49614</v>
      </c>
      <c r="B267" s="4">
        <f>22.1901 * CHOOSE(CONTROL!$C$9, $C$13, 100%, $E$13) + CHOOSE(CONTROL!$C$28, 0.0003, 0)</f>
        <v>22.1904</v>
      </c>
      <c r="C267" s="4">
        <f>21.8776 * CHOOSE(CONTROL!$C$9, $C$13, 100%, $E$13) + CHOOSE(CONTROL!$C$28, 0.0003, 0)</f>
        <v>21.8779</v>
      </c>
      <c r="D267" s="4">
        <f>29.1523 * CHOOSE(CONTROL!$C$9, $C$13, 100%, $E$13) + CHOOSE(CONTROL!$C$28, 0, 0)</f>
        <v>29.1523</v>
      </c>
      <c r="E267" s="4">
        <f>130.391685682467 * CHOOSE(CONTROL!$C$9, $C$13, 100%, $E$13) + CHOOSE(CONTROL!$C$28, 0, 0)</f>
        <v>130.391685682467</v>
      </c>
    </row>
    <row r="268" spans="1:5" ht="15">
      <c r="A268" s="14">
        <v>49644</v>
      </c>
      <c r="B268" s="4">
        <f>21.872 * CHOOSE(CONTROL!$C$9, $C$13, 100%, $E$13) + CHOOSE(CONTROL!$C$28, 0.0003, 0)</f>
        <v>21.872299999999999</v>
      </c>
      <c r="C268" s="4">
        <f>21.5595 * CHOOSE(CONTROL!$C$9, $C$13, 100%, $E$13) + CHOOSE(CONTROL!$C$28, 0.0003, 0)</f>
        <v>21.559799999999999</v>
      </c>
      <c r="D268" s="4">
        <f>28.1457 * CHOOSE(CONTROL!$C$9, $C$13, 100%, $E$13) + CHOOSE(CONTROL!$C$28, 0, 0)</f>
        <v>28.145700000000001</v>
      </c>
      <c r="E268" s="4">
        <f>128.349578807753 * CHOOSE(CONTROL!$C$9, $C$13, 100%, $E$13) + CHOOSE(CONTROL!$C$28, 0, 0)</f>
        <v>128.34957880775301</v>
      </c>
    </row>
    <row r="269" spans="1:5" ht="15">
      <c r="A269" s="14">
        <v>49675</v>
      </c>
      <c r="B269" s="4">
        <f>21.355 * CHOOSE(CONTROL!$C$9, $C$13, 100%, $E$13) + CHOOSE(CONTROL!$C$28, 0.0003, 0)</f>
        <v>21.3553</v>
      </c>
      <c r="C269" s="4">
        <f>21.0425 * CHOOSE(CONTROL!$C$9, $C$13, 100%, $E$13) + CHOOSE(CONTROL!$C$28, 0.0003, 0)</f>
        <v>21.0428</v>
      </c>
      <c r="D269" s="4">
        <f>27.2205 * CHOOSE(CONTROL!$C$9, $C$13, 100%, $E$13) + CHOOSE(CONTROL!$C$28, 0, 0)</f>
        <v>27.220500000000001</v>
      </c>
      <c r="E269" s="4">
        <f>124.669001988882 * CHOOSE(CONTROL!$C$9, $C$13, 100%, $E$13) + CHOOSE(CONTROL!$C$28, 0, 0)</f>
        <v>124.669001988882</v>
      </c>
    </row>
    <row r="270" spans="1:5" ht="15">
      <c r="A270" s="14">
        <v>49706</v>
      </c>
      <c r="B270" s="4">
        <f>21.8176 * CHOOSE(CONTROL!$C$9, $C$13, 100%, $E$13) + CHOOSE(CONTROL!$C$28, 0.0003, 0)</f>
        <v>21.817899999999998</v>
      </c>
      <c r="C270" s="4">
        <f>21.5051 * CHOOSE(CONTROL!$C$9, $C$13, 100%, $E$13) + CHOOSE(CONTROL!$C$28, 0.0003, 0)</f>
        <v>21.505399999999998</v>
      </c>
      <c r="D270" s="4">
        <f>28.1521 * CHOOSE(CONTROL!$C$9, $C$13, 100%, $E$13) + CHOOSE(CONTROL!$C$28, 0, 0)</f>
        <v>28.152100000000001</v>
      </c>
      <c r="E270" s="4">
        <f>127.629135405344 * CHOOSE(CONTROL!$C$9, $C$13, 100%, $E$13) + CHOOSE(CONTROL!$C$28, 0, 0)</f>
        <v>127.629135405344</v>
      </c>
    </row>
    <row r="271" spans="1:5" ht="15">
      <c r="A271" s="14">
        <v>49735</v>
      </c>
      <c r="B271" s="4">
        <f>23.0322 * CHOOSE(CONTROL!$C$9, $C$13, 100%, $E$13) + CHOOSE(CONTROL!$C$28, 0.0003, 0)</f>
        <v>23.032499999999999</v>
      </c>
      <c r="C271" s="4">
        <f>22.7197 * CHOOSE(CONTROL!$C$9, $C$13, 100%, $E$13) + CHOOSE(CONTROL!$C$28, 0.0003, 0)</f>
        <v>22.72</v>
      </c>
      <c r="D271" s="4">
        <f>29.6106 * CHOOSE(CONTROL!$C$9, $C$13, 100%, $E$13) + CHOOSE(CONTROL!$C$28, 0, 0)</f>
        <v>29.610600000000002</v>
      </c>
      <c r="E271" s="4">
        <f>135.40260306802 * CHOOSE(CONTROL!$C$9, $C$13, 100%, $E$13) + CHOOSE(CONTROL!$C$28, 0, 0)</f>
        <v>135.40260306802</v>
      </c>
    </row>
    <row r="272" spans="1:5" ht="15">
      <c r="A272" s="14">
        <v>49766</v>
      </c>
      <c r="B272" s="4">
        <f>23.8952 * CHOOSE(CONTROL!$C$9, $C$13, 100%, $E$13) + CHOOSE(CONTROL!$C$28, 0.0003, 0)</f>
        <v>23.895499999999998</v>
      </c>
      <c r="C272" s="4">
        <f>23.5827 * CHOOSE(CONTROL!$C$9, $C$13, 100%, $E$13) + CHOOSE(CONTROL!$C$28, 0.0003, 0)</f>
        <v>23.582999999999998</v>
      </c>
      <c r="D272" s="4">
        <f>30.4507 * CHOOSE(CONTROL!$C$9, $C$13, 100%, $E$13) + CHOOSE(CONTROL!$C$28, 0, 0)</f>
        <v>30.450700000000001</v>
      </c>
      <c r="E272" s="4">
        <f>140.925755437428 * CHOOSE(CONTROL!$C$9, $C$13, 100%, $E$13) + CHOOSE(CONTROL!$C$28, 0, 0)</f>
        <v>140.92575543742799</v>
      </c>
    </row>
    <row r="273" spans="1:5" ht="15">
      <c r="A273" s="14">
        <v>49796</v>
      </c>
      <c r="B273" s="4">
        <f>24.4225 * CHOOSE(CONTROL!$C$9, $C$13, 100%, $E$13) + CHOOSE(CONTROL!$C$28, 0.0202, 0)</f>
        <v>24.442699999999999</v>
      </c>
      <c r="C273" s="4">
        <f>24.11 * CHOOSE(CONTROL!$C$9, $C$13, 100%, $E$13) + CHOOSE(CONTROL!$C$28, 0.0202, 0)</f>
        <v>24.130199999999999</v>
      </c>
      <c r="D273" s="4">
        <f>30.1188 * CHOOSE(CONTROL!$C$9, $C$13, 100%, $E$13) + CHOOSE(CONTROL!$C$28, 0, 0)</f>
        <v>30.1188</v>
      </c>
      <c r="E273" s="4">
        <f>144.300269163648 * CHOOSE(CONTROL!$C$9, $C$13, 100%, $E$13) + CHOOSE(CONTROL!$C$28, 0, 0)</f>
        <v>144.30026916364801</v>
      </c>
    </row>
    <row r="274" spans="1:5" ht="15">
      <c r="A274" s="14">
        <v>49827</v>
      </c>
      <c r="B274" s="4">
        <f>24.4938 * CHOOSE(CONTROL!$C$9, $C$13, 100%, $E$13) + CHOOSE(CONTROL!$C$28, 0.0202, 0)</f>
        <v>24.513999999999999</v>
      </c>
      <c r="C274" s="4">
        <f>24.1813 * CHOOSE(CONTROL!$C$9, $C$13, 100%, $E$13) + CHOOSE(CONTROL!$C$28, 0.0202, 0)</f>
        <v>24.201499999999999</v>
      </c>
      <c r="D274" s="4">
        <f>30.3891 * CHOOSE(CONTROL!$C$9, $C$13, 100%, $E$13) + CHOOSE(CONTROL!$C$28, 0, 0)</f>
        <v>30.389099999999999</v>
      </c>
      <c r="E274" s="4">
        <f>144.756854875326 * CHOOSE(CONTROL!$C$9, $C$13, 100%, $E$13) + CHOOSE(CONTROL!$C$28, 0, 0)</f>
        <v>144.75685487532601</v>
      </c>
    </row>
    <row r="275" spans="1:5" ht="15">
      <c r="A275" s="14">
        <v>49857</v>
      </c>
      <c r="B275" s="4">
        <f>24.4867 * CHOOSE(CONTROL!$C$9, $C$13, 100%, $E$13) + CHOOSE(CONTROL!$C$28, 0.0202, 0)</f>
        <v>24.506899999999998</v>
      </c>
      <c r="C275" s="4">
        <f>24.1742 * CHOOSE(CONTROL!$C$9, $C$13, 100%, $E$13) + CHOOSE(CONTROL!$C$28, 0.0202, 0)</f>
        <v>24.194399999999998</v>
      </c>
      <c r="D275" s="4">
        <f>30.877 * CHOOSE(CONTROL!$C$9, $C$13, 100%, $E$13) + CHOOSE(CONTROL!$C$28, 0, 0)</f>
        <v>30.876999999999999</v>
      </c>
      <c r="E275" s="4">
        <f>144.710812618686 * CHOOSE(CONTROL!$C$9, $C$13, 100%, $E$13) + CHOOSE(CONTROL!$C$28, 0, 0)</f>
        <v>144.71081261868599</v>
      </c>
    </row>
    <row r="276" spans="1:5" ht="15">
      <c r="A276" s="14">
        <v>49888</v>
      </c>
      <c r="B276" s="4">
        <f>25.028 * CHOOSE(CONTROL!$C$9, $C$13, 100%, $E$13) + CHOOSE(CONTROL!$C$28, 0.0202, 0)</f>
        <v>25.048199999999998</v>
      </c>
      <c r="C276" s="4">
        <f>24.7155 * CHOOSE(CONTROL!$C$9, $C$13, 100%, $E$13) + CHOOSE(CONTROL!$C$28, 0.0202, 0)</f>
        <v>24.735699999999998</v>
      </c>
      <c r="D276" s="4">
        <f>30.5548 * CHOOSE(CONTROL!$C$9, $C$13, 100%, $E$13) + CHOOSE(CONTROL!$C$28, 0, 0)</f>
        <v>30.5548</v>
      </c>
      <c r="E276" s="4">
        <f>148.175492430826 * CHOOSE(CONTROL!$C$9, $C$13, 100%, $E$13) + CHOOSE(CONTROL!$C$28, 0, 0)</f>
        <v>148.17549243082601</v>
      </c>
    </row>
    <row r="277" spans="1:5" ht="15">
      <c r="A277" s="14">
        <v>49919</v>
      </c>
      <c r="B277" s="4">
        <f>24.1054 * CHOOSE(CONTROL!$C$9, $C$13, 100%, $E$13) + CHOOSE(CONTROL!$C$28, 0.0202, 0)</f>
        <v>24.125599999999999</v>
      </c>
      <c r="C277" s="4">
        <f>23.7929 * CHOOSE(CONTROL!$C$9, $C$13, 100%, $E$13) + CHOOSE(CONTROL!$C$28, 0.0202, 0)</f>
        <v>23.813099999999999</v>
      </c>
      <c r="D277" s="4">
        <f>30.4026 * CHOOSE(CONTROL!$C$9, $C$13, 100%, $E$13) + CHOOSE(CONTROL!$C$28, 0, 0)</f>
        <v>30.4026</v>
      </c>
      <c r="E277" s="4">
        <f>142.27057301678 * CHOOSE(CONTROL!$C$9, $C$13, 100%, $E$13) + CHOOSE(CONTROL!$C$28, 0, 0)</f>
        <v>142.27057301677999</v>
      </c>
    </row>
    <row r="278" spans="1:5" ht="15">
      <c r="A278" s="14">
        <v>49949</v>
      </c>
      <c r="B278" s="4">
        <f>23.3667 * CHOOSE(CONTROL!$C$9, $C$13, 100%, $E$13) + CHOOSE(CONTROL!$C$28, 0.0003, 0)</f>
        <v>23.367000000000001</v>
      </c>
      <c r="C278" s="4">
        <f>23.0542 * CHOOSE(CONTROL!$C$9, $C$13, 100%, $E$13) + CHOOSE(CONTROL!$C$28, 0.0003, 0)</f>
        <v>23.054500000000001</v>
      </c>
      <c r="D278" s="4">
        <f>29.995 * CHOOSE(CONTROL!$C$9, $C$13, 100%, $E$13) + CHOOSE(CONTROL!$C$28, 0, 0)</f>
        <v>29.995000000000001</v>
      </c>
      <c r="E278" s="4">
        <f>137.543568001767 * CHOOSE(CONTROL!$C$9, $C$13, 100%, $E$13) + CHOOSE(CONTROL!$C$28, 0, 0)</f>
        <v>137.543568001767</v>
      </c>
    </row>
    <row r="279" spans="1:5" ht="15">
      <c r="A279" s="14">
        <v>49980</v>
      </c>
      <c r="B279" s="4">
        <f>22.891 * CHOOSE(CONTROL!$C$9, $C$13, 100%, $E$13) + CHOOSE(CONTROL!$C$28, 0.0003, 0)</f>
        <v>22.891299999999998</v>
      </c>
      <c r="C279" s="4">
        <f>22.5785 * CHOOSE(CONTROL!$C$9, $C$13, 100%, $E$13) + CHOOSE(CONTROL!$C$28, 0.0003, 0)</f>
        <v>22.578799999999998</v>
      </c>
      <c r="D279" s="4">
        <f>29.8549 * CHOOSE(CONTROL!$C$9, $C$13, 100%, $E$13) + CHOOSE(CONTROL!$C$28, 0, 0)</f>
        <v>29.854900000000001</v>
      </c>
      <c r="E279" s="4">
        <f>134.499023781465 * CHOOSE(CONTROL!$C$9, $C$13, 100%, $E$13) + CHOOSE(CONTROL!$C$28, 0, 0)</f>
        <v>134.49902378146501</v>
      </c>
    </row>
    <row r="280" spans="1:5" ht="15">
      <c r="A280" s="14">
        <v>50010</v>
      </c>
      <c r="B280" s="4">
        <f>22.5619 * CHOOSE(CONTROL!$C$9, $C$13, 100%, $E$13) + CHOOSE(CONTROL!$C$28, 0.0003, 0)</f>
        <v>22.562200000000001</v>
      </c>
      <c r="C280" s="4">
        <f>22.2494 * CHOOSE(CONTROL!$C$9, $C$13, 100%, $E$13) + CHOOSE(CONTROL!$C$28, 0.0003, 0)</f>
        <v>22.249700000000001</v>
      </c>
      <c r="D280" s="4">
        <f>28.8233 * CHOOSE(CONTROL!$C$9, $C$13, 100%, $E$13) + CHOOSE(CONTROL!$C$28, 0, 0)</f>
        <v>28.8233</v>
      </c>
      <c r="E280" s="4">
        <f>132.392590540197 * CHOOSE(CONTROL!$C$9, $C$13, 100%, $E$13) + CHOOSE(CONTROL!$C$28, 0, 0)</f>
        <v>132.39259054019701</v>
      </c>
    </row>
    <row r="281" spans="1:5" ht="15">
      <c r="A281" s="14">
        <v>50041</v>
      </c>
      <c r="B281" s="4">
        <f>22.0271 * CHOOSE(CONTROL!$C$9, $C$13, 100%, $E$13) + CHOOSE(CONTROL!$C$28, 0.0003, 0)</f>
        <v>22.0274</v>
      </c>
      <c r="C281" s="4">
        <f>21.7146 * CHOOSE(CONTROL!$C$9, $C$13, 100%, $E$13) + CHOOSE(CONTROL!$C$28, 0.0003, 0)</f>
        <v>21.7149</v>
      </c>
      <c r="D281" s="4">
        <f>27.8751 * CHOOSE(CONTROL!$C$9, $C$13, 100%, $E$13) + CHOOSE(CONTROL!$C$28, 0, 0)</f>
        <v>27.8751</v>
      </c>
      <c r="E281" s="4">
        <f>128.596075551531 * CHOOSE(CONTROL!$C$9, $C$13, 100%, $E$13) + CHOOSE(CONTROL!$C$28, 0, 0)</f>
        <v>128.59607555153099</v>
      </c>
    </row>
    <row r="282" spans="1:5" ht="15">
      <c r="A282" s="14">
        <v>50072</v>
      </c>
      <c r="B282" s="4">
        <f>22.5056 * CHOOSE(CONTROL!$C$9, $C$13, 100%, $E$13) + CHOOSE(CONTROL!$C$28, 0.0003, 0)</f>
        <v>22.5059</v>
      </c>
      <c r="C282" s="4">
        <f>22.1931 * CHOOSE(CONTROL!$C$9, $C$13, 100%, $E$13) + CHOOSE(CONTROL!$C$28, 0.0003, 0)</f>
        <v>22.1934</v>
      </c>
      <c r="D282" s="4">
        <f>28.8299 * CHOOSE(CONTROL!$C$9, $C$13, 100%, $E$13) + CHOOSE(CONTROL!$C$28, 0, 0)</f>
        <v>28.829899999999999</v>
      </c>
      <c r="E282" s="4">
        <f>131.649453170613 * CHOOSE(CONTROL!$C$9, $C$13, 100%, $E$13) + CHOOSE(CONTROL!$C$28, 0, 0)</f>
        <v>131.64945317061299</v>
      </c>
    </row>
    <row r="283" spans="1:5" ht="15">
      <c r="A283" s="14">
        <v>50100</v>
      </c>
      <c r="B283" s="4">
        <f>23.7621 * CHOOSE(CONTROL!$C$9, $C$13, 100%, $E$13) + CHOOSE(CONTROL!$C$28, 0.0003, 0)</f>
        <v>23.7624</v>
      </c>
      <c r="C283" s="4">
        <f>23.4496 * CHOOSE(CONTROL!$C$9, $C$13, 100%, $E$13) + CHOOSE(CONTROL!$C$28, 0.0003, 0)</f>
        <v>23.4499</v>
      </c>
      <c r="D283" s="4">
        <f>30.3245 * CHOOSE(CONTROL!$C$9, $C$13, 100%, $E$13) + CHOOSE(CONTROL!$C$28, 0, 0)</f>
        <v>30.3245</v>
      </c>
      <c r="E283" s="4">
        <f>139.667785064662 * CHOOSE(CONTROL!$C$9, $C$13, 100%, $E$13) + CHOOSE(CONTROL!$C$28, 0, 0)</f>
        <v>139.66778506466201</v>
      </c>
    </row>
    <row r="284" spans="1:5" ht="15">
      <c r="A284" s="14">
        <v>50131</v>
      </c>
      <c r="B284" s="4">
        <f>24.6549 * CHOOSE(CONTROL!$C$9, $C$13, 100%, $E$13) + CHOOSE(CONTROL!$C$28, 0.0003, 0)</f>
        <v>24.655200000000001</v>
      </c>
      <c r="C284" s="4">
        <f>24.3424 * CHOOSE(CONTROL!$C$9, $C$13, 100%, $E$13) + CHOOSE(CONTROL!$C$28, 0.0003, 0)</f>
        <v>24.342700000000001</v>
      </c>
      <c r="D284" s="4">
        <f>31.1855 * CHOOSE(CONTROL!$C$9, $C$13, 100%, $E$13) + CHOOSE(CONTROL!$C$28, 0, 0)</f>
        <v>31.185500000000001</v>
      </c>
      <c r="E284" s="4">
        <f>145.364916733707 * CHOOSE(CONTROL!$C$9, $C$13, 100%, $E$13) + CHOOSE(CONTROL!$C$28, 0, 0)</f>
        <v>145.36491673370699</v>
      </c>
    </row>
    <row r="285" spans="1:5" ht="15">
      <c r="A285" s="14">
        <v>50161</v>
      </c>
      <c r="B285" s="4">
        <f>25.2004 * CHOOSE(CONTROL!$C$9, $C$13, 100%, $E$13) + CHOOSE(CONTROL!$C$28, 0.0202, 0)</f>
        <v>25.220599999999997</v>
      </c>
      <c r="C285" s="4">
        <f>24.8879 * CHOOSE(CONTROL!$C$9, $C$13, 100%, $E$13) + CHOOSE(CONTROL!$C$28, 0.0202, 0)</f>
        <v>24.908099999999997</v>
      </c>
      <c r="D285" s="4">
        <f>30.8453 * CHOOSE(CONTROL!$C$9, $C$13, 100%, $E$13) + CHOOSE(CONTROL!$C$28, 0, 0)</f>
        <v>30.845300000000002</v>
      </c>
      <c r="E285" s="4">
        <f>148.845727642303 * CHOOSE(CONTROL!$C$9, $C$13, 100%, $E$13) + CHOOSE(CONTROL!$C$28, 0, 0)</f>
        <v>148.84572764230299</v>
      </c>
    </row>
    <row r="286" spans="1:5" ht="15">
      <c r="A286" s="14">
        <v>50192</v>
      </c>
      <c r="B286" s="4">
        <f>25.2742 * CHOOSE(CONTROL!$C$9, $C$13, 100%, $E$13) + CHOOSE(CONTROL!$C$28, 0.0202, 0)</f>
        <v>25.2944</v>
      </c>
      <c r="C286" s="4">
        <f>24.9617 * CHOOSE(CONTROL!$C$9, $C$13, 100%, $E$13) + CHOOSE(CONTROL!$C$28, 0.0202, 0)</f>
        <v>24.9819</v>
      </c>
      <c r="D286" s="4">
        <f>31.1224 * CHOOSE(CONTROL!$C$9, $C$13, 100%, $E$13) + CHOOSE(CONTROL!$C$28, 0, 0)</f>
        <v>31.122399999999999</v>
      </c>
      <c r="E286" s="4">
        <f>149.316695803899 * CHOOSE(CONTROL!$C$9, $C$13, 100%, $E$13) + CHOOSE(CONTROL!$C$28, 0, 0)</f>
        <v>149.31669580389899</v>
      </c>
    </row>
    <row r="287" spans="1:5" ht="15">
      <c r="A287" s="14">
        <v>50222</v>
      </c>
      <c r="B287" s="4">
        <f>25.2668 * CHOOSE(CONTROL!$C$9, $C$13, 100%, $E$13) + CHOOSE(CONTROL!$C$28, 0.0202, 0)</f>
        <v>25.286999999999999</v>
      </c>
      <c r="C287" s="4">
        <f>24.9543 * CHOOSE(CONTROL!$C$9, $C$13, 100%, $E$13) + CHOOSE(CONTROL!$C$28, 0.0202, 0)</f>
        <v>24.974499999999999</v>
      </c>
      <c r="D287" s="4">
        <f>31.6223 * CHOOSE(CONTROL!$C$9, $C$13, 100%, $E$13) + CHOOSE(CONTROL!$C$28, 0, 0)</f>
        <v>31.622299999999999</v>
      </c>
      <c r="E287" s="4">
        <f>149.269203216175 * CHOOSE(CONTROL!$C$9, $C$13, 100%, $E$13) + CHOOSE(CONTROL!$C$28, 0, 0)</f>
        <v>149.26920321617499</v>
      </c>
    </row>
    <row r="288" spans="1:5" ht="15">
      <c r="A288" s="14">
        <v>50253</v>
      </c>
      <c r="B288" s="4">
        <f>25.8268 * CHOOSE(CONTROL!$C$9, $C$13, 100%, $E$13) + CHOOSE(CONTROL!$C$28, 0.0202, 0)</f>
        <v>25.846999999999998</v>
      </c>
      <c r="C288" s="4">
        <f>25.5143 * CHOOSE(CONTROL!$C$9, $C$13, 100%, $E$13) + CHOOSE(CONTROL!$C$28, 0.0202, 0)</f>
        <v>25.534499999999998</v>
      </c>
      <c r="D288" s="4">
        <f>31.2921 * CHOOSE(CONTROL!$C$9, $C$13, 100%, $E$13) + CHOOSE(CONTROL!$C$28, 0, 0)</f>
        <v>31.292100000000001</v>
      </c>
      <c r="E288" s="4">
        <f>152.843020442397 * CHOOSE(CONTROL!$C$9, $C$13, 100%, $E$13) + CHOOSE(CONTROL!$C$28, 0, 0)</f>
        <v>152.84302044239701</v>
      </c>
    </row>
    <row r="289" spans="1:5" ht="15">
      <c r="A289" s="14">
        <v>50284</v>
      </c>
      <c r="B289" s="4">
        <f>24.8723 * CHOOSE(CONTROL!$C$9, $C$13, 100%, $E$13) + CHOOSE(CONTROL!$C$28, 0.0202, 0)</f>
        <v>24.892499999999998</v>
      </c>
      <c r="C289" s="4">
        <f>24.5598 * CHOOSE(CONTROL!$C$9, $C$13, 100%, $E$13) + CHOOSE(CONTROL!$C$28, 0.0202, 0)</f>
        <v>24.58</v>
      </c>
      <c r="D289" s="4">
        <f>31.1362 * CHOOSE(CONTROL!$C$9, $C$13, 100%, $E$13) + CHOOSE(CONTROL!$C$28, 0, 0)</f>
        <v>31.136199999999999</v>
      </c>
      <c r="E289" s="4">
        <f>146.752096066809 * CHOOSE(CONTROL!$C$9, $C$13, 100%, $E$13) + CHOOSE(CONTROL!$C$28, 0, 0)</f>
        <v>146.752096066809</v>
      </c>
    </row>
    <row r="290" spans="1:5" ht="15">
      <c r="A290" s="14">
        <v>50314</v>
      </c>
      <c r="B290" s="4">
        <f>24.1082 * CHOOSE(CONTROL!$C$9, $C$13, 100%, $E$13) + CHOOSE(CONTROL!$C$28, 0.0003, 0)</f>
        <v>24.108499999999999</v>
      </c>
      <c r="C290" s="4">
        <f>23.7957 * CHOOSE(CONTROL!$C$9, $C$13, 100%, $E$13) + CHOOSE(CONTROL!$C$28, 0.0003, 0)</f>
        <v>23.795999999999999</v>
      </c>
      <c r="D290" s="4">
        <f>30.7185 * CHOOSE(CONTROL!$C$9, $C$13, 100%, $E$13) + CHOOSE(CONTROL!$C$28, 0, 0)</f>
        <v>30.718499999999999</v>
      </c>
      <c r="E290" s="4">
        <f>141.876190393823 * CHOOSE(CONTROL!$C$9, $C$13, 100%, $E$13) + CHOOSE(CONTROL!$C$28, 0, 0)</f>
        <v>141.87619039382301</v>
      </c>
    </row>
    <row r="291" spans="1:5" ht="15">
      <c r="A291" s="14">
        <v>50345</v>
      </c>
      <c r="B291" s="4">
        <f>23.6161 * CHOOSE(CONTROL!$C$9, $C$13, 100%, $E$13) + CHOOSE(CONTROL!$C$28, 0.0003, 0)</f>
        <v>23.616399999999999</v>
      </c>
      <c r="C291" s="4">
        <f>23.3036 * CHOOSE(CONTROL!$C$9, $C$13, 100%, $E$13) + CHOOSE(CONTROL!$C$28, 0.0003, 0)</f>
        <v>23.303899999999999</v>
      </c>
      <c r="D291" s="4">
        <f>30.5749 * CHOOSE(CONTROL!$C$9, $C$13, 100%, $E$13) + CHOOSE(CONTROL!$C$28, 0, 0)</f>
        <v>30.5749</v>
      </c>
      <c r="E291" s="4">
        <f>138.735743030581 * CHOOSE(CONTROL!$C$9, $C$13, 100%, $E$13) + CHOOSE(CONTROL!$C$28, 0, 0)</f>
        <v>138.73574303058101</v>
      </c>
    </row>
    <row r="292" spans="1:5" ht="15">
      <c r="A292" s="14">
        <v>50375</v>
      </c>
      <c r="B292" s="4">
        <f>23.2756 * CHOOSE(CONTROL!$C$9, $C$13, 100%, $E$13) + CHOOSE(CONTROL!$C$28, 0.0003, 0)</f>
        <v>23.2759</v>
      </c>
      <c r="C292" s="4">
        <f>22.9631 * CHOOSE(CONTROL!$C$9, $C$13, 100%, $E$13) + CHOOSE(CONTROL!$C$28, 0.0003, 0)</f>
        <v>22.9634</v>
      </c>
      <c r="D292" s="4">
        <f>29.5177 * CHOOSE(CONTROL!$C$9, $C$13, 100%, $E$13) + CHOOSE(CONTROL!$C$28, 0, 0)</f>
        <v>29.517700000000001</v>
      </c>
      <c r="E292" s="4">
        <f>136.562957142213 * CHOOSE(CONTROL!$C$9, $C$13, 100%, $E$13) + CHOOSE(CONTROL!$C$28, 0, 0)</f>
        <v>136.56295714221301</v>
      </c>
    </row>
    <row r="293" spans="1:5" ht="15">
      <c r="A293" s="13">
        <v>50436</v>
      </c>
      <c r="B293" s="4">
        <f>22.7223 * CHOOSE(CONTROL!$C$9, $C$13, 100%, $E$13) + CHOOSE(CONTROL!$C$28, 0.0003, 0)</f>
        <v>22.7226</v>
      </c>
      <c r="C293" s="4">
        <f>22.4098 * CHOOSE(CONTROL!$C$9, $C$13, 100%, $E$13) + CHOOSE(CONTROL!$C$28, 0.0003, 0)</f>
        <v>22.4101</v>
      </c>
      <c r="D293" s="4">
        <f>28.546 * CHOOSE(CONTROL!$C$9, $C$13, 100%, $E$13) + CHOOSE(CONTROL!$C$28, 0, 0)</f>
        <v>28.545999999999999</v>
      </c>
      <c r="E293" s="4">
        <f>132.646851931405 * CHOOSE(CONTROL!$C$9, $C$13, 100%, $E$13) + CHOOSE(CONTROL!$C$28, 0, 0)</f>
        <v>132.646851931405</v>
      </c>
    </row>
    <row r="294" spans="1:5" ht="15">
      <c r="A294" s="13">
        <v>50464</v>
      </c>
      <c r="B294" s="4">
        <f>23.2173 * CHOOSE(CONTROL!$C$9, $C$13, 100%, $E$13) + CHOOSE(CONTROL!$C$28, 0.0003, 0)</f>
        <v>23.217600000000001</v>
      </c>
      <c r="C294" s="4">
        <f>22.9048 * CHOOSE(CONTROL!$C$9, $C$13, 100%, $E$13) + CHOOSE(CONTROL!$C$28, 0.0003, 0)</f>
        <v>22.905100000000001</v>
      </c>
      <c r="D294" s="4">
        <f>29.5245 * CHOOSE(CONTROL!$C$9, $C$13, 100%, $E$13) + CHOOSE(CONTROL!$C$28, 0, 0)</f>
        <v>29.5245</v>
      </c>
      <c r="E294" s="4">
        <f>135.796410945487 * CHOOSE(CONTROL!$C$9, $C$13, 100%, $E$13) + CHOOSE(CONTROL!$C$28, 0, 0)</f>
        <v>135.796410945487</v>
      </c>
    </row>
    <row r="295" spans="1:5" ht="15">
      <c r="A295" s="13">
        <v>50495</v>
      </c>
      <c r="B295" s="4">
        <f>24.5172 * CHOOSE(CONTROL!$C$9, $C$13, 100%, $E$13) + CHOOSE(CONTROL!$C$28, 0.0003, 0)</f>
        <v>24.517499999999998</v>
      </c>
      <c r="C295" s="4">
        <f>24.2047 * CHOOSE(CONTROL!$C$9, $C$13, 100%, $E$13) + CHOOSE(CONTROL!$C$28, 0.0003, 0)</f>
        <v>24.204999999999998</v>
      </c>
      <c r="D295" s="4">
        <f>31.0562 * CHOOSE(CONTROL!$C$9, $C$13, 100%, $E$13) + CHOOSE(CONTROL!$C$28, 0, 0)</f>
        <v>31.0562</v>
      </c>
      <c r="E295" s="4">
        <f>144.067320294199 * CHOOSE(CONTROL!$C$9, $C$13, 100%, $E$13) + CHOOSE(CONTROL!$C$28, 0, 0)</f>
        <v>144.06732029419899</v>
      </c>
    </row>
    <row r="296" spans="1:5" ht="15">
      <c r="A296" s="13">
        <v>50525</v>
      </c>
      <c r="B296" s="4">
        <f>25.4408 * CHOOSE(CONTROL!$C$9, $C$13, 100%, $E$13) + CHOOSE(CONTROL!$C$28, 0.0003, 0)</f>
        <v>25.441099999999999</v>
      </c>
      <c r="C296" s="4">
        <f>25.1283 * CHOOSE(CONTROL!$C$9, $C$13, 100%, $E$13) + CHOOSE(CONTROL!$C$28, 0.0003, 0)</f>
        <v>25.128599999999999</v>
      </c>
      <c r="D296" s="4">
        <f>31.9385 * CHOOSE(CONTROL!$C$9, $C$13, 100%, $E$13) + CHOOSE(CONTROL!$C$28, 0, 0)</f>
        <v>31.938500000000001</v>
      </c>
      <c r="E296" s="4">
        <f>149.943911610819 * CHOOSE(CONTROL!$C$9, $C$13, 100%, $E$13) + CHOOSE(CONTROL!$C$28, 0, 0)</f>
        <v>149.94391161081899</v>
      </c>
    </row>
    <row r="297" spans="1:5" ht="15">
      <c r="A297" s="13">
        <v>50556</v>
      </c>
      <c r="B297" s="4">
        <f>26.0051 * CHOOSE(CONTROL!$C$9, $C$13, 100%, $E$13) + CHOOSE(CONTROL!$C$28, 0.0202, 0)</f>
        <v>26.025299999999998</v>
      </c>
      <c r="C297" s="4">
        <f>25.6926 * CHOOSE(CONTROL!$C$9, $C$13, 100%, $E$13) + CHOOSE(CONTROL!$C$28, 0.0202, 0)</f>
        <v>25.712799999999998</v>
      </c>
      <c r="D297" s="4">
        <f>31.5899 * CHOOSE(CONTROL!$C$9, $C$13, 100%, $E$13) + CHOOSE(CONTROL!$C$28, 0, 0)</f>
        <v>31.5899</v>
      </c>
      <c r="E297" s="4">
        <f>153.534368063036 * CHOOSE(CONTROL!$C$9, $C$13, 100%, $E$13) + CHOOSE(CONTROL!$C$28, 0, 0)</f>
        <v>153.534368063036</v>
      </c>
    </row>
    <row r="298" spans="1:5" ht="15">
      <c r="A298" s="13">
        <v>50586</v>
      </c>
      <c r="B298" s="4">
        <f>26.0815 * CHOOSE(CONTROL!$C$9, $C$13, 100%, $E$13) + CHOOSE(CONTROL!$C$28, 0.0202, 0)</f>
        <v>26.101699999999997</v>
      </c>
      <c r="C298" s="4">
        <f>25.769 * CHOOSE(CONTROL!$C$9, $C$13, 100%, $E$13) + CHOOSE(CONTROL!$C$28, 0.0202, 0)</f>
        <v>25.789199999999997</v>
      </c>
      <c r="D298" s="4">
        <f>31.8738 * CHOOSE(CONTROL!$C$9, $C$13, 100%, $E$13) + CHOOSE(CONTROL!$C$28, 0, 0)</f>
        <v>31.873799999999999</v>
      </c>
      <c r="E298" s="4">
        <f>154.020171721721 * CHOOSE(CONTROL!$C$9, $C$13, 100%, $E$13) + CHOOSE(CONTROL!$C$28, 0, 0)</f>
        <v>154.020171721721</v>
      </c>
    </row>
    <row r="299" spans="1:5" ht="15">
      <c r="A299" s="13">
        <v>50617</v>
      </c>
      <c r="B299" s="4">
        <f>26.0738 * CHOOSE(CONTROL!$C$9, $C$13, 100%, $E$13) + CHOOSE(CONTROL!$C$28, 0.0202, 0)</f>
        <v>26.093999999999998</v>
      </c>
      <c r="C299" s="4">
        <f>25.7613 * CHOOSE(CONTROL!$C$9, $C$13, 100%, $E$13) + CHOOSE(CONTROL!$C$28, 0.0202, 0)</f>
        <v>25.781499999999998</v>
      </c>
      <c r="D299" s="4">
        <f>32.3861 * CHOOSE(CONTROL!$C$9, $C$13, 100%, $E$13) + CHOOSE(CONTROL!$C$28, 0, 0)</f>
        <v>32.386099999999999</v>
      </c>
      <c r="E299" s="4">
        <f>153.971183117484 * CHOOSE(CONTROL!$C$9, $C$13, 100%, $E$13) + CHOOSE(CONTROL!$C$28, 0, 0)</f>
        <v>153.971183117484</v>
      </c>
    </row>
    <row r="300" spans="1:5" ht="15">
      <c r="A300" s="13">
        <v>50648</v>
      </c>
      <c r="B300" s="4">
        <f>26.6531 * CHOOSE(CONTROL!$C$9, $C$13, 100%, $E$13) + CHOOSE(CONTROL!$C$28, 0.0202, 0)</f>
        <v>26.673299999999998</v>
      </c>
      <c r="C300" s="4">
        <f>26.3406 * CHOOSE(CONTROL!$C$9, $C$13, 100%, $E$13) + CHOOSE(CONTROL!$C$28, 0.0202, 0)</f>
        <v>26.360799999999998</v>
      </c>
      <c r="D300" s="4">
        <f>32.0478 * CHOOSE(CONTROL!$C$9, $C$13, 100%, $E$13) + CHOOSE(CONTROL!$C$28, 0, 0)</f>
        <v>32.047800000000002</v>
      </c>
      <c r="E300" s="4">
        <f>157.657575586333 * CHOOSE(CONTROL!$C$9, $C$13, 100%, $E$13) + CHOOSE(CONTROL!$C$28, 0, 0)</f>
        <v>157.657575586333</v>
      </c>
    </row>
    <row r="301" spans="1:5" ht="15">
      <c r="A301" s="13">
        <v>50678</v>
      </c>
      <c r="B301" s="4">
        <f>25.6657 * CHOOSE(CONTROL!$C$9, $C$13, 100%, $E$13) + CHOOSE(CONTROL!$C$28, 0.0202, 0)</f>
        <v>25.6859</v>
      </c>
      <c r="C301" s="4">
        <f>25.3532 * CHOOSE(CONTROL!$C$9, $C$13, 100%, $E$13) + CHOOSE(CONTROL!$C$28, 0.0202, 0)</f>
        <v>25.3734</v>
      </c>
      <c r="D301" s="4">
        <f>31.8879 * CHOOSE(CONTROL!$C$9, $C$13, 100%, $E$13) + CHOOSE(CONTROL!$C$28, 0, 0)</f>
        <v>31.887899999999998</v>
      </c>
      <c r="E301" s="4">
        <f>151.374787092913 * CHOOSE(CONTROL!$C$9, $C$13, 100%, $E$13) + CHOOSE(CONTROL!$C$28, 0, 0)</f>
        <v>151.37478709291301</v>
      </c>
    </row>
    <row r="302" spans="1:5" ht="15">
      <c r="A302" s="13">
        <v>50709</v>
      </c>
      <c r="B302" s="4">
        <f>24.8753 * CHOOSE(CONTROL!$C$9, $C$13, 100%, $E$13) + CHOOSE(CONTROL!$C$28, 0.0003, 0)</f>
        <v>24.875599999999999</v>
      </c>
      <c r="C302" s="4">
        <f>24.5628 * CHOOSE(CONTROL!$C$9, $C$13, 100%, $E$13) + CHOOSE(CONTROL!$C$28, 0.0003, 0)</f>
        <v>24.563099999999999</v>
      </c>
      <c r="D302" s="4">
        <f>31.4599 * CHOOSE(CONTROL!$C$9, $C$13, 100%, $E$13) + CHOOSE(CONTROL!$C$28, 0, 0)</f>
        <v>31.459900000000001</v>
      </c>
      <c r="E302" s="4">
        <f>146.345290391228 * CHOOSE(CONTROL!$C$9, $C$13, 100%, $E$13) + CHOOSE(CONTROL!$C$28, 0, 0)</f>
        <v>146.34529039122799</v>
      </c>
    </row>
    <row r="303" spans="1:5" ht="15">
      <c r="A303" s="13">
        <v>50739</v>
      </c>
      <c r="B303" s="4">
        <f>24.3661 * CHOOSE(CONTROL!$C$9, $C$13, 100%, $E$13) + CHOOSE(CONTROL!$C$28, 0.0003, 0)</f>
        <v>24.366399999999999</v>
      </c>
      <c r="C303" s="4">
        <f>24.0536 * CHOOSE(CONTROL!$C$9, $C$13, 100%, $E$13) + CHOOSE(CONTROL!$C$28, 0.0003, 0)</f>
        <v>24.053899999999999</v>
      </c>
      <c r="D303" s="4">
        <f>31.3127 * CHOOSE(CONTROL!$C$9, $C$13, 100%, $E$13) + CHOOSE(CONTROL!$C$28, 0, 0)</f>
        <v>31.3127</v>
      </c>
      <c r="E303" s="4">
        <f>143.105918936044 * CHOOSE(CONTROL!$C$9, $C$13, 100%, $E$13) + CHOOSE(CONTROL!$C$28, 0, 0)</f>
        <v>143.10591893604399</v>
      </c>
    </row>
    <row r="304" spans="1:5" ht="15">
      <c r="A304" s="13">
        <v>50770</v>
      </c>
      <c r="B304" s="4">
        <f>24.0139 * CHOOSE(CONTROL!$C$9, $C$13, 100%, $E$13) + CHOOSE(CONTROL!$C$28, 0.0003, 0)</f>
        <v>24.014199999999999</v>
      </c>
      <c r="C304" s="4">
        <f>23.7014 * CHOOSE(CONTROL!$C$9, $C$13, 100%, $E$13) + CHOOSE(CONTROL!$C$28, 0.0003, 0)</f>
        <v>23.701699999999999</v>
      </c>
      <c r="D304" s="4">
        <f>30.2293 * CHOOSE(CONTROL!$C$9, $C$13, 100%, $E$13) + CHOOSE(CONTROL!$C$28, 0, 0)</f>
        <v>30.229299999999999</v>
      </c>
      <c r="E304" s="4">
        <f>140.864690292193 * CHOOSE(CONTROL!$C$9, $C$13, 100%, $E$13) + CHOOSE(CONTROL!$C$28, 0, 0)</f>
        <v>140.86469029219299</v>
      </c>
    </row>
    <row r="305" spans="1:5" ht="15">
      <c r="A305" s="13">
        <v>50801</v>
      </c>
      <c r="B305" s="4">
        <f>23.4416 * CHOOSE(CONTROL!$C$9, $C$13, 100%, $E$13) + CHOOSE(CONTROL!$C$28, 0.0003, 0)</f>
        <v>23.4419</v>
      </c>
      <c r="C305" s="4">
        <f>23.1291 * CHOOSE(CONTROL!$C$9, $C$13, 100%, $E$13) + CHOOSE(CONTROL!$C$28, 0.0003, 0)</f>
        <v>23.1294</v>
      </c>
      <c r="D305" s="4">
        <f>29.2336 * CHOOSE(CONTROL!$C$9, $C$13, 100%, $E$13) + CHOOSE(CONTROL!$C$28, 0, 0)</f>
        <v>29.233599999999999</v>
      </c>
      <c r="E305" s="4">
        <f>136.825227767244 * CHOOSE(CONTROL!$C$9, $C$13, 100%, $E$13) + CHOOSE(CONTROL!$C$28, 0, 0)</f>
        <v>136.825227767244</v>
      </c>
    </row>
    <row r="306" spans="1:5" ht="15">
      <c r="A306" s="13">
        <v>50829</v>
      </c>
      <c r="B306" s="4">
        <f>23.9537 * CHOOSE(CONTROL!$C$9, $C$13, 100%, $E$13) + CHOOSE(CONTROL!$C$28, 0.0003, 0)</f>
        <v>23.954000000000001</v>
      </c>
      <c r="C306" s="4">
        <f>23.6412 * CHOOSE(CONTROL!$C$9, $C$13, 100%, $E$13) + CHOOSE(CONTROL!$C$28, 0.0003, 0)</f>
        <v>23.641500000000001</v>
      </c>
      <c r="D306" s="4">
        <f>30.2363 * CHOOSE(CONTROL!$C$9, $C$13, 100%, $E$13) + CHOOSE(CONTROL!$C$28, 0, 0)</f>
        <v>30.2363</v>
      </c>
      <c r="E306" s="4">
        <f>140.07399789027 * CHOOSE(CONTROL!$C$9, $C$13, 100%, $E$13) + CHOOSE(CONTROL!$C$28, 0, 0)</f>
        <v>140.07399789026999</v>
      </c>
    </row>
    <row r="307" spans="1:5" ht="15">
      <c r="A307" s="13">
        <v>50860</v>
      </c>
      <c r="B307" s="4">
        <f>25.2984 * CHOOSE(CONTROL!$C$9, $C$13, 100%, $E$13) + CHOOSE(CONTROL!$C$28, 0.0003, 0)</f>
        <v>25.2987</v>
      </c>
      <c r="C307" s="4">
        <f>24.9859 * CHOOSE(CONTROL!$C$9, $C$13, 100%, $E$13) + CHOOSE(CONTROL!$C$28, 0.0003, 0)</f>
        <v>24.9862</v>
      </c>
      <c r="D307" s="4">
        <f>31.806 * CHOOSE(CONTROL!$C$9, $C$13, 100%, $E$13) + CHOOSE(CONTROL!$C$28, 0, 0)</f>
        <v>31.806000000000001</v>
      </c>
      <c r="E307" s="4">
        <f>148.605440883466 * CHOOSE(CONTROL!$C$9, $C$13, 100%, $E$13) + CHOOSE(CONTROL!$C$28, 0, 0)</f>
        <v>148.605440883466</v>
      </c>
    </row>
    <row r="308" spans="1:5" ht="15">
      <c r="A308" s="13">
        <v>50890</v>
      </c>
      <c r="B308" s="4">
        <f>26.2538 * CHOOSE(CONTROL!$C$9, $C$13, 100%, $E$13) + CHOOSE(CONTROL!$C$28, 0.0003, 0)</f>
        <v>26.254099999999998</v>
      </c>
      <c r="C308" s="4">
        <f>25.9413 * CHOOSE(CONTROL!$C$9, $C$13, 100%, $E$13) + CHOOSE(CONTROL!$C$28, 0.0003, 0)</f>
        <v>25.941599999999998</v>
      </c>
      <c r="D308" s="4">
        <f>32.7102 * CHOOSE(CONTROL!$C$9, $C$13, 100%, $E$13) + CHOOSE(CONTROL!$C$28, 0, 0)</f>
        <v>32.7102</v>
      </c>
      <c r="E308" s="4">
        <f>154.667144826559 * CHOOSE(CONTROL!$C$9, $C$13, 100%, $E$13) + CHOOSE(CONTROL!$C$28, 0, 0)</f>
        <v>154.667144826559</v>
      </c>
    </row>
    <row r="309" spans="1:5" ht="15">
      <c r="A309" s="13">
        <v>50921</v>
      </c>
      <c r="B309" s="4">
        <f>26.8376 * CHOOSE(CONTROL!$C$9, $C$13, 100%, $E$13) + CHOOSE(CONTROL!$C$28, 0.0202, 0)</f>
        <v>26.857799999999997</v>
      </c>
      <c r="C309" s="4">
        <f>26.5251 * CHOOSE(CONTROL!$C$9, $C$13, 100%, $E$13) + CHOOSE(CONTROL!$C$28, 0.0202, 0)</f>
        <v>26.545299999999997</v>
      </c>
      <c r="D309" s="4">
        <f>32.3529 * CHOOSE(CONTROL!$C$9, $C$13, 100%, $E$13) + CHOOSE(CONTROL!$C$28, 0, 0)</f>
        <v>32.352899999999998</v>
      </c>
      <c r="E309" s="4">
        <f>158.370700657022 * CHOOSE(CONTROL!$C$9, $C$13, 100%, $E$13) + CHOOSE(CONTROL!$C$28, 0, 0)</f>
        <v>158.37070065702201</v>
      </c>
    </row>
    <row r="310" spans="1:5" ht="15">
      <c r="A310" s="13">
        <v>50951</v>
      </c>
      <c r="B310" s="4">
        <f>26.9166 * CHOOSE(CONTROL!$C$9, $C$13, 100%, $E$13) + CHOOSE(CONTROL!$C$28, 0.0202, 0)</f>
        <v>26.936799999999998</v>
      </c>
      <c r="C310" s="4">
        <f>26.6041 * CHOOSE(CONTROL!$C$9, $C$13, 100%, $E$13) + CHOOSE(CONTROL!$C$28, 0.0202, 0)</f>
        <v>26.624299999999998</v>
      </c>
      <c r="D310" s="4">
        <f>32.6439 * CHOOSE(CONTROL!$C$9, $C$13, 100%, $E$13) + CHOOSE(CONTROL!$C$28, 0, 0)</f>
        <v>32.643900000000002</v>
      </c>
      <c r="E310" s="4">
        <f>158.871807130956 * CHOOSE(CONTROL!$C$9, $C$13, 100%, $E$13) + CHOOSE(CONTROL!$C$28, 0, 0)</f>
        <v>158.871807130956</v>
      </c>
    </row>
    <row r="311" spans="1:5" ht="15">
      <c r="A311" s="13">
        <v>50982</v>
      </c>
      <c r="B311" s="4">
        <f>26.9086 * CHOOSE(CONTROL!$C$9, $C$13, 100%, $E$13) + CHOOSE(CONTROL!$C$28, 0.0202, 0)</f>
        <v>26.928799999999999</v>
      </c>
      <c r="C311" s="4">
        <f>26.5961 * CHOOSE(CONTROL!$C$9, $C$13, 100%, $E$13) + CHOOSE(CONTROL!$C$28, 0.0202, 0)</f>
        <v>26.616299999999999</v>
      </c>
      <c r="D311" s="4">
        <f>33.1689 * CHOOSE(CONTROL!$C$9, $C$13, 100%, $E$13) + CHOOSE(CONTROL!$C$28, 0, 0)</f>
        <v>33.168900000000001</v>
      </c>
      <c r="E311" s="4">
        <f>158.821275385685 * CHOOSE(CONTROL!$C$9, $C$13, 100%, $E$13) + CHOOSE(CONTROL!$C$28, 0, 0)</f>
        <v>158.821275385685</v>
      </c>
    </row>
    <row r="312" spans="1:5" ht="15">
      <c r="A312" s="13">
        <v>51013</v>
      </c>
      <c r="B312" s="4">
        <f>27.508 * CHOOSE(CONTROL!$C$9, $C$13, 100%, $E$13) + CHOOSE(CONTROL!$C$28, 0.0202, 0)</f>
        <v>27.528199999999998</v>
      </c>
      <c r="C312" s="4">
        <f>27.1955 * CHOOSE(CONTROL!$C$9, $C$13, 100%, $E$13) + CHOOSE(CONTROL!$C$28, 0.0202, 0)</f>
        <v>27.215699999999998</v>
      </c>
      <c r="D312" s="4">
        <f>32.8222 * CHOOSE(CONTROL!$C$9, $C$13, 100%, $E$13) + CHOOSE(CONTROL!$C$28, 0, 0)</f>
        <v>32.822200000000002</v>
      </c>
      <c r="E312" s="4">
        <f>162.623789217302 * CHOOSE(CONTROL!$C$9, $C$13, 100%, $E$13) + CHOOSE(CONTROL!$C$28, 0, 0)</f>
        <v>162.623789217302</v>
      </c>
    </row>
    <row r="313" spans="1:5" ht="15">
      <c r="A313" s="13">
        <v>51043</v>
      </c>
      <c r="B313" s="4">
        <f>26.4865 * CHOOSE(CONTROL!$C$9, $C$13, 100%, $E$13) + CHOOSE(CONTROL!$C$28, 0.0202, 0)</f>
        <v>26.506699999999999</v>
      </c>
      <c r="C313" s="4">
        <f>26.174 * CHOOSE(CONTROL!$C$9, $C$13, 100%, $E$13) + CHOOSE(CONTROL!$C$28, 0.0202, 0)</f>
        <v>26.194199999999999</v>
      </c>
      <c r="D313" s="4">
        <f>32.6583 * CHOOSE(CONTROL!$C$9, $C$13, 100%, $E$13) + CHOOSE(CONTROL!$C$28, 0, 0)</f>
        <v>32.658299999999997</v>
      </c>
      <c r="E313" s="4">
        <f>156.14309288634 * CHOOSE(CONTROL!$C$9, $C$13, 100%, $E$13) + CHOOSE(CONTROL!$C$28, 0, 0)</f>
        <v>156.14309288634001</v>
      </c>
    </row>
    <row r="314" spans="1:5" ht="15">
      <c r="A314" s="13">
        <v>51074</v>
      </c>
      <c r="B314" s="4">
        <f>25.6688 * CHOOSE(CONTROL!$C$9, $C$13, 100%, $E$13) + CHOOSE(CONTROL!$C$28, 0.0003, 0)</f>
        <v>25.6691</v>
      </c>
      <c r="C314" s="4">
        <f>25.3563 * CHOOSE(CONTROL!$C$9, $C$13, 100%, $E$13) + CHOOSE(CONTROL!$C$28, 0.0003, 0)</f>
        <v>25.3566</v>
      </c>
      <c r="D314" s="4">
        <f>32.2197 * CHOOSE(CONTROL!$C$9, $C$13, 100%, $E$13) + CHOOSE(CONTROL!$C$28, 0, 0)</f>
        <v>32.219700000000003</v>
      </c>
      <c r="E314" s="4">
        <f>150.955167038552 * CHOOSE(CONTROL!$C$9, $C$13, 100%, $E$13) + CHOOSE(CONTROL!$C$28, 0, 0)</f>
        <v>150.95516703855199</v>
      </c>
    </row>
    <row r="315" spans="1:5" ht="15">
      <c r="A315" s="13">
        <v>51104</v>
      </c>
      <c r="B315" s="4">
        <f>25.1421 * CHOOSE(CONTROL!$C$9, $C$13, 100%, $E$13) + CHOOSE(CONTROL!$C$28, 0.0003, 0)</f>
        <v>25.142399999999999</v>
      </c>
      <c r="C315" s="4">
        <f>24.8296 * CHOOSE(CONTROL!$C$9, $C$13, 100%, $E$13) + CHOOSE(CONTROL!$C$28, 0.0003, 0)</f>
        <v>24.829899999999999</v>
      </c>
      <c r="D315" s="4">
        <f>32.0689 * CHOOSE(CONTROL!$C$9, $C$13, 100%, $E$13) + CHOOSE(CONTROL!$C$28, 0, 0)</f>
        <v>32.068899999999999</v>
      </c>
      <c r="E315" s="4">
        <f>147.61375538253 * CHOOSE(CONTROL!$C$9, $C$13, 100%, $E$13) + CHOOSE(CONTROL!$C$28, 0, 0)</f>
        <v>147.61375538253</v>
      </c>
    </row>
    <row r="316" spans="1:5" ht="15">
      <c r="A316" s="13">
        <v>51135</v>
      </c>
      <c r="B316" s="4">
        <f>24.7777 * CHOOSE(CONTROL!$C$9, $C$13, 100%, $E$13) + CHOOSE(CONTROL!$C$28, 0.0003, 0)</f>
        <v>24.777999999999999</v>
      </c>
      <c r="C316" s="4">
        <f>24.4652 * CHOOSE(CONTROL!$C$9, $C$13, 100%, $E$13) + CHOOSE(CONTROL!$C$28, 0.0003, 0)</f>
        <v>24.465499999999999</v>
      </c>
      <c r="D316" s="4">
        <f>30.9586 * CHOOSE(CONTROL!$C$9, $C$13, 100%, $E$13) + CHOOSE(CONTROL!$C$28, 0, 0)</f>
        <v>30.958600000000001</v>
      </c>
      <c r="E316" s="4">
        <f>145.301928036397 * CHOOSE(CONTROL!$C$9, $C$13, 100%, $E$13) + CHOOSE(CONTROL!$C$28, 0, 0)</f>
        <v>145.30192803639699</v>
      </c>
    </row>
    <row r="317" spans="1:5" ht="15">
      <c r="A317" s="13">
        <v>51166</v>
      </c>
      <c r="B317" s="4">
        <f>24.1856 * CHOOSE(CONTROL!$C$9, $C$13, 100%, $E$13) + CHOOSE(CONTROL!$C$28, 0.0003, 0)</f>
        <v>24.1859</v>
      </c>
      <c r="C317" s="4">
        <f>23.8731 * CHOOSE(CONTROL!$C$9, $C$13, 100%, $E$13) + CHOOSE(CONTROL!$C$28, 0.0003, 0)</f>
        <v>23.8734</v>
      </c>
      <c r="D317" s="4">
        <f>29.9381 * CHOOSE(CONTROL!$C$9, $C$13, 100%, $E$13) + CHOOSE(CONTROL!$C$28, 0, 0)</f>
        <v>29.938099999999999</v>
      </c>
      <c r="E317" s="4">
        <f>141.135222441912 * CHOOSE(CONTROL!$C$9, $C$13, 100%, $E$13) + CHOOSE(CONTROL!$C$28, 0, 0)</f>
        <v>141.13522244191199</v>
      </c>
    </row>
    <row r="318" spans="1:5" ht="15">
      <c r="A318" s="13">
        <v>51194</v>
      </c>
      <c r="B318" s="4">
        <f>24.7154 * CHOOSE(CONTROL!$C$9, $C$13, 100%, $E$13) + CHOOSE(CONTROL!$C$28, 0.0003, 0)</f>
        <v>24.715699999999998</v>
      </c>
      <c r="C318" s="4">
        <f>24.4029 * CHOOSE(CONTROL!$C$9, $C$13, 100%, $E$13) + CHOOSE(CONTROL!$C$28, 0.0003, 0)</f>
        <v>24.403199999999998</v>
      </c>
      <c r="D318" s="4">
        <f>30.9657 * CHOOSE(CONTROL!$C$9, $C$13, 100%, $E$13) + CHOOSE(CONTROL!$C$28, 0, 0)</f>
        <v>30.965699999999998</v>
      </c>
      <c r="E318" s="4">
        <f>144.486328823814 * CHOOSE(CONTROL!$C$9, $C$13, 100%, $E$13) + CHOOSE(CONTROL!$C$28, 0, 0)</f>
        <v>144.48632882381401</v>
      </c>
    </row>
    <row r="319" spans="1:5" ht="15">
      <c r="A319" s="13">
        <v>51226</v>
      </c>
      <c r="B319" s="4">
        <f>26.1065 * CHOOSE(CONTROL!$C$9, $C$13, 100%, $E$13) + CHOOSE(CONTROL!$C$28, 0.0003, 0)</f>
        <v>26.1068</v>
      </c>
      <c r="C319" s="4">
        <f>25.794 * CHOOSE(CONTROL!$C$9, $C$13, 100%, $E$13) + CHOOSE(CONTROL!$C$28, 0.0003, 0)</f>
        <v>25.7943</v>
      </c>
      <c r="D319" s="4">
        <f>32.5744 * CHOOSE(CONTROL!$C$9, $C$13, 100%, $E$13) + CHOOSE(CONTROL!$C$28, 0, 0)</f>
        <v>32.574399999999997</v>
      </c>
      <c r="E319" s="4">
        <f>153.286512271296 * CHOOSE(CONTROL!$C$9, $C$13, 100%, $E$13) + CHOOSE(CONTROL!$C$28, 0, 0)</f>
        <v>153.286512271296</v>
      </c>
    </row>
    <row r="320" spans="1:5" ht="15">
      <c r="A320" s="13">
        <v>51256</v>
      </c>
      <c r="B320" s="4">
        <f>27.0949 * CHOOSE(CONTROL!$C$9, $C$13, 100%, $E$13) + CHOOSE(CONTROL!$C$28, 0.0003, 0)</f>
        <v>27.095199999999998</v>
      </c>
      <c r="C320" s="4">
        <f>26.7824 * CHOOSE(CONTROL!$C$9, $C$13, 100%, $E$13) + CHOOSE(CONTROL!$C$28, 0.0003, 0)</f>
        <v>26.782699999999998</v>
      </c>
      <c r="D320" s="4">
        <f>33.501 * CHOOSE(CONTROL!$C$9, $C$13, 100%, $E$13) + CHOOSE(CONTROL!$C$28, 0, 0)</f>
        <v>33.500999999999998</v>
      </c>
      <c r="E320" s="4">
        <f>159.539159888596 * CHOOSE(CONTROL!$C$9, $C$13, 100%, $E$13) + CHOOSE(CONTROL!$C$28, 0, 0)</f>
        <v>159.539159888596</v>
      </c>
    </row>
    <row r="321" spans="1:5" ht="15">
      <c r="A321" s="13">
        <v>51287</v>
      </c>
      <c r="B321" s="4">
        <f>27.6988 * CHOOSE(CONTROL!$C$9, $C$13, 100%, $E$13) + CHOOSE(CONTROL!$C$28, 0.0202, 0)</f>
        <v>27.718999999999998</v>
      </c>
      <c r="C321" s="4">
        <f>27.3863 * CHOOSE(CONTROL!$C$9, $C$13, 100%, $E$13) + CHOOSE(CONTROL!$C$28, 0.0202, 0)</f>
        <v>27.406499999999998</v>
      </c>
      <c r="D321" s="4">
        <f>33.1348 * CHOOSE(CONTROL!$C$9, $C$13, 100%, $E$13) + CHOOSE(CONTROL!$C$28, 0, 0)</f>
        <v>33.134799999999998</v>
      </c>
      <c r="E321" s="4">
        <f>163.359377727718 * CHOOSE(CONTROL!$C$9, $C$13, 100%, $E$13) + CHOOSE(CONTROL!$C$28, 0, 0)</f>
        <v>163.359377727718</v>
      </c>
    </row>
    <row r="322" spans="1:5" ht="15">
      <c r="A322" s="13">
        <v>51317</v>
      </c>
      <c r="B322" s="4">
        <f>27.7805 * CHOOSE(CONTROL!$C$9, $C$13, 100%, $E$13) + CHOOSE(CONTROL!$C$28, 0.0202, 0)</f>
        <v>27.800699999999999</v>
      </c>
      <c r="C322" s="4">
        <f>27.468 * CHOOSE(CONTROL!$C$9, $C$13, 100%, $E$13) + CHOOSE(CONTROL!$C$28, 0.0202, 0)</f>
        <v>27.488199999999999</v>
      </c>
      <c r="D322" s="4">
        <f>33.433 * CHOOSE(CONTROL!$C$9, $C$13, 100%, $E$13) + CHOOSE(CONTROL!$C$28, 0, 0)</f>
        <v>33.433</v>
      </c>
      <c r="E322" s="4">
        <f>163.876269055581 * CHOOSE(CONTROL!$C$9, $C$13, 100%, $E$13) + CHOOSE(CONTROL!$C$28, 0, 0)</f>
        <v>163.87626905558099</v>
      </c>
    </row>
    <row r="323" spans="1:5" ht="15">
      <c r="A323" s="13">
        <v>51348</v>
      </c>
      <c r="B323" s="4">
        <f>27.7723 * CHOOSE(CONTROL!$C$9, $C$13, 100%, $E$13) + CHOOSE(CONTROL!$C$28, 0.0202, 0)</f>
        <v>27.7925</v>
      </c>
      <c r="C323" s="4">
        <f>27.4598 * CHOOSE(CONTROL!$C$9, $C$13, 100%, $E$13) + CHOOSE(CONTROL!$C$28, 0.0202, 0)</f>
        <v>27.48</v>
      </c>
      <c r="D323" s="4">
        <f>33.9711 * CHOOSE(CONTROL!$C$9, $C$13, 100%, $E$13) + CHOOSE(CONTROL!$C$28, 0, 0)</f>
        <v>33.9711</v>
      </c>
      <c r="E323" s="4">
        <f>163.824145560334 * CHOOSE(CONTROL!$C$9, $C$13, 100%, $E$13) + CHOOSE(CONTROL!$C$28, 0, 0)</f>
        <v>163.82414556033399</v>
      </c>
    </row>
    <row r="324" spans="1:5" ht="15">
      <c r="A324" s="13">
        <v>51379</v>
      </c>
      <c r="B324" s="4">
        <f>28.3923 * CHOOSE(CONTROL!$C$9, $C$13, 100%, $E$13) + CHOOSE(CONTROL!$C$28, 0.0202, 0)</f>
        <v>28.412499999999998</v>
      </c>
      <c r="C324" s="4">
        <f>28.0798 * CHOOSE(CONTROL!$C$9, $C$13, 100%, $E$13) + CHOOSE(CONTROL!$C$28, 0.0202, 0)</f>
        <v>28.099999999999998</v>
      </c>
      <c r="D324" s="4">
        <f>33.6158 * CHOOSE(CONTROL!$C$9, $C$13, 100%, $E$13) + CHOOSE(CONTROL!$C$28, 0, 0)</f>
        <v>33.6158</v>
      </c>
      <c r="E324" s="4">
        <f>167.746438577647 * CHOOSE(CONTROL!$C$9, $C$13, 100%, $E$13) + CHOOSE(CONTROL!$C$28, 0, 0)</f>
        <v>167.74643857764701</v>
      </c>
    </row>
    <row r="325" spans="1:5" ht="15">
      <c r="A325" s="13">
        <v>51409</v>
      </c>
      <c r="B325" s="4">
        <f>27.3356 * CHOOSE(CONTROL!$C$9, $C$13, 100%, $E$13) + CHOOSE(CONTROL!$C$28, 0.0202, 0)</f>
        <v>27.355799999999999</v>
      </c>
      <c r="C325" s="4">
        <f>27.0231 * CHOOSE(CONTROL!$C$9, $C$13, 100%, $E$13) + CHOOSE(CONTROL!$C$28, 0.0202, 0)</f>
        <v>27.043299999999999</v>
      </c>
      <c r="D325" s="4">
        <f>33.4479 * CHOOSE(CONTROL!$C$9, $C$13, 100%, $E$13) + CHOOSE(CONTROL!$C$28, 0, 0)</f>
        <v>33.447899999999997</v>
      </c>
      <c r="E325" s="4">
        <f>161.06160031226 * CHOOSE(CONTROL!$C$9, $C$13, 100%, $E$13) + CHOOSE(CONTROL!$C$28, 0, 0)</f>
        <v>161.06160031226</v>
      </c>
    </row>
    <row r="326" spans="1:5" ht="15">
      <c r="A326" s="13">
        <v>51440</v>
      </c>
      <c r="B326" s="4">
        <f>26.4896 * CHOOSE(CONTROL!$C$9, $C$13, 100%, $E$13) + CHOOSE(CONTROL!$C$28, 0.0003, 0)</f>
        <v>26.489899999999999</v>
      </c>
      <c r="C326" s="4">
        <f>26.1771 * CHOOSE(CONTROL!$C$9, $C$13, 100%, $E$13) + CHOOSE(CONTROL!$C$28, 0.0003, 0)</f>
        <v>26.177399999999999</v>
      </c>
      <c r="D326" s="4">
        <f>32.9983 * CHOOSE(CONTROL!$C$9, $C$13, 100%, $E$13) + CHOOSE(CONTROL!$C$28, 0, 0)</f>
        <v>32.9983</v>
      </c>
      <c r="E326" s="4">
        <f>155.710254800267 * CHOOSE(CONTROL!$C$9, $C$13, 100%, $E$13) + CHOOSE(CONTROL!$C$28, 0, 0)</f>
        <v>155.71025480026699</v>
      </c>
    </row>
    <row r="327" spans="1:5" ht="15">
      <c r="A327" s="13">
        <v>51470</v>
      </c>
      <c r="B327" s="4">
        <f>25.9448 * CHOOSE(CONTROL!$C$9, $C$13, 100%, $E$13) + CHOOSE(CONTROL!$C$28, 0.0003, 0)</f>
        <v>25.9451</v>
      </c>
      <c r="C327" s="4">
        <f>25.6323 * CHOOSE(CONTROL!$C$9, $C$13, 100%, $E$13) + CHOOSE(CONTROL!$C$28, 0.0003, 0)</f>
        <v>25.6326</v>
      </c>
      <c r="D327" s="4">
        <f>32.8438 * CHOOSE(CONTROL!$C$9, $C$13, 100%, $E$13) + CHOOSE(CONTROL!$C$28, 0, 0)</f>
        <v>32.843800000000002</v>
      </c>
      <c r="E327" s="4">
        <f>152.263588677079 * CHOOSE(CONTROL!$C$9, $C$13, 100%, $E$13) + CHOOSE(CONTROL!$C$28, 0, 0)</f>
        <v>152.26358867707901</v>
      </c>
    </row>
    <row r="328" spans="1:5" ht="15">
      <c r="A328" s="13">
        <v>51501</v>
      </c>
      <c r="B328" s="4">
        <f>25.5678 * CHOOSE(CONTROL!$C$9, $C$13, 100%, $E$13) + CHOOSE(CONTROL!$C$28, 0.0003, 0)</f>
        <v>25.568099999999998</v>
      </c>
      <c r="C328" s="4">
        <f>25.2553 * CHOOSE(CONTROL!$C$9, $C$13, 100%, $E$13) + CHOOSE(CONTROL!$C$28, 0.0003, 0)</f>
        <v>25.255599999999998</v>
      </c>
      <c r="D328" s="4">
        <f>31.706 * CHOOSE(CONTROL!$C$9, $C$13, 100%, $E$13) + CHOOSE(CONTROL!$C$28, 0, 0)</f>
        <v>31.706</v>
      </c>
      <c r="E328" s="4">
        <f>149.878938769544 * CHOOSE(CONTROL!$C$9, $C$13, 100%, $E$13) + CHOOSE(CONTROL!$C$28, 0, 0)</f>
        <v>149.87893876954399</v>
      </c>
    </row>
    <row r="329" spans="1:5" ht="15">
      <c r="A329" s="13">
        <v>51532</v>
      </c>
      <c r="B329" s="4">
        <f>24.9553 * CHOOSE(CONTROL!$C$9, $C$13, 100%, $E$13) + CHOOSE(CONTROL!$C$28, 0.0003, 0)</f>
        <v>24.9556</v>
      </c>
      <c r="C329" s="4">
        <f>24.6428 * CHOOSE(CONTROL!$C$9, $C$13, 100%, $E$13) + CHOOSE(CONTROL!$C$28, 0.0003, 0)</f>
        <v>24.6431</v>
      </c>
      <c r="D329" s="4">
        <f>30.6602 * CHOOSE(CONTROL!$C$9, $C$13, 100%, $E$13) + CHOOSE(CONTROL!$C$28, 0, 0)</f>
        <v>30.6602</v>
      </c>
      <c r="E329" s="4">
        <f>145.580981948832 * CHOOSE(CONTROL!$C$9, $C$13, 100%, $E$13) + CHOOSE(CONTROL!$C$28, 0, 0)</f>
        <v>145.580981948832</v>
      </c>
    </row>
    <row r="330" spans="1:5" ht="15">
      <c r="A330" s="13">
        <v>51560</v>
      </c>
      <c r="B330" s="4">
        <f>25.5034 * CHOOSE(CONTROL!$C$9, $C$13, 100%, $E$13) + CHOOSE(CONTROL!$C$28, 0.0003, 0)</f>
        <v>25.503699999999998</v>
      </c>
      <c r="C330" s="4">
        <f>25.1909 * CHOOSE(CONTROL!$C$9, $C$13, 100%, $E$13) + CHOOSE(CONTROL!$C$28, 0.0003, 0)</f>
        <v>25.191199999999998</v>
      </c>
      <c r="D330" s="4">
        <f>31.7133 * CHOOSE(CONTROL!$C$9, $C$13, 100%, $E$13) + CHOOSE(CONTROL!$C$28, 0, 0)</f>
        <v>31.7133</v>
      </c>
      <c r="E330" s="4">
        <f>149.037648181764 * CHOOSE(CONTROL!$C$9, $C$13, 100%, $E$13) + CHOOSE(CONTROL!$C$28, 0, 0)</f>
        <v>149.03764818176401</v>
      </c>
    </row>
    <row r="331" spans="1:5" ht="15">
      <c r="A331" s="13">
        <v>51591</v>
      </c>
      <c r="B331" s="4">
        <f>26.9425 * CHOOSE(CONTROL!$C$9, $C$13, 100%, $E$13) + CHOOSE(CONTROL!$C$28, 0.0003, 0)</f>
        <v>26.942799999999998</v>
      </c>
      <c r="C331" s="4">
        <f>26.63 * CHOOSE(CONTROL!$C$9, $C$13, 100%, $E$13) + CHOOSE(CONTROL!$C$28, 0.0003, 0)</f>
        <v>26.630299999999998</v>
      </c>
      <c r="D331" s="4">
        <f>33.3618 * CHOOSE(CONTROL!$C$9, $C$13, 100%, $E$13) + CHOOSE(CONTROL!$C$28, 0, 0)</f>
        <v>33.361800000000002</v>
      </c>
      <c r="E331" s="4">
        <f>158.115037407841 * CHOOSE(CONTROL!$C$9, $C$13, 100%, $E$13) + CHOOSE(CONTROL!$C$28, 0, 0)</f>
        <v>158.11503740784099</v>
      </c>
    </row>
    <row r="332" spans="1:5" ht="15">
      <c r="A332" s="13">
        <v>51621</v>
      </c>
      <c r="B332" s="4">
        <f>27.965 * CHOOSE(CONTROL!$C$9, $C$13, 100%, $E$13) + CHOOSE(CONTROL!$C$28, 0.0003, 0)</f>
        <v>27.965299999999999</v>
      </c>
      <c r="C332" s="4">
        <f>27.6525 * CHOOSE(CONTROL!$C$9, $C$13, 100%, $E$13) + CHOOSE(CONTROL!$C$28, 0.0003, 0)</f>
        <v>27.652799999999999</v>
      </c>
      <c r="D332" s="4">
        <f>34.3114 * CHOOSE(CONTROL!$C$9, $C$13, 100%, $E$13) + CHOOSE(CONTROL!$C$28, 0, 0)</f>
        <v>34.311399999999999</v>
      </c>
      <c r="E332" s="4">
        <f>164.564643425087 * CHOOSE(CONTROL!$C$9, $C$13, 100%, $E$13) + CHOOSE(CONTROL!$C$28, 0, 0)</f>
        <v>164.56464342508701</v>
      </c>
    </row>
    <row r="333" spans="1:5" ht="15">
      <c r="A333" s="13">
        <v>51652</v>
      </c>
      <c r="B333" s="4">
        <f>28.5897 * CHOOSE(CONTROL!$C$9, $C$13, 100%, $E$13) + CHOOSE(CONTROL!$C$28, 0.0202, 0)</f>
        <v>28.6099</v>
      </c>
      <c r="C333" s="4">
        <f>28.2772 * CHOOSE(CONTROL!$C$9, $C$13, 100%, $E$13) + CHOOSE(CONTROL!$C$28, 0.0202, 0)</f>
        <v>28.2974</v>
      </c>
      <c r="D333" s="4">
        <f>33.9362 * CHOOSE(CONTROL!$C$9, $C$13, 100%, $E$13) + CHOOSE(CONTROL!$C$28, 0, 0)</f>
        <v>33.936199999999999</v>
      </c>
      <c r="E333" s="4">
        <f>168.505198126141 * CHOOSE(CONTROL!$C$9, $C$13, 100%, $E$13) + CHOOSE(CONTROL!$C$28, 0, 0)</f>
        <v>168.50519812614101</v>
      </c>
    </row>
    <row r="334" spans="1:5" ht="15">
      <c r="A334" s="13">
        <v>51682</v>
      </c>
      <c r="B334" s="4">
        <f>28.6743 * CHOOSE(CONTROL!$C$9, $C$13, 100%, $E$13) + CHOOSE(CONTROL!$C$28, 0.0202, 0)</f>
        <v>28.694499999999998</v>
      </c>
      <c r="C334" s="4">
        <f>28.3618 * CHOOSE(CONTROL!$C$9, $C$13, 100%, $E$13) + CHOOSE(CONTROL!$C$28, 0.0202, 0)</f>
        <v>28.381999999999998</v>
      </c>
      <c r="D334" s="4">
        <f>34.2418 * CHOOSE(CONTROL!$C$9, $C$13, 100%, $E$13) + CHOOSE(CONTROL!$C$28, 0, 0)</f>
        <v>34.241799999999998</v>
      </c>
      <c r="E334" s="4">
        <f>169.038371530831 * CHOOSE(CONTROL!$C$9, $C$13, 100%, $E$13) + CHOOSE(CONTROL!$C$28, 0, 0)</f>
        <v>169.038371530831</v>
      </c>
    </row>
    <row r="335" spans="1:5" ht="15">
      <c r="A335" s="13">
        <v>51713</v>
      </c>
      <c r="B335" s="4">
        <f>28.6657 * CHOOSE(CONTROL!$C$9, $C$13, 100%, $E$13) + CHOOSE(CONTROL!$C$28, 0.0202, 0)</f>
        <v>28.6859</v>
      </c>
      <c r="C335" s="4">
        <f>28.3532 * CHOOSE(CONTROL!$C$9, $C$13, 100%, $E$13) + CHOOSE(CONTROL!$C$28, 0.0202, 0)</f>
        <v>28.3734</v>
      </c>
      <c r="D335" s="4">
        <f>34.7932 * CHOOSE(CONTROL!$C$9, $C$13, 100%, $E$13) + CHOOSE(CONTROL!$C$28, 0, 0)</f>
        <v>34.793199999999999</v>
      </c>
      <c r="E335" s="4">
        <f>168.984606145485 * CHOOSE(CONTROL!$C$9, $C$13, 100%, $E$13) + CHOOSE(CONTROL!$C$28, 0, 0)</f>
        <v>168.984606145485</v>
      </c>
    </row>
    <row r="336" spans="1:5" ht="15">
      <c r="A336" s="13">
        <v>51744</v>
      </c>
      <c r="B336" s="4">
        <f>29.3072 * CHOOSE(CONTROL!$C$9, $C$13, 100%, $E$13) + CHOOSE(CONTROL!$C$28, 0.0202, 0)</f>
        <v>29.327400000000001</v>
      </c>
      <c r="C336" s="4">
        <f>28.9947 * CHOOSE(CONTROL!$C$9, $C$13, 100%, $E$13) + CHOOSE(CONTROL!$C$28, 0.0202, 0)</f>
        <v>29.014900000000001</v>
      </c>
      <c r="D336" s="4">
        <f>34.429 * CHOOSE(CONTROL!$C$9, $C$13, 100%, $E$13) + CHOOSE(CONTROL!$C$28, 0, 0)</f>
        <v>34.429000000000002</v>
      </c>
      <c r="E336" s="4">
        <f>173.030451392843 * CHOOSE(CONTROL!$C$9, $C$13, 100%, $E$13) + CHOOSE(CONTROL!$C$28, 0, 0)</f>
        <v>173.03045139284299</v>
      </c>
    </row>
    <row r="337" spans="1:5" ht="15">
      <c r="A337" s="13">
        <v>51774</v>
      </c>
      <c r="B337" s="4">
        <f>28.214 * CHOOSE(CONTROL!$C$9, $C$13, 100%, $E$13) + CHOOSE(CONTROL!$C$28, 0.0202, 0)</f>
        <v>28.234199999999998</v>
      </c>
      <c r="C337" s="4">
        <f>27.9015 * CHOOSE(CONTROL!$C$9, $C$13, 100%, $E$13) + CHOOSE(CONTROL!$C$28, 0.0202, 0)</f>
        <v>27.921699999999998</v>
      </c>
      <c r="D337" s="4">
        <f>34.257 * CHOOSE(CONTROL!$C$9, $C$13, 100%, $E$13) + CHOOSE(CONTROL!$C$28, 0, 0)</f>
        <v>34.256999999999998</v>
      </c>
      <c r="E337" s="4">
        <f>166.135040722096 * CHOOSE(CONTROL!$C$9, $C$13, 100%, $E$13) + CHOOSE(CONTROL!$C$28, 0, 0)</f>
        <v>166.13504072209599</v>
      </c>
    </row>
    <row r="338" spans="1:5" ht="15">
      <c r="A338" s="13">
        <v>51805</v>
      </c>
      <c r="B338" s="4">
        <f>27.3389 * CHOOSE(CONTROL!$C$9, $C$13, 100%, $E$13) + CHOOSE(CONTROL!$C$28, 0.0003, 0)</f>
        <v>27.339199999999998</v>
      </c>
      <c r="C338" s="4">
        <f>27.0264 * CHOOSE(CONTROL!$C$9, $C$13, 100%, $E$13) + CHOOSE(CONTROL!$C$28, 0.0003, 0)</f>
        <v>27.026699999999998</v>
      </c>
      <c r="D338" s="4">
        <f>33.7963 * CHOOSE(CONTROL!$C$9, $C$13, 100%, $E$13) + CHOOSE(CONTROL!$C$28, 0, 0)</f>
        <v>33.796300000000002</v>
      </c>
      <c r="E338" s="4">
        <f>160.615127826475 * CHOOSE(CONTROL!$C$9, $C$13, 100%, $E$13) + CHOOSE(CONTROL!$C$28, 0, 0)</f>
        <v>160.615127826475</v>
      </c>
    </row>
    <row r="339" spans="1:5" ht="15">
      <c r="A339" s="13">
        <v>51835</v>
      </c>
      <c r="B339" s="4">
        <f>26.7752 * CHOOSE(CONTROL!$C$9, $C$13, 100%, $E$13) + CHOOSE(CONTROL!$C$28, 0.0003, 0)</f>
        <v>26.775500000000001</v>
      </c>
      <c r="C339" s="4">
        <f>26.4627 * CHOOSE(CONTROL!$C$9, $C$13, 100%, $E$13) + CHOOSE(CONTROL!$C$28, 0.0003, 0)</f>
        <v>26.463000000000001</v>
      </c>
      <c r="D339" s="4">
        <f>33.6379 * CHOOSE(CONTROL!$C$9, $C$13, 100%, $E$13) + CHOOSE(CONTROL!$C$28, 0, 0)</f>
        <v>33.637900000000002</v>
      </c>
      <c r="E339" s="4">
        <f>157.059891720407 * CHOOSE(CONTROL!$C$9, $C$13, 100%, $E$13) + CHOOSE(CONTROL!$C$28, 0, 0)</f>
        <v>157.05989172040699</v>
      </c>
    </row>
    <row r="340" spans="1:5" ht="15">
      <c r="A340" s="13">
        <v>51866</v>
      </c>
      <c r="B340" s="4">
        <f>26.3852 * CHOOSE(CONTROL!$C$9, $C$13, 100%, $E$13) + CHOOSE(CONTROL!$C$28, 0.0003, 0)</f>
        <v>26.3855</v>
      </c>
      <c r="C340" s="4">
        <f>26.0727 * CHOOSE(CONTROL!$C$9, $C$13, 100%, $E$13) + CHOOSE(CONTROL!$C$28, 0.0003, 0)</f>
        <v>26.073</v>
      </c>
      <c r="D340" s="4">
        <f>32.4719 * CHOOSE(CONTROL!$C$9, $C$13, 100%, $E$13) + CHOOSE(CONTROL!$C$28, 0, 0)</f>
        <v>32.471899999999998</v>
      </c>
      <c r="E340" s="4">
        <f>154.600125340784 * CHOOSE(CONTROL!$C$9, $C$13, 100%, $E$13) + CHOOSE(CONTROL!$C$28, 0, 0)</f>
        <v>154.60012534078399</v>
      </c>
    </row>
    <row r="341" spans="1:5" ht="15">
      <c r="A341" s="13">
        <v>51897</v>
      </c>
      <c r="B341" s="4">
        <f>25.7516 * CHOOSE(CONTROL!$C$9, $C$13, 100%, $E$13) + CHOOSE(CONTROL!$C$28, 0.0003, 0)</f>
        <v>25.751899999999999</v>
      </c>
      <c r="C341" s="4">
        <f>25.4391 * CHOOSE(CONTROL!$C$9, $C$13, 100%, $E$13) + CHOOSE(CONTROL!$C$28, 0.0003, 0)</f>
        <v>25.439399999999999</v>
      </c>
      <c r="D341" s="4">
        <f>31.4002 * CHOOSE(CONTROL!$C$9, $C$13, 100%, $E$13) + CHOOSE(CONTROL!$C$28, 0, 0)</f>
        <v>31.400200000000002</v>
      </c>
      <c r="E341" s="4">
        <f>150.16678288022 * CHOOSE(CONTROL!$C$9, $C$13, 100%, $E$13) + CHOOSE(CONTROL!$C$28, 0, 0)</f>
        <v>150.16678288022001</v>
      </c>
    </row>
    <row r="342" spans="1:5" ht="15">
      <c r="A342" s="13">
        <v>51925</v>
      </c>
      <c r="B342" s="4">
        <f>26.3185 * CHOOSE(CONTROL!$C$9, $C$13, 100%, $E$13) + CHOOSE(CONTROL!$C$28, 0.0003, 0)</f>
        <v>26.3188</v>
      </c>
      <c r="C342" s="4">
        <f>26.006 * CHOOSE(CONTROL!$C$9, $C$13, 100%, $E$13) + CHOOSE(CONTROL!$C$28, 0.0003, 0)</f>
        <v>26.0063</v>
      </c>
      <c r="D342" s="4">
        <f>32.4794 * CHOOSE(CONTROL!$C$9, $C$13, 100%, $E$13) + CHOOSE(CONTROL!$C$28, 0, 0)</f>
        <v>32.479399999999998</v>
      </c>
      <c r="E342" s="4">
        <f>153.732334099489 * CHOOSE(CONTROL!$C$9, $C$13, 100%, $E$13) + CHOOSE(CONTROL!$C$28, 0, 0)</f>
        <v>153.73233409948901</v>
      </c>
    </row>
    <row r="343" spans="1:5" ht="15">
      <c r="A343" s="13">
        <v>51956</v>
      </c>
      <c r="B343" s="4">
        <f>27.8073 * CHOOSE(CONTROL!$C$9, $C$13, 100%, $E$13) + CHOOSE(CONTROL!$C$28, 0.0003, 0)</f>
        <v>27.807600000000001</v>
      </c>
      <c r="C343" s="4">
        <f>27.4948 * CHOOSE(CONTROL!$C$9, $C$13, 100%, $E$13) + CHOOSE(CONTROL!$C$28, 0.0003, 0)</f>
        <v>27.495100000000001</v>
      </c>
      <c r="D343" s="4">
        <f>34.1688 * CHOOSE(CONTROL!$C$9, $C$13, 100%, $E$13) + CHOOSE(CONTROL!$C$28, 0, 0)</f>
        <v>34.168799999999997</v>
      </c>
      <c r="E343" s="4">
        <f>163.095661086188 * CHOOSE(CONTROL!$C$9, $C$13, 100%, $E$13) + CHOOSE(CONTROL!$C$28, 0, 0)</f>
        <v>163.09566108618799</v>
      </c>
    </row>
    <row r="344" spans="1:5" ht="15">
      <c r="A344" s="13">
        <v>51986</v>
      </c>
      <c r="B344" s="4">
        <f>28.8651 * CHOOSE(CONTROL!$C$9, $C$13, 100%, $E$13) + CHOOSE(CONTROL!$C$28, 0.0003, 0)</f>
        <v>28.865400000000001</v>
      </c>
      <c r="C344" s="4">
        <f>28.5526 * CHOOSE(CONTROL!$C$9, $C$13, 100%, $E$13) + CHOOSE(CONTROL!$C$28, 0.0003, 0)</f>
        <v>28.552900000000001</v>
      </c>
      <c r="D344" s="4">
        <f>35.1419 * CHOOSE(CONTROL!$C$9, $C$13, 100%, $E$13) + CHOOSE(CONTROL!$C$28, 0, 0)</f>
        <v>35.1419</v>
      </c>
      <c r="E344" s="4">
        <f>169.748429692977 * CHOOSE(CONTROL!$C$9, $C$13, 100%, $E$13) + CHOOSE(CONTROL!$C$28, 0, 0)</f>
        <v>169.748429692977</v>
      </c>
    </row>
    <row r="345" spans="1:5" ht="15">
      <c r="A345" s="13">
        <v>52017</v>
      </c>
      <c r="B345" s="4">
        <f>29.5114 * CHOOSE(CONTROL!$C$9, $C$13, 100%, $E$13) + CHOOSE(CONTROL!$C$28, 0.0202, 0)</f>
        <v>29.531599999999997</v>
      </c>
      <c r="C345" s="4">
        <f>29.1989 * CHOOSE(CONTROL!$C$9, $C$13, 100%, $E$13) + CHOOSE(CONTROL!$C$28, 0.0202, 0)</f>
        <v>29.219099999999997</v>
      </c>
      <c r="D345" s="4">
        <f>34.7574 * CHOOSE(CONTROL!$C$9, $C$13, 100%, $E$13) + CHOOSE(CONTROL!$C$28, 0, 0)</f>
        <v>34.757399999999997</v>
      </c>
      <c r="E345" s="4">
        <f>173.813111867114 * CHOOSE(CONTROL!$C$9, $C$13, 100%, $E$13) + CHOOSE(CONTROL!$C$28, 0, 0)</f>
        <v>173.813111867114</v>
      </c>
    </row>
    <row r="346" spans="1:5" ht="15">
      <c r="A346" s="13">
        <v>52047</v>
      </c>
      <c r="B346" s="4">
        <f>29.5988 * CHOOSE(CONTROL!$C$9, $C$13, 100%, $E$13) + CHOOSE(CONTROL!$C$28, 0.0202, 0)</f>
        <v>29.619</v>
      </c>
      <c r="C346" s="4">
        <f>29.2863 * CHOOSE(CONTROL!$C$9, $C$13, 100%, $E$13) + CHOOSE(CONTROL!$C$28, 0.0202, 0)</f>
        <v>29.3065</v>
      </c>
      <c r="D346" s="4">
        <f>35.0706 * CHOOSE(CONTROL!$C$9, $C$13, 100%, $E$13) + CHOOSE(CONTROL!$C$28, 0, 0)</f>
        <v>35.070599999999999</v>
      </c>
      <c r="E346" s="4">
        <f>174.363080234053 * CHOOSE(CONTROL!$C$9, $C$13, 100%, $E$13) + CHOOSE(CONTROL!$C$28, 0, 0)</f>
        <v>174.363080234053</v>
      </c>
    </row>
    <row r="347" spans="1:5" ht="15">
      <c r="A347" s="13">
        <v>52078</v>
      </c>
      <c r="B347" s="4">
        <f>29.59 * CHOOSE(CONTROL!$C$9, $C$13, 100%, $E$13) + CHOOSE(CONTROL!$C$28, 0.0202, 0)</f>
        <v>29.610199999999999</v>
      </c>
      <c r="C347" s="4">
        <f>29.2775 * CHOOSE(CONTROL!$C$9, $C$13, 100%, $E$13) + CHOOSE(CONTROL!$C$28, 0.0202, 0)</f>
        <v>29.297699999999999</v>
      </c>
      <c r="D347" s="4">
        <f>35.6356 * CHOOSE(CONTROL!$C$9, $C$13, 100%, $E$13) + CHOOSE(CONTROL!$C$28, 0, 0)</f>
        <v>35.635599999999997</v>
      </c>
      <c r="E347" s="4">
        <f>174.307621239067 * CHOOSE(CONTROL!$C$9, $C$13, 100%, $E$13) + CHOOSE(CONTROL!$C$28, 0, 0)</f>
        <v>174.307621239067</v>
      </c>
    </row>
    <row r="348" spans="1:5" ht="15">
      <c r="A348" s="13">
        <v>52109</v>
      </c>
      <c r="B348" s="4">
        <f>30.2536 * CHOOSE(CONTROL!$C$9, $C$13, 100%, $E$13) + CHOOSE(CONTROL!$C$28, 0.0202, 0)</f>
        <v>30.273799999999998</v>
      </c>
      <c r="C348" s="4">
        <f>29.9411 * CHOOSE(CONTROL!$C$9, $C$13, 100%, $E$13) + CHOOSE(CONTROL!$C$28, 0.0202, 0)</f>
        <v>29.961299999999998</v>
      </c>
      <c r="D348" s="4">
        <f>35.2625 * CHOOSE(CONTROL!$C$9, $C$13, 100%, $E$13) + CHOOSE(CONTROL!$C$28, 0, 0)</f>
        <v>35.262500000000003</v>
      </c>
      <c r="E348" s="4">
        <f>178.480910611718 * CHOOSE(CONTROL!$C$9, $C$13, 100%, $E$13) + CHOOSE(CONTROL!$C$28, 0, 0)</f>
        <v>178.480910611718</v>
      </c>
    </row>
    <row r="349" spans="1:5" ht="15">
      <c r="A349" s="13">
        <v>52139</v>
      </c>
      <c r="B349" s="4">
        <f>29.1227 * CHOOSE(CONTROL!$C$9, $C$13, 100%, $E$13) + CHOOSE(CONTROL!$C$28, 0.0202, 0)</f>
        <v>29.142899999999997</v>
      </c>
      <c r="C349" s="4">
        <f>28.8102 * CHOOSE(CONTROL!$C$9, $C$13, 100%, $E$13) + CHOOSE(CONTROL!$C$28, 0.0202, 0)</f>
        <v>28.830399999999997</v>
      </c>
      <c r="D349" s="4">
        <f>35.0861 * CHOOSE(CONTROL!$C$9, $C$13, 100%, $E$13) + CHOOSE(CONTROL!$C$28, 0, 0)</f>
        <v>35.086100000000002</v>
      </c>
      <c r="E349" s="4">
        <f>171.368294504842 * CHOOSE(CONTROL!$C$9, $C$13, 100%, $E$13) + CHOOSE(CONTROL!$C$28, 0, 0)</f>
        <v>171.368294504842</v>
      </c>
    </row>
    <row r="350" spans="1:5" ht="15">
      <c r="A350" s="13">
        <v>52170</v>
      </c>
      <c r="B350" s="4">
        <f>28.2174 * CHOOSE(CONTROL!$C$9, $C$13, 100%, $E$13) + CHOOSE(CONTROL!$C$28, 0.0003, 0)</f>
        <v>28.217700000000001</v>
      </c>
      <c r="C350" s="4">
        <f>27.9049 * CHOOSE(CONTROL!$C$9, $C$13, 100%, $E$13) + CHOOSE(CONTROL!$C$28, 0.0003, 0)</f>
        <v>27.905200000000001</v>
      </c>
      <c r="D350" s="4">
        <f>34.614 * CHOOSE(CONTROL!$C$9, $C$13, 100%, $E$13) + CHOOSE(CONTROL!$C$28, 0, 0)</f>
        <v>34.613999999999997</v>
      </c>
      <c r="E350" s="4">
        <f>165.674504353009 * CHOOSE(CONTROL!$C$9, $C$13, 100%, $E$13) + CHOOSE(CONTROL!$C$28, 0, 0)</f>
        <v>165.67450435300901</v>
      </c>
    </row>
    <row r="351" spans="1:5" ht="15">
      <c r="A351" s="13">
        <v>52200</v>
      </c>
      <c r="B351" s="4">
        <f>27.6343 * CHOOSE(CONTROL!$C$9, $C$13, 100%, $E$13) + CHOOSE(CONTROL!$C$28, 0.0003, 0)</f>
        <v>27.634599999999999</v>
      </c>
      <c r="C351" s="4">
        <f>27.3218 * CHOOSE(CONTROL!$C$9, $C$13, 100%, $E$13) + CHOOSE(CONTROL!$C$28, 0.0003, 0)</f>
        <v>27.322099999999999</v>
      </c>
      <c r="D351" s="4">
        <f>34.4517 * CHOOSE(CONTROL!$C$9, $C$13, 100%, $E$13) + CHOOSE(CONTROL!$C$28, 0, 0)</f>
        <v>34.451700000000002</v>
      </c>
      <c r="E351" s="4">
        <f>162.0072783096 * CHOOSE(CONTROL!$C$9, $C$13, 100%, $E$13) + CHOOSE(CONTROL!$C$28, 0, 0)</f>
        <v>162.0072783096</v>
      </c>
    </row>
    <row r="352" spans="1:5" ht="15">
      <c r="A352" s="13">
        <v>52231</v>
      </c>
      <c r="B352" s="4">
        <f>27.2308 * CHOOSE(CONTROL!$C$9, $C$13, 100%, $E$13) + CHOOSE(CONTROL!$C$28, 0.0003, 0)</f>
        <v>27.231099999999998</v>
      </c>
      <c r="C352" s="4">
        <f>26.9183 * CHOOSE(CONTROL!$C$9, $C$13, 100%, $E$13) + CHOOSE(CONTROL!$C$28, 0.0003, 0)</f>
        <v>26.918599999999998</v>
      </c>
      <c r="D352" s="4">
        <f>33.2568 * CHOOSE(CONTROL!$C$9, $C$13, 100%, $E$13) + CHOOSE(CONTROL!$C$28, 0, 0)</f>
        <v>33.256799999999998</v>
      </c>
      <c r="E352" s="4">
        <f>159.470029289019 * CHOOSE(CONTROL!$C$9, $C$13, 100%, $E$13) + CHOOSE(CONTROL!$C$28, 0, 0)</f>
        <v>159.47002928901901</v>
      </c>
    </row>
    <row r="353" spans="1:5" ht="15">
      <c r="A353" s="13">
        <v>52262</v>
      </c>
      <c r="B353" s="4">
        <f>26.5754 * CHOOSE(CONTROL!$C$9, $C$13, 100%, $E$13) + CHOOSE(CONTROL!$C$28, 0.0003, 0)</f>
        <v>26.575699999999998</v>
      </c>
      <c r="C353" s="4">
        <f>26.2629 * CHOOSE(CONTROL!$C$9, $C$13, 100%, $E$13) + CHOOSE(CONTROL!$C$28, 0.0003, 0)</f>
        <v>26.263199999999998</v>
      </c>
      <c r="D353" s="4">
        <f>32.1585 * CHOOSE(CONTROL!$C$9, $C$13, 100%, $E$13) + CHOOSE(CONTROL!$C$28, 0, 0)</f>
        <v>32.158499999999997</v>
      </c>
      <c r="E353" s="4">
        <f>154.897036540947 * CHOOSE(CONTROL!$C$9, $C$13, 100%, $E$13) + CHOOSE(CONTROL!$C$28, 0, 0)</f>
        <v>154.897036540947</v>
      </c>
    </row>
    <row r="354" spans="1:5" ht="15">
      <c r="A354" s="13">
        <v>52290</v>
      </c>
      <c r="B354" s="4">
        <f>27.1618 * CHOOSE(CONTROL!$C$9, $C$13, 100%, $E$13) + CHOOSE(CONTROL!$C$28, 0.0003, 0)</f>
        <v>27.162099999999999</v>
      </c>
      <c r="C354" s="4">
        <f>26.8493 * CHOOSE(CONTROL!$C$9, $C$13, 100%, $E$13) + CHOOSE(CONTROL!$C$28, 0.0003, 0)</f>
        <v>26.849599999999999</v>
      </c>
      <c r="D354" s="4">
        <f>33.2645 * CHOOSE(CONTROL!$C$9, $C$13, 100%, $E$13) + CHOOSE(CONTROL!$C$28, 0, 0)</f>
        <v>33.264499999999998</v>
      </c>
      <c r="E354" s="4">
        <f>158.574902623623 * CHOOSE(CONTROL!$C$9, $C$13, 100%, $E$13) + CHOOSE(CONTROL!$C$28, 0, 0)</f>
        <v>158.57490262362299</v>
      </c>
    </row>
    <row r="355" spans="1:5" ht="15">
      <c r="A355" s="13">
        <v>52321</v>
      </c>
      <c r="B355" s="4">
        <f>28.702 * CHOOSE(CONTROL!$C$9, $C$13, 100%, $E$13) + CHOOSE(CONTROL!$C$28, 0.0003, 0)</f>
        <v>28.702300000000001</v>
      </c>
      <c r="C355" s="4">
        <f>28.3895 * CHOOSE(CONTROL!$C$9, $C$13, 100%, $E$13) + CHOOSE(CONTROL!$C$28, 0.0003, 0)</f>
        <v>28.389800000000001</v>
      </c>
      <c r="D355" s="4">
        <f>34.9957 * CHOOSE(CONTROL!$C$9, $C$13, 100%, $E$13) + CHOOSE(CONTROL!$C$28, 0, 0)</f>
        <v>34.995699999999999</v>
      </c>
      <c r="E355" s="4">
        <f>168.233174410403 * CHOOSE(CONTROL!$C$9, $C$13, 100%, $E$13) + CHOOSE(CONTROL!$C$28, 0, 0)</f>
        <v>168.233174410403</v>
      </c>
    </row>
    <row r="356" spans="1:5" ht="15">
      <c r="A356" s="13">
        <v>52351</v>
      </c>
      <c r="B356" s="4">
        <f>29.7963 * CHOOSE(CONTROL!$C$9, $C$13, 100%, $E$13) + CHOOSE(CONTROL!$C$28, 0.0003, 0)</f>
        <v>29.796599999999998</v>
      </c>
      <c r="C356" s="4">
        <f>29.4838 * CHOOSE(CONTROL!$C$9, $C$13, 100%, $E$13) + CHOOSE(CONTROL!$C$28, 0.0003, 0)</f>
        <v>29.484099999999998</v>
      </c>
      <c r="D356" s="4">
        <f>35.993 * CHOOSE(CONTROL!$C$9, $C$13, 100%, $E$13) + CHOOSE(CONTROL!$C$28, 0, 0)</f>
        <v>35.993000000000002</v>
      </c>
      <c r="E356" s="4">
        <f>175.095505228306 * CHOOSE(CONTROL!$C$9, $C$13, 100%, $E$13) + CHOOSE(CONTROL!$C$28, 0, 0)</f>
        <v>175.095505228306</v>
      </c>
    </row>
    <row r="357" spans="1:5" ht="15">
      <c r="A357" s="13">
        <v>52382</v>
      </c>
      <c r="B357" s="4">
        <f>30.4649 * CHOOSE(CONTROL!$C$9, $C$13, 100%, $E$13) + CHOOSE(CONTROL!$C$28, 0.0202, 0)</f>
        <v>30.485099999999999</v>
      </c>
      <c r="C357" s="4">
        <f>30.1524 * CHOOSE(CONTROL!$C$9, $C$13, 100%, $E$13) + CHOOSE(CONTROL!$C$28, 0.0202, 0)</f>
        <v>30.172599999999999</v>
      </c>
      <c r="D357" s="4">
        <f>35.599 * CHOOSE(CONTROL!$C$9, $C$13, 100%, $E$13) + CHOOSE(CONTROL!$C$28, 0, 0)</f>
        <v>35.598999999999997</v>
      </c>
      <c r="E357" s="4">
        <f>179.288224890928 * CHOOSE(CONTROL!$C$9, $C$13, 100%, $E$13) + CHOOSE(CONTROL!$C$28, 0, 0)</f>
        <v>179.28822489092801</v>
      </c>
    </row>
    <row r="358" spans="1:5" ht="15">
      <c r="A358" s="13">
        <v>52412</v>
      </c>
      <c r="B358" s="4">
        <f>30.5553 * CHOOSE(CONTROL!$C$9, $C$13, 100%, $E$13) + CHOOSE(CONTROL!$C$28, 0.0202, 0)</f>
        <v>30.575499999999998</v>
      </c>
      <c r="C358" s="4">
        <f>30.2428 * CHOOSE(CONTROL!$C$9, $C$13, 100%, $E$13) + CHOOSE(CONTROL!$C$28, 0.0202, 0)</f>
        <v>30.262999999999998</v>
      </c>
      <c r="D358" s="4">
        <f>35.9199 * CHOOSE(CONTROL!$C$9, $C$13, 100%, $E$13) + CHOOSE(CONTROL!$C$28, 0, 0)</f>
        <v>35.919899999999998</v>
      </c>
      <c r="E358" s="4">
        <f>179.855517261425 * CHOOSE(CONTROL!$C$9, $C$13, 100%, $E$13) + CHOOSE(CONTROL!$C$28, 0, 0)</f>
        <v>179.85551726142501</v>
      </c>
    </row>
    <row r="359" spans="1:5" ht="15">
      <c r="A359" s="13">
        <v>52443</v>
      </c>
      <c r="B359" s="4">
        <f>30.5462 * CHOOSE(CONTROL!$C$9, $C$13, 100%, $E$13) + CHOOSE(CONTROL!$C$28, 0.0202, 0)</f>
        <v>30.566399999999998</v>
      </c>
      <c r="C359" s="4">
        <f>30.2337 * CHOOSE(CONTROL!$C$9, $C$13, 100%, $E$13) + CHOOSE(CONTROL!$C$28, 0.0202, 0)</f>
        <v>30.253899999999998</v>
      </c>
      <c r="D359" s="4">
        <f>36.499 * CHOOSE(CONTROL!$C$9, $C$13, 100%, $E$13) + CHOOSE(CONTROL!$C$28, 0, 0)</f>
        <v>36.499000000000002</v>
      </c>
      <c r="E359" s="4">
        <f>179.798311308098 * CHOOSE(CONTROL!$C$9, $C$13, 100%, $E$13) + CHOOSE(CONTROL!$C$28, 0, 0)</f>
        <v>179.79831130809799</v>
      </c>
    </row>
    <row r="360" spans="1:5" ht="15">
      <c r="A360" s="13">
        <v>52474</v>
      </c>
      <c r="B360" s="4">
        <f>31.2326 * CHOOSE(CONTROL!$C$9, $C$13, 100%, $E$13) + CHOOSE(CONTROL!$C$28, 0.0202, 0)</f>
        <v>31.252800000000001</v>
      </c>
      <c r="C360" s="4">
        <f>30.9201 * CHOOSE(CONTROL!$C$9, $C$13, 100%, $E$13) + CHOOSE(CONTROL!$C$28, 0.0202, 0)</f>
        <v>30.940300000000001</v>
      </c>
      <c r="D360" s="4">
        <f>36.1166 * CHOOSE(CONTROL!$C$9, $C$13, 100%, $E$13) + CHOOSE(CONTROL!$C$28, 0, 0)</f>
        <v>36.116599999999998</v>
      </c>
      <c r="E360" s="4">
        <f>184.103059295987 * CHOOSE(CONTROL!$C$9, $C$13, 100%, $E$13) + CHOOSE(CONTROL!$C$28, 0, 0)</f>
        <v>184.10305929598701</v>
      </c>
    </row>
    <row r="361" spans="1:5" ht="15">
      <c r="A361" s="13">
        <v>52504</v>
      </c>
      <c r="B361" s="4">
        <f>30.0627 * CHOOSE(CONTROL!$C$9, $C$13, 100%, $E$13) + CHOOSE(CONTROL!$C$28, 0.0202, 0)</f>
        <v>30.082899999999999</v>
      </c>
      <c r="C361" s="4">
        <f>29.7502 * CHOOSE(CONTROL!$C$9, $C$13, 100%, $E$13) + CHOOSE(CONTROL!$C$28, 0.0202, 0)</f>
        <v>29.770399999999999</v>
      </c>
      <c r="D361" s="4">
        <f>35.9359 * CHOOSE(CONTROL!$C$9, $C$13, 100%, $E$13) + CHOOSE(CONTROL!$C$28, 0, 0)</f>
        <v>35.935899999999997</v>
      </c>
      <c r="E361" s="4">
        <f>176.766395781744 * CHOOSE(CONTROL!$C$9, $C$13, 100%, $E$13) + CHOOSE(CONTROL!$C$28, 0, 0)</f>
        <v>176.766395781744</v>
      </c>
    </row>
    <row r="362" spans="1:5" ht="15">
      <c r="A362" s="13">
        <v>52535</v>
      </c>
      <c r="B362" s="4">
        <f>29.1262 * CHOOSE(CONTROL!$C$9, $C$13, 100%, $E$13) + CHOOSE(CONTROL!$C$28, 0.0003, 0)</f>
        <v>29.1265</v>
      </c>
      <c r="C362" s="4">
        <f>28.8137 * CHOOSE(CONTROL!$C$9, $C$13, 100%, $E$13) + CHOOSE(CONTROL!$C$28, 0.0003, 0)</f>
        <v>28.814</v>
      </c>
      <c r="D362" s="4">
        <f>35.452 * CHOOSE(CONTROL!$C$9, $C$13, 100%, $E$13) + CHOOSE(CONTROL!$C$28, 0, 0)</f>
        <v>35.451999999999998</v>
      </c>
      <c r="E362" s="4">
        <f>170.893251240129 * CHOOSE(CONTROL!$C$9, $C$13, 100%, $E$13) + CHOOSE(CONTROL!$C$28, 0, 0)</f>
        <v>170.89325124012899</v>
      </c>
    </row>
    <row r="363" spans="1:5" ht="15">
      <c r="A363" s="13">
        <v>52565</v>
      </c>
      <c r="B363" s="4">
        <f>28.523 * CHOOSE(CONTROL!$C$9, $C$13, 100%, $E$13) + CHOOSE(CONTROL!$C$28, 0.0003, 0)</f>
        <v>28.523299999999999</v>
      </c>
      <c r="C363" s="4">
        <f>28.2105 * CHOOSE(CONTROL!$C$9, $C$13, 100%, $E$13) + CHOOSE(CONTROL!$C$28, 0.0003, 0)</f>
        <v>28.210799999999999</v>
      </c>
      <c r="D363" s="4">
        <f>35.2857 * CHOOSE(CONTROL!$C$9, $C$13, 100%, $E$13) + CHOOSE(CONTROL!$C$28, 0, 0)</f>
        <v>35.285699999999999</v>
      </c>
      <c r="E363" s="4">
        <f>167.110507576353 * CHOOSE(CONTROL!$C$9, $C$13, 100%, $E$13) + CHOOSE(CONTROL!$C$28, 0, 0)</f>
        <v>167.110507576353</v>
      </c>
    </row>
    <row r="364" spans="1:5" ht="15">
      <c r="A364" s="13">
        <v>52596</v>
      </c>
      <c r="B364" s="4">
        <f>28.1056 * CHOOSE(CONTROL!$C$9, $C$13, 100%, $E$13) + CHOOSE(CONTROL!$C$28, 0.0003, 0)</f>
        <v>28.105899999999998</v>
      </c>
      <c r="C364" s="4">
        <f>27.7931 * CHOOSE(CONTROL!$C$9, $C$13, 100%, $E$13) + CHOOSE(CONTROL!$C$28, 0.0003, 0)</f>
        <v>27.793399999999998</v>
      </c>
      <c r="D364" s="4">
        <f>34.0611 * CHOOSE(CONTROL!$C$9, $C$13, 100%, $E$13) + CHOOSE(CONTROL!$C$28, 0, 0)</f>
        <v>34.061100000000003</v>
      </c>
      <c r="E364" s="4">
        <f>164.493335211623 * CHOOSE(CONTROL!$C$9, $C$13, 100%, $E$13) + CHOOSE(CONTROL!$C$28, 0, 0)</f>
        <v>164.49333521162299</v>
      </c>
    </row>
    <row r="365" spans="1:5" ht="15">
      <c r="A365" s="13">
        <v>52627</v>
      </c>
      <c r="B365" s="4">
        <f>27.4275 * CHOOSE(CONTROL!$C$9, $C$13, 100%, $E$13) + CHOOSE(CONTROL!$C$28, 0.0003, 0)</f>
        <v>27.427799999999998</v>
      </c>
      <c r="C365" s="4">
        <f>27.115 * CHOOSE(CONTROL!$C$9, $C$13, 100%, $E$13) + CHOOSE(CONTROL!$C$28, 0.0003, 0)</f>
        <v>27.115299999999998</v>
      </c>
      <c r="D365" s="4">
        <f>32.9356 * CHOOSE(CONTROL!$C$9, $C$13, 100%, $E$13) + CHOOSE(CONTROL!$C$28, 0, 0)</f>
        <v>32.935600000000001</v>
      </c>
      <c r="E365" s="4">
        <f>159.776293191987 * CHOOSE(CONTROL!$C$9, $C$13, 100%, $E$13) + CHOOSE(CONTROL!$C$28, 0, 0)</f>
        <v>159.77629319198701</v>
      </c>
    </row>
    <row r="366" spans="1:5" ht="15">
      <c r="A366" s="13">
        <v>52655</v>
      </c>
      <c r="B366" s="4">
        <f>28.0342 * CHOOSE(CONTROL!$C$9, $C$13, 100%, $E$13) + CHOOSE(CONTROL!$C$28, 0.0003, 0)</f>
        <v>28.034499999999998</v>
      </c>
      <c r="C366" s="4">
        <f>27.7217 * CHOOSE(CONTROL!$C$9, $C$13, 100%, $E$13) + CHOOSE(CONTROL!$C$28, 0.0003, 0)</f>
        <v>27.721999999999998</v>
      </c>
      <c r="D366" s="4">
        <f>34.069 * CHOOSE(CONTROL!$C$9, $C$13, 100%, $E$13) + CHOOSE(CONTROL!$C$28, 0, 0)</f>
        <v>34.069000000000003</v>
      </c>
      <c r="E366" s="4">
        <f>163.570012056267 * CHOOSE(CONTROL!$C$9, $C$13, 100%, $E$13) + CHOOSE(CONTROL!$C$28, 0, 0)</f>
        <v>163.57001205626699</v>
      </c>
    </row>
    <row r="367" spans="1:5" ht="15">
      <c r="A367" s="13">
        <v>52687</v>
      </c>
      <c r="B367" s="4">
        <f>29.6275 * CHOOSE(CONTROL!$C$9, $C$13, 100%, $E$13) + CHOOSE(CONTROL!$C$28, 0.0003, 0)</f>
        <v>29.627800000000001</v>
      </c>
      <c r="C367" s="4">
        <f>29.315 * CHOOSE(CONTROL!$C$9, $C$13, 100%, $E$13) + CHOOSE(CONTROL!$C$28, 0.0003, 0)</f>
        <v>29.315300000000001</v>
      </c>
      <c r="D367" s="4">
        <f>35.8432 * CHOOSE(CONTROL!$C$9, $C$13, 100%, $E$13) + CHOOSE(CONTROL!$C$28, 0, 0)</f>
        <v>35.843200000000003</v>
      </c>
      <c r="E367" s="4">
        <f>173.532519404331 * CHOOSE(CONTROL!$C$9, $C$13, 100%, $E$13) + CHOOSE(CONTROL!$C$28, 0, 0)</f>
        <v>173.532519404331</v>
      </c>
    </row>
    <row r="368" spans="1:5" ht="15">
      <c r="A368" s="13">
        <v>52717</v>
      </c>
      <c r="B368" s="4">
        <f>30.7596 * CHOOSE(CONTROL!$C$9, $C$13, 100%, $E$13) + CHOOSE(CONTROL!$C$28, 0.0003, 0)</f>
        <v>30.759899999999998</v>
      </c>
      <c r="C368" s="4">
        <f>30.4471 * CHOOSE(CONTROL!$C$9, $C$13, 100%, $E$13) + CHOOSE(CONTROL!$C$28, 0.0003, 0)</f>
        <v>30.447399999999998</v>
      </c>
      <c r="D368" s="4">
        <f>36.8653 * CHOOSE(CONTROL!$C$9, $C$13, 100%, $E$13) + CHOOSE(CONTROL!$C$28, 0, 0)</f>
        <v>36.865299999999998</v>
      </c>
      <c r="E368" s="4">
        <f>180.611013642998 * CHOOSE(CONTROL!$C$9, $C$13, 100%, $E$13) + CHOOSE(CONTROL!$C$28, 0, 0)</f>
        <v>180.61101364299799</v>
      </c>
    </row>
    <row r="369" spans="1:5" ht="15">
      <c r="A369" s="13">
        <v>52748</v>
      </c>
      <c r="B369" s="4">
        <f>31.4512 * CHOOSE(CONTROL!$C$9, $C$13, 100%, $E$13) + CHOOSE(CONTROL!$C$28, 0.0202, 0)</f>
        <v>31.471399999999999</v>
      </c>
      <c r="C369" s="4">
        <f>31.1387 * CHOOSE(CONTROL!$C$9, $C$13, 100%, $E$13) + CHOOSE(CONTROL!$C$28, 0.0202, 0)</f>
        <v>31.158899999999999</v>
      </c>
      <c r="D369" s="4">
        <f>36.4614 * CHOOSE(CONTROL!$C$9, $C$13, 100%, $E$13) + CHOOSE(CONTROL!$C$28, 0, 0)</f>
        <v>36.461399999999998</v>
      </c>
      <c r="E369" s="4">
        <f>184.935803974993 * CHOOSE(CONTROL!$C$9, $C$13, 100%, $E$13) + CHOOSE(CONTROL!$C$28, 0, 0)</f>
        <v>184.93580397499301</v>
      </c>
    </row>
    <row r="370" spans="1:5" ht="15">
      <c r="A370" s="13">
        <v>52778</v>
      </c>
      <c r="B370" s="4">
        <f>31.5448 * CHOOSE(CONTROL!$C$9, $C$13, 100%, $E$13) + CHOOSE(CONTROL!$C$28, 0.0202, 0)</f>
        <v>31.564999999999998</v>
      </c>
      <c r="C370" s="4">
        <f>31.2323 * CHOOSE(CONTROL!$C$9, $C$13, 100%, $E$13) + CHOOSE(CONTROL!$C$28, 0.0202, 0)</f>
        <v>31.252499999999998</v>
      </c>
      <c r="D370" s="4">
        <f>36.7903 * CHOOSE(CONTROL!$C$9, $C$13, 100%, $E$13) + CHOOSE(CONTROL!$C$28, 0, 0)</f>
        <v>36.790300000000002</v>
      </c>
      <c r="E370" s="4">
        <f>185.52096605516 * CHOOSE(CONTROL!$C$9, $C$13, 100%, $E$13) + CHOOSE(CONTROL!$C$28, 0, 0)</f>
        <v>185.52096605515999</v>
      </c>
    </row>
    <row r="371" spans="1:5" ht="15">
      <c r="A371" s="13">
        <v>52809</v>
      </c>
      <c r="B371" s="4">
        <f>31.5354 * CHOOSE(CONTROL!$C$9, $C$13, 100%, $E$13) + CHOOSE(CONTROL!$C$28, 0.0202, 0)</f>
        <v>31.555599999999998</v>
      </c>
      <c r="C371" s="4">
        <f>31.2229 * CHOOSE(CONTROL!$C$9, $C$13, 100%, $E$13) + CHOOSE(CONTROL!$C$28, 0.0202, 0)</f>
        <v>31.243099999999998</v>
      </c>
      <c r="D371" s="4">
        <f>37.3838 * CHOOSE(CONTROL!$C$9, $C$13, 100%, $E$13) + CHOOSE(CONTROL!$C$28, 0, 0)</f>
        <v>37.383800000000001</v>
      </c>
      <c r="E371" s="4">
        <f>185.461958114303 * CHOOSE(CONTROL!$C$9, $C$13, 100%, $E$13) + CHOOSE(CONTROL!$C$28, 0, 0)</f>
        <v>185.461958114303</v>
      </c>
    </row>
    <row r="372" spans="1:5" ht="15">
      <c r="A372" s="13">
        <v>52840</v>
      </c>
      <c r="B372" s="4">
        <f>32.2455 * CHOOSE(CONTROL!$C$9, $C$13, 100%, $E$13) + CHOOSE(CONTROL!$C$28, 0.0202, 0)</f>
        <v>32.265700000000002</v>
      </c>
      <c r="C372" s="4">
        <f>31.933 * CHOOSE(CONTROL!$C$9, $C$13, 100%, $E$13) + CHOOSE(CONTROL!$C$28, 0.0202, 0)</f>
        <v>31.953199999999999</v>
      </c>
      <c r="D372" s="4">
        <f>36.9918 * CHOOSE(CONTROL!$C$9, $C$13, 100%, $E$13) + CHOOSE(CONTROL!$C$28, 0, 0)</f>
        <v>36.991799999999998</v>
      </c>
      <c r="E372" s="4">
        <f>189.90230566381 * CHOOSE(CONTROL!$C$9, $C$13, 100%, $E$13) + CHOOSE(CONTROL!$C$28, 0, 0)</f>
        <v>189.90230566381001</v>
      </c>
    </row>
    <row r="373" spans="1:5" ht="15">
      <c r="A373" s="13">
        <v>52870</v>
      </c>
      <c r="B373" s="4">
        <f>31.0352 * CHOOSE(CONTROL!$C$9, $C$13, 100%, $E$13) + CHOOSE(CONTROL!$C$28, 0.0202, 0)</f>
        <v>31.055399999999999</v>
      </c>
      <c r="C373" s="4">
        <f>30.7227 * CHOOSE(CONTROL!$C$9, $C$13, 100%, $E$13) + CHOOSE(CONTROL!$C$28, 0.0202, 0)</f>
        <v>30.742899999999999</v>
      </c>
      <c r="D373" s="4">
        <f>36.8067 * CHOOSE(CONTROL!$C$9, $C$13, 100%, $E$13) + CHOOSE(CONTROL!$C$28, 0, 0)</f>
        <v>36.806699999999999</v>
      </c>
      <c r="E373" s="4">
        <f>182.334537248869 * CHOOSE(CONTROL!$C$9, $C$13, 100%, $E$13) + CHOOSE(CONTROL!$C$28, 0, 0)</f>
        <v>182.334537248869</v>
      </c>
    </row>
    <row r="374" spans="1:5" ht="15">
      <c r="A374" s="13">
        <v>52901</v>
      </c>
      <c r="B374" s="4">
        <f>30.0663 * CHOOSE(CONTROL!$C$9, $C$13, 100%, $E$13) + CHOOSE(CONTROL!$C$28, 0.0003, 0)</f>
        <v>30.066599999999998</v>
      </c>
      <c r="C374" s="4">
        <f>29.7538 * CHOOSE(CONTROL!$C$9, $C$13, 100%, $E$13) + CHOOSE(CONTROL!$C$28, 0.0003, 0)</f>
        <v>29.754099999999998</v>
      </c>
      <c r="D374" s="4">
        <f>36.3108 * CHOOSE(CONTROL!$C$9, $C$13, 100%, $E$13) + CHOOSE(CONTROL!$C$28, 0, 0)</f>
        <v>36.3108</v>
      </c>
      <c r="E374" s="4">
        <f>176.276388654193 * CHOOSE(CONTROL!$C$9, $C$13, 100%, $E$13) + CHOOSE(CONTROL!$C$28, 0, 0)</f>
        <v>176.276388654193</v>
      </c>
    </row>
    <row r="375" spans="1:5" ht="15">
      <c r="A375" s="13">
        <v>52931</v>
      </c>
      <c r="B375" s="4">
        <f>29.4423 * CHOOSE(CONTROL!$C$9, $C$13, 100%, $E$13) + CHOOSE(CONTROL!$C$28, 0.0003, 0)</f>
        <v>29.442599999999999</v>
      </c>
      <c r="C375" s="4">
        <f>29.1298 * CHOOSE(CONTROL!$C$9, $C$13, 100%, $E$13) + CHOOSE(CONTROL!$C$28, 0.0003, 0)</f>
        <v>29.130099999999999</v>
      </c>
      <c r="D375" s="4">
        <f>36.1404 * CHOOSE(CONTROL!$C$9, $C$13, 100%, $E$13) + CHOOSE(CONTROL!$C$28, 0, 0)</f>
        <v>36.1404</v>
      </c>
      <c r="E375" s="4">
        <f>172.374488565008 * CHOOSE(CONTROL!$C$9, $C$13, 100%, $E$13) + CHOOSE(CONTROL!$C$28, 0, 0)</f>
        <v>172.37448856500799</v>
      </c>
    </row>
    <row r="376" spans="1:5" ht="15">
      <c r="A376" s="13">
        <v>52962</v>
      </c>
      <c r="B376" s="4">
        <f>29.0106 * CHOOSE(CONTROL!$C$9, $C$13, 100%, $E$13) + CHOOSE(CONTROL!$C$28, 0.0003, 0)</f>
        <v>29.010899999999999</v>
      </c>
      <c r="C376" s="4">
        <f>28.6981 * CHOOSE(CONTROL!$C$9, $C$13, 100%, $E$13) + CHOOSE(CONTROL!$C$28, 0.0003, 0)</f>
        <v>28.698399999999999</v>
      </c>
      <c r="D376" s="4">
        <f>34.8854 * CHOOSE(CONTROL!$C$9, $C$13, 100%, $E$13) + CHOOSE(CONTROL!$C$28, 0, 0)</f>
        <v>34.885399999999997</v>
      </c>
      <c r="E376" s="4">
        <f>169.674875270789 * CHOOSE(CONTROL!$C$9, $C$13, 100%, $E$13) + CHOOSE(CONTROL!$C$28, 0, 0)</f>
        <v>169.67487527078899</v>
      </c>
    </row>
    <row r="377" spans="1:5" ht="15">
      <c r="A377" s="13">
        <v>52993</v>
      </c>
      <c r="B377" s="4">
        <f>28.3091 * CHOOSE(CONTROL!$C$9, $C$13, 100%, $E$13) + CHOOSE(CONTROL!$C$28, 0.0003, 0)</f>
        <v>28.3094</v>
      </c>
      <c r="C377" s="4">
        <f>27.9966 * CHOOSE(CONTROL!$C$9, $C$13, 100%, $E$13) + CHOOSE(CONTROL!$C$28, 0.0003, 0)</f>
        <v>27.9969</v>
      </c>
      <c r="D377" s="4">
        <f>33.732 * CHOOSE(CONTROL!$C$9, $C$13, 100%, $E$13) + CHOOSE(CONTROL!$C$28, 0, 0)</f>
        <v>33.731999999999999</v>
      </c>
      <c r="E377" s="4">
        <f>164.809246427535 * CHOOSE(CONTROL!$C$9, $C$13, 100%, $E$13) + CHOOSE(CONTROL!$C$28, 0, 0)</f>
        <v>164.80924642753499</v>
      </c>
    </row>
    <row r="378" spans="1:5" ht="15">
      <c r="A378" s="13">
        <v>53021</v>
      </c>
      <c r="B378" s="4">
        <f>28.9367 * CHOOSE(CONTROL!$C$9, $C$13, 100%, $E$13) + CHOOSE(CONTROL!$C$28, 0.0003, 0)</f>
        <v>28.936999999999998</v>
      </c>
      <c r="C378" s="4">
        <f>28.6242 * CHOOSE(CONTROL!$C$9, $C$13, 100%, $E$13) + CHOOSE(CONTROL!$C$28, 0.0003, 0)</f>
        <v>28.624499999999998</v>
      </c>
      <c r="D378" s="4">
        <f>34.8935 * CHOOSE(CONTROL!$C$9, $C$13, 100%, $E$13) + CHOOSE(CONTROL!$C$28, 0, 0)</f>
        <v>34.893500000000003</v>
      </c>
      <c r="E378" s="4">
        <f>168.72246743604 * CHOOSE(CONTROL!$C$9, $C$13, 100%, $E$13) + CHOOSE(CONTROL!$C$28, 0, 0)</f>
        <v>168.72246743604001</v>
      </c>
    </row>
    <row r="379" spans="1:5" ht="15">
      <c r="A379" s="13">
        <v>53052</v>
      </c>
      <c r="B379" s="4">
        <f>30.585 * CHOOSE(CONTROL!$C$9, $C$13, 100%, $E$13) + CHOOSE(CONTROL!$C$28, 0.0003, 0)</f>
        <v>30.5853</v>
      </c>
      <c r="C379" s="4">
        <f>30.2725 * CHOOSE(CONTROL!$C$9, $C$13, 100%, $E$13) + CHOOSE(CONTROL!$C$28, 0.0003, 0)</f>
        <v>30.2728</v>
      </c>
      <c r="D379" s="4">
        <f>36.7117 * CHOOSE(CONTROL!$C$9, $C$13, 100%, $E$13) + CHOOSE(CONTROL!$C$28, 0, 0)</f>
        <v>36.7117</v>
      </c>
      <c r="E379" s="4">
        <f>178.998793765568 * CHOOSE(CONTROL!$C$9, $C$13, 100%, $E$13) + CHOOSE(CONTROL!$C$28, 0, 0)</f>
        <v>178.998793765568</v>
      </c>
    </row>
    <row r="380" spans="1:5" ht="15">
      <c r="A380" s="13">
        <v>53082</v>
      </c>
      <c r="B380" s="4">
        <f>31.7561 * CHOOSE(CONTROL!$C$9, $C$13, 100%, $E$13) + CHOOSE(CONTROL!$C$28, 0.0003, 0)</f>
        <v>31.756399999999999</v>
      </c>
      <c r="C380" s="4">
        <f>31.4436 * CHOOSE(CONTROL!$C$9, $C$13, 100%, $E$13) + CHOOSE(CONTROL!$C$28, 0.0003, 0)</f>
        <v>31.443899999999999</v>
      </c>
      <c r="D380" s="4">
        <f>37.7591 * CHOOSE(CONTROL!$C$9, $C$13, 100%, $E$13) + CHOOSE(CONTROL!$C$28, 0, 0)</f>
        <v>37.759099999999997</v>
      </c>
      <c r="E380" s="4">
        <f>186.300260572752 * CHOOSE(CONTROL!$C$9, $C$13, 100%, $E$13) + CHOOSE(CONTROL!$C$28, 0, 0)</f>
        <v>186.30026057275199</v>
      </c>
    </row>
    <row r="381" spans="1:5" ht="15">
      <c r="A381" s="13">
        <v>53113</v>
      </c>
      <c r="B381" s="4">
        <f>32.4716 * CHOOSE(CONTROL!$C$9, $C$13, 100%, $E$13) + CHOOSE(CONTROL!$C$28, 0.0202, 0)</f>
        <v>32.491800000000005</v>
      </c>
      <c r="C381" s="4">
        <f>32.1591 * CHOOSE(CONTROL!$C$9, $C$13, 100%, $E$13) + CHOOSE(CONTROL!$C$28, 0.0202, 0)</f>
        <v>32.179300000000005</v>
      </c>
      <c r="D381" s="4">
        <f>37.3452 * CHOOSE(CONTROL!$C$9, $C$13, 100%, $E$13) + CHOOSE(CONTROL!$C$28, 0, 0)</f>
        <v>37.345199999999998</v>
      </c>
      <c r="E381" s="4">
        <f>190.761281800205 * CHOOSE(CONTROL!$C$9, $C$13, 100%, $E$13) + CHOOSE(CONTROL!$C$28, 0, 0)</f>
        <v>190.76128180020501</v>
      </c>
    </row>
    <row r="382" spans="1:5" ht="15">
      <c r="A382" s="13">
        <v>53143</v>
      </c>
      <c r="B382" s="4">
        <f>32.5684 * CHOOSE(CONTROL!$C$9, $C$13, 100%, $E$13) + CHOOSE(CONTROL!$C$28, 0.0202, 0)</f>
        <v>32.5886</v>
      </c>
      <c r="C382" s="4">
        <f>32.2559 * CHOOSE(CONTROL!$C$9, $C$13, 100%, $E$13) + CHOOSE(CONTROL!$C$28, 0.0202, 0)</f>
        <v>32.2761</v>
      </c>
      <c r="D382" s="4">
        <f>37.6823 * CHOOSE(CONTROL!$C$9, $C$13, 100%, $E$13) + CHOOSE(CONTROL!$C$28, 0, 0)</f>
        <v>37.682299999999998</v>
      </c>
      <c r="E382" s="4">
        <f>191.364876485898 * CHOOSE(CONTROL!$C$9, $C$13, 100%, $E$13) + CHOOSE(CONTROL!$C$28, 0, 0)</f>
        <v>191.36487648589801</v>
      </c>
    </row>
    <row r="383" spans="1:5" ht="15">
      <c r="A383" s="13">
        <v>53174</v>
      </c>
      <c r="B383" s="4">
        <f>32.5586 * CHOOSE(CONTROL!$C$9, $C$13, 100%, $E$13) + CHOOSE(CONTROL!$C$28, 0.0202, 0)</f>
        <v>32.578800000000001</v>
      </c>
      <c r="C383" s="4">
        <f>32.2461 * CHOOSE(CONTROL!$C$9, $C$13, 100%, $E$13) + CHOOSE(CONTROL!$C$28, 0.0202, 0)</f>
        <v>32.266300000000001</v>
      </c>
      <c r="D383" s="4">
        <f>38.2905 * CHOOSE(CONTROL!$C$9, $C$13, 100%, $E$13) + CHOOSE(CONTROL!$C$28, 0, 0)</f>
        <v>38.290500000000002</v>
      </c>
      <c r="E383" s="4">
        <f>191.304009794904 * CHOOSE(CONTROL!$C$9, $C$13, 100%, $E$13) + CHOOSE(CONTROL!$C$28, 0, 0)</f>
        <v>191.304009794904</v>
      </c>
    </row>
    <row r="384" spans="1:5" ht="15">
      <c r="A384" s="13">
        <v>53205</v>
      </c>
      <c r="B384" s="4">
        <f>33.2933 * CHOOSE(CONTROL!$C$9, $C$13, 100%, $E$13) + CHOOSE(CONTROL!$C$28, 0.0202, 0)</f>
        <v>33.313500000000005</v>
      </c>
      <c r="C384" s="4">
        <f>32.9808 * CHOOSE(CONTROL!$C$9, $C$13, 100%, $E$13) + CHOOSE(CONTROL!$C$28, 0.0202, 0)</f>
        <v>33.001000000000005</v>
      </c>
      <c r="D384" s="4">
        <f>37.8888 * CHOOSE(CONTROL!$C$9, $C$13, 100%, $E$13) + CHOOSE(CONTROL!$C$28, 0, 0)</f>
        <v>37.888800000000003</v>
      </c>
      <c r="E384" s="4">
        <f>195.88422829222 * CHOOSE(CONTROL!$C$9, $C$13, 100%, $E$13) + CHOOSE(CONTROL!$C$28, 0, 0)</f>
        <v>195.88422829222</v>
      </c>
    </row>
    <row r="385" spans="1:5" ht="15">
      <c r="A385" s="13">
        <v>53235</v>
      </c>
      <c r="B385" s="4">
        <f>32.0412 * CHOOSE(CONTROL!$C$9, $C$13, 100%, $E$13) + CHOOSE(CONTROL!$C$28, 0.0202, 0)</f>
        <v>32.061400000000006</v>
      </c>
      <c r="C385" s="4">
        <f>31.7287 * CHOOSE(CONTROL!$C$9, $C$13, 100%, $E$13) + CHOOSE(CONTROL!$C$28, 0.0202, 0)</f>
        <v>31.748899999999999</v>
      </c>
      <c r="D385" s="4">
        <f>37.6991 * CHOOSE(CONTROL!$C$9, $C$13, 100%, $E$13) + CHOOSE(CONTROL!$C$28, 0, 0)</f>
        <v>37.699100000000001</v>
      </c>
      <c r="E385" s="4">
        <f>188.078075172209 * CHOOSE(CONTROL!$C$9, $C$13, 100%, $E$13) + CHOOSE(CONTROL!$C$28, 0, 0)</f>
        <v>188.078075172209</v>
      </c>
    </row>
    <row r="386" spans="1:5" ht="15">
      <c r="A386" s="13">
        <v>53266</v>
      </c>
      <c r="B386" s="4">
        <f>31.0389 * CHOOSE(CONTROL!$C$9, $C$13, 100%, $E$13) + CHOOSE(CONTROL!$C$28, 0.0003, 0)</f>
        <v>31.039200000000001</v>
      </c>
      <c r="C386" s="4">
        <f>30.7264 * CHOOSE(CONTROL!$C$9, $C$13, 100%, $E$13) + CHOOSE(CONTROL!$C$28, 0.0003, 0)</f>
        <v>30.726700000000001</v>
      </c>
      <c r="D386" s="4">
        <f>37.191 * CHOOSE(CONTROL!$C$9, $C$13, 100%, $E$13) + CHOOSE(CONTROL!$C$28, 0, 0)</f>
        <v>37.191000000000003</v>
      </c>
      <c r="E386" s="4">
        <f>181.8290948968 * CHOOSE(CONTROL!$C$9, $C$13, 100%, $E$13) + CHOOSE(CONTROL!$C$28, 0, 0)</f>
        <v>181.8290948968</v>
      </c>
    </row>
    <row r="387" spans="1:5" ht="15">
      <c r="A387" s="13">
        <v>53296</v>
      </c>
      <c r="B387" s="4">
        <f>30.3934 * CHOOSE(CONTROL!$C$9, $C$13, 100%, $E$13) + CHOOSE(CONTROL!$C$28, 0.0003, 0)</f>
        <v>30.393699999999999</v>
      </c>
      <c r="C387" s="4">
        <f>30.0809 * CHOOSE(CONTROL!$C$9, $C$13, 100%, $E$13) + CHOOSE(CONTROL!$C$28, 0.0003, 0)</f>
        <v>30.081199999999999</v>
      </c>
      <c r="D387" s="4">
        <f>37.0163 * CHOOSE(CONTROL!$C$9, $C$13, 100%, $E$13) + CHOOSE(CONTROL!$C$28, 0, 0)</f>
        <v>37.016300000000001</v>
      </c>
      <c r="E387" s="4">
        <f>177.804284954806 * CHOOSE(CONTROL!$C$9, $C$13, 100%, $E$13) + CHOOSE(CONTROL!$C$28, 0, 0)</f>
        <v>177.80428495480601</v>
      </c>
    </row>
    <row r="388" spans="1:5" ht="15">
      <c r="A388" s="13">
        <v>53327</v>
      </c>
      <c r="B388" s="4">
        <f>29.9467 * CHOOSE(CONTROL!$C$9, $C$13, 100%, $E$13) + CHOOSE(CONTROL!$C$28, 0.0003, 0)</f>
        <v>29.946999999999999</v>
      </c>
      <c r="C388" s="4">
        <f>29.6342 * CHOOSE(CONTROL!$C$9, $C$13, 100%, $E$13) + CHOOSE(CONTROL!$C$28, 0.0003, 0)</f>
        <v>29.634499999999999</v>
      </c>
      <c r="D388" s="4">
        <f>35.7302 * CHOOSE(CONTROL!$C$9, $C$13, 100%, $E$13) + CHOOSE(CONTROL!$C$28, 0, 0)</f>
        <v>35.730200000000004</v>
      </c>
      <c r="E388" s="4">
        <f>175.019633841819 * CHOOSE(CONTROL!$C$9, $C$13, 100%, $E$13) + CHOOSE(CONTROL!$C$28, 0, 0)</f>
        <v>175.019633841819</v>
      </c>
    </row>
    <row r="389" spans="1:5" ht="15">
      <c r="A389" s="13">
        <v>53358</v>
      </c>
      <c r="B389" s="4">
        <f>29.2211 * CHOOSE(CONTROL!$C$9, $C$13, 100%, $E$13) + CHOOSE(CONTROL!$C$28, 0.0003, 0)</f>
        <v>29.221399999999999</v>
      </c>
      <c r="C389" s="4">
        <f>28.9086 * CHOOSE(CONTROL!$C$9, $C$13, 100%, $E$13) + CHOOSE(CONTROL!$C$28, 0.0003, 0)</f>
        <v>28.908899999999999</v>
      </c>
      <c r="D389" s="4">
        <f>34.5482 * CHOOSE(CONTROL!$C$9, $C$13, 100%, $E$13) + CHOOSE(CONTROL!$C$28, 0, 0)</f>
        <v>34.548200000000001</v>
      </c>
      <c r="E389" s="4">
        <f>170.000737690002 * CHOOSE(CONTROL!$C$9, $C$13, 100%, $E$13) + CHOOSE(CONTROL!$C$28, 0, 0)</f>
        <v>170.00073769000201</v>
      </c>
    </row>
    <row r="390" spans="1:5" ht="15">
      <c r="A390" s="13">
        <v>53386</v>
      </c>
      <c r="B390" s="4">
        <f>29.8704 * CHOOSE(CONTROL!$C$9, $C$13, 100%, $E$13) + CHOOSE(CONTROL!$C$28, 0.0003, 0)</f>
        <v>29.870699999999999</v>
      </c>
      <c r="C390" s="4">
        <f>29.5579 * CHOOSE(CONTROL!$C$9, $C$13, 100%, $E$13) + CHOOSE(CONTROL!$C$28, 0.0003, 0)</f>
        <v>29.558199999999999</v>
      </c>
      <c r="D390" s="4">
        <f>35.7385 * CHOOSE(CONTROL!$C$9, $C$13, 100%, $E$13) + CHOOSE(CONTROL!$C$28, 0, 0)</f>
        <v>35.738500000000002</v>
      </c>
      <c r="E390" s="4">
        <f>174.037225160275 * CHOOSE(CONTROL!$C$9, $C$13, 100%, $E$13) + CHOOSE(CONTROL!$C$28, 0, 0)</f>
        <v>174.037225160275</v>
      </c>
    </row>
    <row r="391" spans="1:5" ht="15">
      <c r="A391" s="13">
        <v>53417</v>
      </c>
      <c r="B391" s="4">
        <f>31.5755 * CHOOSE(CONTROL!$C$9, $C$13, 100%, $E$13) + CHOOSE(CONTROL!$C$28, 0.0003, 0)</f>
        <v>31.575800000000001</v>
      </c>
      <c r="C391" s="4">
        <f>31.263 * CHOOSE(CONTROL!$C$9, $C$13, 100%, $E$13) + CHOOSE(CONTROL!$C$28, 0.0003, 0)</f>
        <v>31.263300000000001</v>
      </c>
      <c r="D391" s="4">
        <f>37.6018 * CHOOSE(CONTROL!$C$9, $C$13, 100%, $E$13) + CHOOSE(CONTROL!$C$28, 0, 0)</f>
        <v>37.601799999999997</v>
      </c>
      <c r="E391" s="4">
        <f>184.637255769183 * CHOOSE(CONTROL!$C$9, $C$13, 100%, $E$13) + CHOOSE(CONTROL!$C$28, 0, 0)</f>
        <v>184.63725576918301</v>
      </c>
    </row>
    <row r="392" spans="1:5" ht="15">
      <c r="A392" s="13">
        <v>53447</v>
      </c>
      <c r="B392" s="4">
        <f>32.787 * CHOOSE(CONTROL!$C$9, $C$13, 100%, $E$13) + CHOOSE(CONTROL!$C$28, 0.0003, 0)</f>
        <v>32.787300000000002</v>
      </c>
      <c r="C392" s="4">
        <f>32.4745 * CHOOSE(CONTROL!$C$9, $C$13, 100%, $E$13) + CHOOSE(CONTROL!$C$28, 0.0003, 0)</f>
        <v>32.474800000000002</v>
      </c>
      <c r="D392" s="4">
        <f>38.6751 * CHOOSE(CONTROL!$C$9, $C$13, 100%, $E$13) + CHOOSE(CONTROL!$C$28, 0, 0)</f>
        <v>38.6751</v>
      </c>
      <c r="E392" s="4">
        <f>192.168718780794 * CHOOSE(CONTROL!$C$9, $C$13, 100%, $E$13) + CHOOSE(CONTROL!$C$28, 0, 0)</f>
        <v>192.16871878079399</v>
      </c>
    </row>
    <row r="393" spans="1:5" ht="15">
      <c r="A393" s="13">
        <v>53478</v>
      </c>
      <c r="B393" s="4">
        <f>33.5272 * CHOOSE(CONTROL!$C$9, $C$13, 100%, $E$13) + CHOOSE(CONTROL!$C$28, 0.0202, 0)</f>
        <v>33.547400000000003</v>
      </c>
      <c r="C393" s="4">
        <f>33.2147 * CHOOSE(CONTROL!$C$9, $C$13, 100%, $E$13) + CHOOSE(CONTROL!$C$28, 0.0202, 0)</f>
        <v>33.234900000000003</v>
      </c>
      <c r="D393" s="4">
        <f>38.251 * CHOOSE(CONTROL!$C$9, $C$13, 100%, $E$13) + CHOOSE(CONTROL!$C$28, 0, 0)</f>
        <v>38.250999999999998</v>
      </c>
      <c r="E393" s="4">
        <f>196.770262176911 * CHOOSE(CONTROL!$C$9, $C$13, 100%, $E$13) + CHOOSE(CONTROL!$C$28, 0, 0)</f>
        <v>196.77026217691099</v>
      </c>
    </row>
    <row r="394" spans="1:5" ht="15">
      <c r="A394" s="13">
        <v>53508</v>
      </c>
      <c r="B394" s="4">
        <f>33.6273 * CHOOSE(CONTROL!$C$9, $C$13, 100%, $E$13) + CHOOSE(CONTROL!$C$28, 0.0202, 0)</f>
        <v>33.647500000000001</v>
      </c>
      <c r="C394" s="4">
        <f>33.3148 * CHOOSE(CONTROL!$C$9, $C$13, 100%, $E$13) + CHOOSE(CONTROL!$C$28, 0.0202, 0)</f>
        <v>33.335000000000001</v>
      </c>
      <c r="D394" s="4">
        <f>38.5964 * CHOOSE(CONTROL!$C$9, $C$13, 100%, $E$13) + CHOOSE(CONTROL!$C$28, 0, 0)</f>
        <v>38.596400000000003</v>
      </c>
      <c r="E394" s="4">
        <f>197.392870095204 * CHOOSE(CONTROL!$C$9, $C$13, 100%, $E$13) + CHOOSE(CONTROL!$C$28, 0, 0)</f>
        <v>197.39287009520399</v>
      </c>
    </row>
    <row r="395" spans="1:5" ht="15">
      <c r="A395" s="13">
        <v>53539</v>
      </c>
      <c r="B395" s="4">
        <f>33.6172 * CHOOSE(CONTROL!$C$9, $C$13, 100%, $E$13) + CHOOSE(CONTROL!$C$28, 0.0202, 0)</f>
        <v>33.6374</v>
      </c>
      <c r="C395" s="4">
        <f>33.3047 * CHOOSE(CONTROL!$C$9, $C$13, 100%, $E$13) + CHOOSE(CONTROL!$C$28, 0.0202, 0)</f>
        <v>33.3249</v>
      </c>
      <c r="D395" s="4">
        <f>39.2197 * CHOOSE(CONTROL!$C$9, $C$13, 100%, $E$13) + CHOOSE(CONTROL!$C$28, 0, 0)</f>
        <v>39.219700000000003</v>
      </c>
      <c r="E395" s="4">
        <f>197.330086103443 * CHOOSE(CONTROL!$C$9, $C$13, 100%, $E$13) + CHOOSE(CONTROL!$C$28, 0, 0)</f>
        <v>197.33008610344299</v>
      </c>
    </row>
    <row r="396" spans="1:5" ht="15">
      <c r="A396" s="13">
        <v>53570</v>
      </c>
      <c r="B396" s="4">
        <f>34.3772 * CHOOSE(CONTROL!$C$9, $C$13, 100%, $E$13) + CHOOSE(CONTROL!$C$28, 0.0202, 0)</f>
        <v>34.397400000000005</v>
      </c>
      <c r="C396" s="4">
        <f>34.0647 * CHOOSE(CONTROL!$C$9, $C$13, 100%, $E$13) + CHOOSE(CONTROL!$C$28, 0.0202, 0)</f>
        <v>34.084900000000005</v>
      </c>
      <c r="D396" s="4">
        <f>38.8081 * CHOOSE(CONTROL!$C$9, $C$13, 100%, $E$13) + CHOOSE(CONTROL!$C$28, 0, 0)</f>
        <v>38.808100000000003</v>
      </c>
      <c r="E396" s="4">
        <f>202.054581483425 * CHOOSE(CONTROL!$C$9, $C$13, 100%, $E$13) + CHOOSE(CONTROL!$C$28, 0, 0)</f>
        <v>202.05458148342501</v>
      </c>
    </row>
    <row r="397" spans="1:5" ht="15">
      <c r="A397" s="13">
        <v>53600</v>
      </c>
      <c r="B397" s="4">
        <f>33.082 * CHOOSE(CONTROL!$C$9, $C$13, 100%, $E$13) + CHOOSE(CONTROL!$C$28, 0.0202, 0)</f>
        <v>33.102200000000003</v>
      </c>
      <c r="C397" s="4">
        <f>32.7695 * CHOOSE(CONTROL!$C$9, $C$13, 100%, $E$13) + CHOOSE(CONTROL!$C$28, 0.0202, 0)</f>
        <v>32.789700000000003</v>
      </c>
      <c r="D397" s="4">
        <f>38.6136 * CHOOSE(CONTROL!$C$9, $C$13, 100%, $E$13) + CHOOSE(CONTROL!$C$28, 0, 0)</f>
        <v>38.613599999999998</v>
      </c>
      <c r="E397" s="4">
        <f>194.002534540133 * CHOOSE(CONTROL!$C$9, $C$13, 100%, $E$13) + CHOOSE(CONTROL!$C$28, 0, 0)</f>
        <v>194.00253454013301</v>
      </c>
    </row>
    <row r="398" spans="1:5" ht="15">
      <c r="A398" s="13">
        <v>53631</v>
      </c>
      <c r="B398" s="4">
        <f>32.0451 * CHOOSE(CONTROL!$C$9, $C$13, 100%, $E$13) + CHOOSE(CONTROL!$C$28, 0.0003, 0)</f>
        <v>32.045400000000001</v>
      </c>
      <c r="C398" s="4">
        <f>31.7326 * CHOOSE(CONTROL!$C$9, $C$13, 100%, $E$13) + CHOOSE(CONTROL!$C$28, 0.0003, 0)</f>
        <v>31.732900000000001</v>
      </c>
      <c r="D398" s="4">
        <f>38.0929 * CHOOSE(CONTROL!$C$9, $C$13, 100%, $E$13) + CHOOSE(CONTROL!$C$28, 0, 0)</f>
        <v>38.0929</v>
      </c>
      <c r="E398" s="4">
        <f>187.556711386049 * CHOOSE(CONTROL!$C$9, $C$13, 100%, $E$13) + CHOOSE(CONTROL!$C$28, 0, 0)</f>
        <v>187.55671138604899</v>
      </c>
    </row>
    <row r="399" spans="1:5" ht="15">
      <c r="A399" s="13">
        <v>53661</v>
      </c>
      <c r="B399" s="4">
        <f>31.3773 * CHOOSE(CONTROL!$C$9, $C$13, 100%, $E$13) + CHOOSE(CONTROL!$C$28, 0.0003, 0)</f>
        <v>31.377600000000001</v>
      </c>
      <c r="C399" s="4">
        <f>31.0648 * CHOOSE(CONTROL!$C$9, $C$13, 100%, $E$13) + CHOOSE(CONTROL!$C$28, 0.0003, 0)</f>
        <v>31.065100000000001</v>
      </c>
      <c r="D399" s="4">
        <f>37.9139 * CHOOSE(CONTROL!$C$9, $C$13, 100%, $E$13) + CHOOSE(CONTROL!$C$28, 0, 0)</f>
        <v>37.913899999999998</v>
      </c>
      <c r="E399" s="4">
        <f>183.405119930882 * CHOOSE(CONTROL!$C$9, $C$13, 100%, $E$13) + CHOOSE(CONTROL!$C$28, 0, 0)</f>
        <v>183.40511993088199</v>
      </c>
    </row>
    <row r="400" spans="1:5" ht="15">
      <c r="A400" s="13">
        <v>53692</v>
      </c>
      <c r="B400" s="4">
        <f>30.9152 * CHOOSE(CONTROL!$C$9, $C$13, 100%, $E$13) + CHOOSE(CONTROL!$C$28, 0.0003, 0)</f>
        <v>30.915499999999998</v>
      </c>
      <c r="C400" s="4">
        <f>30.6027 * CHOOSE(CONTROL!$C$9, $C$13, 100%, $E$13) + CHOOSE(CONTROL!$C$28, 0.0003, 0)</f>
        <v>30.602999999999998</v>
      </c>
      <c r="D400" s="4">
        <f>36.5959 * CHOOSE(CONTROL!$C$9, $C$13, 100%, $E$13) + CHOOSE(CONTROL!$C$28, 0, 0)</f>
        <v>36.5959</v>
      </c>
      <c r="E400" s="4">
        <f>180.532752307836 * CHOOSE(CONTROL!$C$9, $C$13, 100%, $E$13) + CHOOSE(CONTROL!$C$28, 0, 0)</f>
        <v>180.53275230783601</v>
      </c>
    </row>
    <row r="401" spans="1:5" ht="15">
      <c r="A401" s="13">
        <v>53723</v>
      </c>
      <c r="B401" s="4">
        <f>30.1645 * CHOOSE(CONTROL!$C$9, $C$13, 100%, $E$13) + CHOOSE(CONTROL!$C$28, 0.0003, 0)</f>
        <v>30.1648</v>
      </c>
      <c r="C401" s="4">
        <f>29.852 * CHOOSE(CONTROL!$C$9, $C$13, 100%, $E$13) + CHOOSE(CONTROL!$C$28, 0.0003, 0)</f>
        <v>29.8523</v>
      </c>
      <c r="D401" s="4">
        <f>35.3846 * CHOOSE(CONTROL!$C$9, $C$13, 100%, $E$13) + CHOOSE(CONTROL!$C$28, 0, 0)</f>
        <v>35.384599999999999</v>
      </c>
      <c r="E401" s="4">
        <f>175.355760927237 * CHOOSE(CONTROL!$C$9, $C$13, 100%, $E$13) + CHOOSE(CONTROL!$C$28, 0, 0)</f>
        <v>175.35576092723699</v>
      </c>
    </row>
    <row r="402" spans="1:5" ht="15">
      <c r="A402" s="13">
        <v>53751</v>
      </c>
      <c r="B402" s="4">
        <f>30.8362 * CHOOSE(CONTROL!$C$9, $C$13, 100%, $E$13) + CHOOSE(CONTROL!$C$28, 0.0003, 0)</f>
        <v>30.836500000000001</v>
      </c>
      <c r="C402" s="4">
        <f>30.5237 * CHOOSE(CONTROL!$C$9, $C$13, 100%, $E$13) + CHOOSE(CONTROL!$C$28, 0.0003, 0)</f>
        <v>30.524000000000001</v>
      </c>
      <c r="D402" s="4">
        <f>36.6044 * CHOOSE(CONTROL!$C$9, $C$13, 100%, $E$13) + CHOOSE(CONTROL!$C$28, 0, 0)</f>
        <v>36.604399999999998</v>
      </c>
      <c r="E402" s="4">
        <f>179.519397752824 * CHOOSE(CONTROL!$C$9, $C$13, 100%, $E$13) + CHOOSE(CONTROL!$C$28, 0, 0)</f>
        <v>179.51939775282401</v>
      </c>
    </row>
    <row r="403" spans="1:5" ht="15">
      <c r="A403" s="13">
        <v>53782</v>
      </c>
      <c r="B403" s="4">
        <f>32.6001 * CHOOSE(CONTROL!$C$9, $C$13, 100%, $E$13) + CHOOSE(CONTROL!$C$28, 0.0003, 0)</f>
        <v>32.6004</v>
      </c>
      <c r="C403" s="4">
        <f>32.2876 * CHOOSE(CONTROL!$C$9, $C$13, 100%, $E$13) + CHOOSE(CONTROL!$C$28, 0.0003, 0)</f>
        <v>32.2879</v>
      </c>
      <c r="D403" s="4">
        <f>38.5139 * CHOOSE(CONTROL!$C$9, $C$13, 100%, $E$13) + CHOOSE(CONTROL!$C$28, 0, 0)</f>
        <v>38.5139</v>
      </c>
      <c r="E403" s="4">
        <f>190.453329325912 * CHOOSE(CONTROL!$C$9, $C$13, 100%, $E$13) + CHOOSE(CONTROL!$C$28, 0, 0)</f>
        <v>190.45332932591199</v>
      </c>
    </row>
    <row r="404" spans="1:5" ht="15">
      <c r="A404" s="13">
        <v>53812</v>
      </c>
      <c r="B404" s="4">
        <f>33.8534 * CHOOSE(CONTROL!$C$9, $C$13, 100%, $E$13) + CHOOSE(CONTROL!$C$28, 0.0003, 0)</f>
        <v>33.853700000000003</v>
      </c>
      <c r="C404" s="4">
        <f>33.5409 * CHOOSE(CONTROL!$C$9, $C$13, 100%, $E$13) + CHOOSE(CONTROL!$C$28, 0.0003, 0)</f>
        <v>33.541200000000003</v>
      </c>
      <c r="D404" s="4">
        <f>39.6139 * CHOOSE(CONTROL!$C$9, $C$13, 100%, $E$13) + CHOOSE(CONTROL!$C$28, 0, 0)</f>
        <v>39.613900000000001</v>
      </c>
      <c r="E404" s="4">
        <f>198.222033422389 * CHOOSE(CONTROL!$C$9, $C$13, 100%, $E$13) + CHOOSE(CONTROL!$C$28, 0, 0)</f>
        <v>198.22203342238899</v>
      </c>
    </row>
    <row r="405" spans="1:5" ht="15">
      <c r="A405" s="13">
        <v>53843</v>
      </c>
      <c r="B405" s="4">
        <f>34.6192 * CHOOSE(CONTROL!$C$9, $C$13, 100%, $E$13) + CHOOSE(CONTROL!$C$28, 0.0202, 0)</f>
        <v>34.639400000000002</v>
      </c>
      <c r="C405" s="4">
        <f>34.3067 * CHOOSE(CONTROL!$C$9, $C$13, 100%, $E$13) + CHOOSE(CONTROL!$C$28, 0.0202, 0)</f>
        <v>34.326900000000002</v>
      </c>
      <c r="D405" s="4">
        <f>39.1792 * CHOOSE(CONTROL!$C$9, $C$13, 100%, $E$13) + CHOOSE(CONTROL!$C$28, 0, 0)</f>
        <v>39.179200000000002</v>
      </c>
      <c r="E405" s="4">
        <f>202.968525435484 * CHOOSE(CONTROL!$C$9, $C$13, 100%, $E$13) + CHOOSE(CONTROL!$C$28, 0, 0)</f>
        <v>202.968525435484</v>
      </c>
    </row>
    <row r="406" spans="1:5" ht="15">
      <c r="A406" s="13">
        <v>53873</v>
      </c>
      <c r="B406" s="4">
        <f>34.7228 * CHOOSE(CONTROL!$C$9, $C$13, 100%, $E$13) + CHOOSE(CONTROL!$C$28, 0.0202, 0)</f>
        <v>34.743000000000002</v>
      </c>
      <c r="C406" s="4">
        <f>34.4103 * CHOOSE(CONTROL!$C$9, $C$13, 100%, $E$13) + CHOOSE(CONTROL!$C$28, 0.0202, 0)</f>
        <v>34.430500000000002</v>
      </c>
      <c r="D406" s="4">
        <f>39.5332 * CHOOSE(CONTROL!$C$9, $C$13, 100%, $E$13) + CHOOSE(CONTROL!$C$28, 0, 0)</f>
        <v>39.533200000000001</v>
      </c>
      <c r="E406" s="4">
        <f>203.610745503203 * CHOOSE(CONTROL!$C$9, $C$13, 100%, $E$13) + CHOOSE(CONTROL!$C$28, 0, 0)</f>
        <v>203.61074550320299</v>
      </c>
    </row>
    <row r="407" spans="1:5" ht="15">
      <c r="A407" s="13">
        <v>53904</v>
      </c>
      <c r="B407" s="4">
        <f>34.7123 * CHOOSE(CONTROL!$C$9, $C$13, 100%, $E$13) + CHOOSE(CONTROL!$C$28, 0.0202, 0)</f>
        <v>34.732500000000002</v>
      </c>
      <c r="C407" s="4">
        <f>34.3998 * CHOOSE(CONTROL!$C$9, $C$13, 100%, $E$13) + CHOOSE(CONTROL!$C$28, 0.0202, 0)</f>
        <v>34.42</v>
      </c>
      <c r="D407" s="4">
        <f>40.1719 * CHOOSE(CONTROL!$C$9, $C$13, 100%, $E$13) + CHOOSE(CONTROL!$C$28, 0, 0)</f>
        <v>40.171900000000001</v>
      </c>
      <c r="E407" s="4">
        <f>203.545983815702 * CHOOSE(CONTROL!$C$9, $C$13, 100%, $E$13) + CHOOSE(CONTROL!$C$28, 0, 0)</f>
        <v>203.54598381570199</v>
      </c>
    </row>
    <row r="408" spans="1:5" ht="15">
      <c r="A408" s="13">
        <v>53935</v>
      </c>
      <c r="B408" s="4">
        <f>35.4985 * CHOOSE(CONTROL!$C$9, $C$13, 100%, $E$13) + CHOOSE(CONTROL!$C$28, 0.0202, 0)</f>
        <v>35.518700000000003</v>
      </c>
      <c r="C408" s="4">
        <f>35.186 * CHOOSE(CONTROL!$C$9, $C$13, 100%, $E$13) + CHOOSE(CONTROL!$C$28, 0.0202, 0)</f>
        <v>35.206200000000003</v>
      </c>
      <c r="D408" s="4">
        <f>39.7501 * CHOOSE(CONTROL!$C$9, $C$13, 100%, $E$13) + CHOOSE(CONTROL!$C$28, 0, 0)</f>
        <v>39.750100000000003</v>
      </c>
      <c r="E408" s="4">
        <f>208.419300800153 * CHOOSE(CONTROL!$C$9, $C$13, 100%, $E$13) + CHOOSE(CONTROL!$C$28, 0, 0)</f>
        <v>208.419300800153</v>
      </c>
    </row>
    <row r="409" spans="1:5" ht="15">
      <c r="A409" s="13">
        <v>53965</v>
      </c>
      <c r="B409" s="4">
        <f>34.1586 * CHOOSE(CONTROL!$C$9, $C$13, 100%, $E$13) + CHOOSE(CONTROL!$C$28, 0.0202, 0)</f>
        <v>34.178800000000003</v>
      </c>
      <c r="C409" s="4">
        <f>33.8461 * CHOOSE(CONTROL!$C$9, $C$13, 100%, $E$13) + CHOOSE(CONTROL!$C$28, 0.0202, 0)</f>
        <v>33.866300000000003</v>
      </c>
      <c r="D409" s="4">
        <f>39.5508 * CHOOSE(CONTROL!$C$9, $C$13, 100%, $E$13) + CHOOSE(CONTROL!$C$28, 0, 0)</f>
        <v>39.550800000000002</v>
      </c>
      <c r="E409" s="4">
        <f>200.113614378148 * CHOOSE(CONTROL!$C$9, $C$13, 100%, $E$13) + CHOOSE(CONTROL!$C$28, 0, 0)</f>
        <v>200.11361437814799</v>
      </c>
    </row>
    <row r="410" spans="1:5" ht="15">
      <c r="A410" s="13">
        <v>53996</v>
      </c>
      <c r="B410" s="4">
        <f>33.086 * CHOOSE(CONTROL!$C$9, $C$13, 100%, $E$13) + CHOOSE(CONTROL!$C$28, 0.0003, 0)</f>
        <v>33.086300000000001</v>
      </c>
      <c r="C410" s="4">
        <f>32.7735 * CHOOSE(CONTROL!$C$9, $C$13, 100%, $E$13) + CHOOSE(CONTROL!$C$28, 0.0003, 0)</f>
        <v>32.773800000000001</v>
      </c>
      <c r="D410" s="4">
        <f>39.0172 * CHOOSE(CONTROL!$C$9, $C$13, 100%, $E$13) + CHOOSE(CONTROL!$C$28, 0, 0)</f>
        <v>39.017200000000003</v>
      </c>
      <c r="E410" s="4">
        <f>193.46474779471 * CHOOSE(CONTROL!$C$9, $C$13, 100%, $E$13) + CHOOSE(CONTROL!$C$28, 0, 0)</f>
        <v>193.46474779471001</v>
      </c>
    </row>
    <row r="411" spans="1:5" ht="15">
      <c r="A411" s="13">
        <v>54026</v>
      </c>
      <c r="B411" s="4">
        <f>32.3951 * CHOOSE(CONTROL!$C$9, $C$13, 100%, $E$13) + CHOOSE(CONTROL!$C$28, 0.0003, 0)</f>
        <v>32.395400000000002</v>
      </c>
      <c r="C411" s="4">
        <f>32.0826 * CHOOSE(CONTROL!$C$9, $C$13, 100%, $E$13) + CHOOSE(CONTROL!$C$28, 0.0003, 0)</f>
        <v>32.082900000000002</v>
      </c>
      <c r="D411" s="4">
        <f>38.8337 * CHOOSE(CONTROL!$C$9, $C$13, 100%, $E$13) + CHOOSE(CONTROL!$C$28, 0, 0)</f>
        <v>38.8337</v>
      </c>
      <c r="E411" s="4">
        <f>189.182381208705 * CHOOSE(CONTROL!$C$9, $C$13, 100%, $E$13) + CHOOSE(CONTROL!$C$28, 0, 0)</f>
        <v>189.18238120870501</v>
      </c>
    </row>
    <row r="412" spans="1:5" ht="15">
      <c r="A412" s="13">
        <v>54057</v>
      </c>
      <c r="B412" s="4">
        <f>31.9171 * CHOOSE(CONTROL!$C$9, $C$13, 100%, $E$13) + CHOOSE(CONTROL!$C$28, 0.0003, 0)</f>
        <v>31.917400000000001</v>
      </c>
      <c r="C412" s="4">
        <f>31.6046 * CHOOSE(CONTROL!$C$9, $C$13, 100%, $E$13) + CHOOSE(CONTROL!$C$28, 0.0003, 0)</f>
        <v>31.604900000000001</v>
      </c>
      <c r="D412" s="4">
        <f>37.4831 * CHOOSE(CONTROL!$C$9, $C$13, 100%, $E$13) + CHOOSE(CONTROL!$C$28, 0, 0)</f>
        <v>37.4831</v>
      </c>
      <c r="E412" s="4">
        <f>186.219534005533 * CHOOSE(CONTROL!$C$9, $C$13, 100%, $E$13) + CHOOSE(CONTROL!$C$28, 0, 0)</f>
        <v>186.21953400553301</v>
      </c>
    </row>
    <row r="413" spans="1:5" ht="15">
      <c r="A413" s="13">
        <v>54088</v>
      </c>
      <c r="B413" s="4">
        <f>31.1405 * CHOOSE(CONTROL!$C$9, $C$13, 100%, $E$13) + CHOOSE(CONTROL!$C$28, 0.0003, 0)</f>
        <v>31.140799999999999</v>
      </c>
      <c r="C413" s="4">
        <f>30.828 * CHOOSE(CONTROL!$C$9, $C$13, 100%, $E$13) + CHOOSE(CONTROL!$C$28, 0.0003, 0)</f>
        <v>30.828299999999999</v>
      </c>
      <c r="D413" s="4">
        <f>36.2417 * CHOOSE(CONTROL!$C$9, $C$13, 100%, $E$13) + CHOOSE(CONTROL!$C$28, 0, 0)</f>
        <v>36.241700000000002</v>
      </c>
      <c r="E413" s="4">
        <f>180.879467396445 * CHOOSE(CONTROL!$C$9, $C$13, 100%, $E$13) + CHOOSE(CONTROL!$C$28, 0, 0)</f>
        <v>180.87946739644499</v>
      </c>
    </row>
    <row r="414" spans="1:5" ht="15">
      <c r="A414" s="13">
        <v>54116</v>
      </c>
      <c r="B414" s="4">
        <f>31.8354 * CHOOSE(CONTROL!$C$9, $C$13, 100%, $E$13) + CHOOSE(CONTROL!$C$28, 0.0003, 0)</f>
        <v>31.835699999999999</v>
      </c>
      <c r="C414" s="4">
        <f>31.5229 * CHOOSE(CONTROL!$C$9, $C$13, 100%, $E$13) + CHOOSE(CONTROL!$C$28, 0.0003, 0)</f>
        <v>31.523199999999999</v>
      </c>
      <c r="D414" s="4">
        <f>37.4918 * CHOOSE(CONTROL!$C$9, $C$13, 100%, $E$13) + CHOOSE(CONTROL!$C$28, 0, 0)</f>
        <v>37.491799999999998</v>
      </c>
      <c r="E414" s="4">
        <f>185.174258782038 * CHOOSE(CONTROL!$C$9, $C$13, 100%, $E$13) + CHOOSE(CONTROL!$C$28, 0, 0)</f>
        <v>185.17425878203801</v>
      </c>
    </row>
    <row r="415" spans="1:5" ht="15">
      <c r="A415" s="13">
        <v>54148</v>
      </c>
      <c r="B415" s="4">
        <f>33.6602 * CHOOSE(CONTROL!$C$9, $C$13, 100%, $E$13) + CHOOSE(CONTROL!$C$28, 0.0003, 0)</f>
        <v>33.660500000000006</v>
      </c>
      <c r="C415" s="4">
        <f>33.3477 * CHOOSE(CONTROL!$C$9, $C$13, 100%, $E$13) + CHOOSE(CONTROL!$C$28, 0.0003, 0)</f>
        <v>33.348000000000006</v>
      </c>
      <c r="D415" s="4">
        <f>39.4486 * CHOOSE(CONTROL!$C$9, $C$13, 100%, $E$13) + CHOOSE(CONTROL!$C$28, 0, 0)</f>
        <v>39.448599999999999</v>
      </c>
      <c r="E415" s="4">
        <f>196.452609199679 * CHOOSE(CONTROL!$C$9, $C$13, 100%, $E$13) + CHOOSE(CONTROL!$C$28, 0, 0)</f>
        <v>196.45260919967899</v>
      </c>
    </row>
    <row r="416" spans="1:5" ht="15">
      <c r="A416" s="13">
        <v>54178</v>
      </c>
      <c r="B416" s="4">
        <f>34.9567 * CHOOSE(CONTROL!$C$9, $C$13, 100%, $E$13) + CHOOSE(CONTROL!$C$28, 0.0003, 0)</f>
        <v>34.957000000000001</v>
      </c>
      <c r="C416" s="4">
        <f>34.6442 * CHOOSE(CONTROL!$C$9, $C$13, 100%, $E$13) + CHOOSE(CONTROL!$C$28, 0.0003, 0)</f>
        <v>34.644500000000001</v>
      </c>
      <c r="D416" s="4">
        <f>40.5759 * CHOOSE(CONTROL!$C$9, $C$13, 100%, $E$13) + CHOOSE(CONTROL!$C$28, 0, 0)</f>
        <v>40.575899999999997</v>
      </c>
      <c r="E416" s="4">
        <f>204.466027475194 * CHOOSE(CONTROL!$C$9, $C$13, 100%, $E$13) + CHOOSE(CONTROL!$C$28, 0, 0)</f>
        <v>204.46602747519401</v>
      </c>
    </row>
    <row r="417" spans="1:5" ht="15">
      <c r="A417" s="13">
        <v>54209</v>
      </c>
      <c r="B417" s="4">
        <f>35.7488 * CHOOSE(CONTROL!$C$9, $C$13, 100%, $E$13) + CHOOSE(CONTROL!$C$28, 0.0202, 0)</f>
        <v>35.769000000000005</v>
      </c>
      <c r="C417" s="4">
        <f>35.4363 * CHOOSE(CONTROL!$C$9, $C$13, 100%, $E$13) + CHOOSE(CONTROL!$C$28, 0.0202, 0)</f>
        <v>35.456500000000005</v>
      </c>
      <c r="D417" s="4">
        <f>40.1305 * CHOOSE(CONTROL!$C$9, $C$13, 100%, $E$13) + CHOOSE(CONTROL!$C$28, 0, 0)</f>
        <v>40.130499999999998</v>
      </c>
      <c r="E417" s="4">
        <f>209.362033986702 * CHOOSE(CONTROL!$C$9, $C$13, 100%, $E$13) + CHOOSE(CONTROL!$C$28, 0, 0)</f>
        <v>209.36203398670199</v>
      </c>
    </row>
    <row r="418" spans="1:5" ht="15">
      <c r="A418" s="13">
        <v>54239</v>
      </c>
      <c r="B418" s="4">
        <f>35.856 * CHOOSE(CONTROL!$C$9, $C$13, 100%, $E$13) + CHOOSE(CONTROL!$C$28, 0.0202, 0)</f>
        <v>35.876200000000004</v>
      </c>
      <c r="C418" s="4">
        <f>35.5435 * CHOOSE(CONTROL!$C$9, $C$13, 100%, $E$13) + CHOOSE(CONTROL!$C$28, 0.0202, 0)</f>
        <v>35.563700000000004</v>
      </c>
      <c r="D418" s="4">
        <f>40.4932 * CHOOSE(CONTROL!$C$9, $C$13, 100%, $E$13) + CHOOSE(CONTROL!$C$28, 0, 0)</f>
        <v>40.493200000000002</v>
      </c>
      <c r="E418" s="4">
        <f>210.024483986553 * CHOOSE(CONTROL!$C$9, $C$13, 100%, $E$13) + CHOOSE(CONTROL!$C$28, 0, 0)</f>
        <v>210.02448398655301</v>
      </c>
    </row>
    <row r="419" spans="1:5" ht="15">
      <c r="A419" s="13">
        <v>54270</v>
      </c>
      <c r="B419" s="4">
        <f>35.8452 * CHOOSE(CONTROL!$C$9, $C$13, 100%, $E$13) + CHOOSE(CONTROL!$C$28, 0.0202, 0)</f>
        <v>35.865400000000001</v>
      </c>
      <c r="C419" s="4">
        <f>35.5327 * CHOOSE(CONTROL!$C$9, $C$13, 100%, $E$13) + CHOOSE(CONTROL!$C$28, 0.0202, 0)</f>
        <v>35.552900000000001</v>
      </c>
      <c r="D419" s="4">
        <f>41.1478 * CHOOSE(CONTROL!$C$9, $C$13, 100%, $E$13) + CHOOSE(CONTROL!$C$28, 0, 0)</f>
        <v>41.147799999999997</v>
      </c>
      <c r="E419" s="4">
        <f>209.957682305896 * CHOOSE(CONTROL!$C$9, $C$13, 100%, $E$13) + CHOOSE(CONTROL!$C$28, 0, 0)</f>
        <v>209.95768230589599</v>
      </c>
    </row>
    <row r="420" spans="1:5" ht="15">
      <c r="A420" s="13">
        <v>54301</v>
      </c>
      <c r="B420" s="4">
        <f>36.6585 * CHOOSE(CONTROL!$C$9, $C$13, 100%, $E$13) + CHOOSE(CONTROL!$C$28, 0.0202, 0)</f>
        <v>36.678699999999999</v>
      </c>
      <c r="C420" s="4">
        <f>36.346 * CHOOSE(CONTROL!$C$9, $C$13, 100%, $E$13) + CHOOSE(CONTROL!$C$28, 0.0202, 0)</f>
        <v>36.366199999999999</v>
      </c>
      <c r="D420" s="4">
        <f>40.7155 * CHOOSE(CONTROL!$C$9, $C$13, 100%, $E$13) + CHOOSE(CONTROL!$C$28, 0, 0)</f>
        <v>40.715499999999999</v>
      </c>
      <c r="E420" s="4">
        <f>214.984508775358 * CHOOSE(CONTROL!$C$9, $C$13, 100%, $E$13) + CHOOSE(CONTROL!$C$28, 0, 0)</f>
        <v>214.98450877535799</v>
      </c>
    </row>
    <row r="421" spans="1:5" ht="15">
      <c r="A421" s="13">
        <v>54331</v>
      </c>
      <c r="B421" s="4">
        <f>35.2724 * CHOOSE(CONTROL!$C$9, $C$13, 100%, $E$13) + CHOOSE(CONTROL!$C$28, 0.0202, 0)</f>
        <v>35.2926</v>
      </c>
      <c r="C421" s="4">
        <f>34.9599 * CHOOSE(CONTROL!$C$9, $C$13, 100%, $E$13) + CHOOSE(CONTROL!$C$28, 0.0202, 0)</f>
        <v>34.9801</v>
      </c>
      <c r="D421" s="4">
        <f>40.5113 * CHOOSE(CONTROL!$C$9, $C$13, 100%, $E$13) + CHOOSE(CONTROL!$C$28, 0, 0)</f>
        <v>40.511299999999999</v>
      </c>
      <c r="E421" s="4">
        <f>206.417193231059 * CHOOSE(CONTROL!$C$9, $C$13, 100%, $E$13) + CHOOSE(CONTROL!$C$28, 0, 0)</f>
        <v>206.417193231059</v>
      </c>
    </row>
    <row r="422" spans="1:5" ht="15">
      <c r="A422" s="13">
        <v>54362</v>
      </c>
      <c r="B422" s="4">
        <f>34.1627 * CHOOSE(CONTROL!$C$9, $C$13, 100%, $E$13) + CHOOSE(CONTROL!$C$28, 0.0003, 0)</f>
        <v>34.163000000000004</v>
      </c>
      <c r="C422" s="4">
        <f>33.8502 * CHOOSE(CONTROL!$C$9, $C$13, 100%, $E$13) + CHOOSE(CONTROL!$C$28, 0.0003, 0)</f>
        <v>33.850500000000004</v>
      </c>
      <c r="D422" s="4">
        <f>39.9644 * CHOOSE(CONTROL!$C$9, $C$13, 100%, $E$13) + CHOOSE(CONTROL!$C$28, 0, 0)</f>
        <v>39.964399999999998</v>
      </c>
      <c r="E422" s="4">
        <f>199.558887350243 * CHOOSE(CONTROL!$C$9, $C$13, 100%, $E$13) + CHOOSE(CONTROL!$C$28, 0, 0)</f>
        <v>199.558887350243</v>
      </c>
    </row>
    <row r="423" spans="1:5" ht="15">
      <c r="A423" s="13">
        <v>54392</v>
      </c>
      <c r="B423" s="4">
        <f>33.448 * CHOOSE(CONTROL!$C$9, $C$13, 100%, $E$13) + CHOOSE(CONTROL!$C$28, 0.0003, 0)</f>
        <v>33.448300000000003</v>
      </c>
      <c r="C423" s="4">
        <f>33.1355 * CHOOSE(CONTROL!$C$9, $C$13, 100%, $E$13) + CHOOSE(CONTROL!$C$28, 0.0003, 0)</f>
        <v>33.135800000000003</v>
      </c>
      <c r="D423" s="4">
        <f>39.7764 * CHOOSE(CONTROL!$C$9, $C$13, 100%, $E$13) + CHOOSE(CONTROL!$C$28, 0, 0)</f>
        <v>39.776400000000002</v>
      </c>
      <c r="E423" s="4">
        <f>195.141626216779 * CHOOSE(CONTROL!$C$9, $C$13, 100%, $E$13) + CHOOSE(CONTROL!$C$28, 0, 0)</f>
        <v>195.141626216779</v>
      </c>
    </row>
    <row r="424" spans="1:5" ht="15">
      <c r="A424" s="13">
        <v>54423</v>
      </c>
      <c r="B424" s="4">
        <f>32.9536 * CHOOSE(CONTROL!$C$9, $C$13, 100%, $E$13) + CHOOSE(CONTROL!$C$28, 0.0003, 0)</f>
        <v>32.953900000000004</v>
      </c>
      <c r="C424" s="4">
        <f>32.6411 * CHOOSE(CONTROL!$C$9, $C$13, 100%, $E$13) + CHOOSE(CONTROL!$C$28, 0.0003, 0)</f>
        <v>32.641400000000004</v>
      </c>
      <c r="D424" s="4">
        <f>38.3922 * CHOOSE(CONTROL!$C$9, $C$13, 100%, $E$13) + CHOOSE(CONTROL!$C$28, 0, 0)</f>
        <v>38.392200000000003</v>
      </c>
      <c r="E424" s="4">
        <f>192.085449326708 * CHOOSE(CONTROL!$C$9, $C$13, 100%, $E$13) + CHOOSE(CONTROL!$C$28, 0, 0)</f>
        <v>192.08544932670799</v>
      </c>
    </row>
    <row r="425" spans="1:5" ht="15">
      <c r="A425" s="13">
        <v>54454</v>
      </c>
      <c r="B425" s="4">
        <f>32.1501 * CHOOSE(CONTROL!$C$9, $C$13, 100%, $E$13) + CHOOSE(CONTROL!$C$28, 0.0003, 0)</f>
        <v>32.150400000000005</v>
      </c>
      <c r="C425" s="4">
        <f>31.8376 * CHOOSE(CONTROL!$C$9, $C$13, 100%, $E$13) + CHOOSE(CONTROL!$C$28, 0.0003, 0)</f>
        <v>31.837899999999998</v>
      </c>
      <c r="D425" s="4">
        <f>37.1201 * CHOOSE(CONTROL!$C$9, $C$13, 100%, $E$13) + CHOOSE(CONTROL!$C$28, 0, 0)</f>
        <v>37.120100000000001</v>
      </c>
      <c r="E425" s="4">
        <f>186.577170619433 * CHOOSE(CONTROL!$C$9, $C$13, 100%, $E$13) + CHOOSE(CONTROL!$C$28, 0, 0)</f>
        <v>186.57717061943299</v>
      </c>
    </row>
    <row r="426" spans="1:5" ht="15">
      <c r="A426" s="13">
        <v>54482</v>
      </c>
      <c r="B426" s="4">
        <f>32.869 * CHOOSE(CONTROL!$C$9, $C$13, 100%, $E$13) + CHOOSE(CONTROL!$C$28, 0.0003, 0)</f>
        <v>32.869300000000003</v>
      </c>
      <c r="C426" s="4">
        <f>32.5565 * CHOOSE(CONTROL!$C$9, $C$13, 100%, $E$13) + CHOOSE(CONTROL!$C$28, 0.0003, 0)</f>
        <v>32.556800000000003</v>
      </c>
      <c r="D426" s="4">
        <f>38.4011 * CHOOSE(CONTROL!$C$9, $C$13, 100%, $E$13) + CHOOSE(CONTROL!$C$28, 0, 0)</f>
        <v>38.4011</v>
      </c>
      <c r="E426" s="4">
        <f>191.007247933672 * CHOOSE(CONTROL!$C$9, $C$13, 100%, $E$13) + CHOOSE(CONTROL!$C$28, 0, 0)</f>
        <v>191.00724793367201</v>
      </c>
    </row>
    <row r="427" spans="1:5" ht="15">
      <c r="A427" s="13">
        <v>54513</v>
      </c>
      <c r="B427" s="4">
        <f>34.7567 * CHOOSE(CONTROL!$C$9, $C$13, 100%, $E$13) + CHOOSE(CONTROL!$C$28, 0.0003, 0)</f>
        <v>34.757000000000005</v>
      </c>
      <c r="C427" s="4">
        <f>34.4442 * CHOOSE(CONTROL!$C$9, $C$13, 100%, $E$13) + CHOOSE(CONTROL!$C$28, 0.0003, 0)</f>
        <v>34.444500000000005</v>
      </c>
      <c r="D427" s="4">
        <f>40.4066 * CHOOSE(CONTROL!$C$9, $C$13, 100%, $E$13) + CHOOSE(CONTROL!$C$28, 0, 0)</f>
        <v>40.406599999999997</v>
      </c>
      <c r="E427" s="4">
        <f>202.640866389468 * CHOOSE(CONTROL!$C$9, $C$13, 100%, $E$13) + CHOOSE(CONTROL!$C$28, 0, 0)</f>
        <v>202.64086638946799</v>
      </c>
    </row>
    <row r="428" spans="1:5" ht="15">
      <c r="A428" s="13">
        <v>54543</v>
      </c>
      <c r="B428" s="4">
        <f>36.098 * CHOOSE(CONTROL!$C$9, $C$13, 100%, $E$13) + CHOOSE(CONTROL!$C$28, 0.0003, 0)</f>
        <v>36.098300000000002</v>
      </c>
      <c r="C428" s="4">
        <f>35.7855 * CHOOSE(CONTROL!$C$9, $C$13, 100%, $E$13) + CHOOSE(CONTROL!$C$28, 0.0003, 0)</f>
        <v>35.785800000000002</v>
      </c>
      <c r="D428" s="4">
        <f>41.5618 * CHOOSE(CONTROL!$C$9, $C$13, 100%, $E$13) + CHOOSE(CONTROL!$C$28, 0, 0)</f>
        <v>41.561799999999998</v>
      </c>
      <c r="E428" s="4">
        <f>210.906707340663 * CHOOSE(CONTROL!$C$9, $C$13, 100%, $E$13) + CHOOSE(CONTROL!$C$28, 0, 0)</f>
        <v>210.90670734066299</v>
      </c>
    </row>
    <row r="429" spans="1:5" ht="15">
      <c r="A429" s="13">
        <v>54574</v>
      </c>
      <c r="B429" s="4">
        <f>36.9175 * CHOOSE(CONTROL!$C$9, $C$13, 100%, $E$13) + CHOOSE(CONTROL!$C$28, 0.0202, 0)</f>
        <v>36.9377</v>
      </c>
      <c r="C429" s="4">
        <f>36.605 * CHOOSE(CONTROL!$C$9, $C$13, 100%, $E$13) + CHOOSE(CONTROL!$C$28, 0.0202, 0)</f>
        <v>36.6252</v>
      </c>
      <c r="D429" s="4">
        <f>41.1053 * CHOOSE(CONTROL!$C$9, $C$13, 100%, $E$13) + CHOOSE(CONTROL!$C$28, 0, 0)</f>
        <v>41.1053</v>
      </c>
      <c r="E429" s="4">
        <f>215.956938057283 * CHOOSE(CONTROL!$C$9, $C$13, 100%, $E$13) + CHOOSE(CONTROL!$C$28, 0, 0)</f>
        <v>215.956938057283</v>
      </c>
    </row>
    <row r="430" spans="1:5" ht="15">
      <c r="A430" s="13">
        <v>54604</v>
      </c>
      <c r="B430" s="4">
        <f>37.0284 * CHOOSE(CONTROL!$C$9, $C$13, 100%, $E$13) + CHOOSE(CONTROL!$C$28, 0.0202, 0)</f>
        <v>37.0486</v>
      </c>
      <c r="C430" s="4">
        <f>36.7159 * CHOOSE(CONTROL!$C$9, $C$13, 100%, $E$13) + CHOOSE(CONTROL!$C$28, 0.0202, 0)</f>
        <v>36.7361</v>
      </c>
      <c r="D430" s="4">
        <f>41.477 * CHOOSE(CONTROL!$C$9, $C$13, 100%, $E$13) + CHOOSE(CONTROL!$C$28, 0, 0)</f>
        <v>41.476999999999997</v>
      </c>
      <c r="E430" s="4">
        <f>216.64025523213 * CHOOSE(CONTROL!$C$9, $C$13, 100%, $E$13) + CHOOSE(CONTROL!$C$28, 0, 0)</f>
        <v>216.64025523212999</v>
      </c>
    </row>
    <row r="431" spans="1:5" ht="15">
      <c r="A431" s="13">
        <v>54635</v>
      </c>
      <c r="B431" s="4">
        <f>37.0172 * CHOOSE(CONTROL!$C$9, $C$13, 100%, $E$13) + CHOOSE(CONTROL!$C$28, 0.0202, 0)</f>
        <v>37.037400000000005</v>
      </c>
      <c r="C431" s="4">
        <f>36.7047 * CHOOSE(CONTROL!$C$9, $C$13, 100%, $E$13) + CHOOSE(CONTROL!$C$28, 0.0202, 0)</f>
        <v>36.724900000000005</v>
      </c>
      <c r="D431" s="4">
        <f>42.1478 * CHOOSE(CONTROL!$C$9, $C$13, 100%, $E$13) + CHOOSE(CONTROL!$C$28, 0, 0)</f>
        <v>42.147799999999997</v>
      </c>
      <c r="E431" s="4">
        <f>216.571349298532 * CHOOSE(CONTROL!$C$9, $C$13, 100%, $E$13) + CHOOSE(CONTROL!$C$28, 0, 0)</f>
        <v>216.571349298532</v>
      </c>
    </row>
    <row r="432" spans="1:5" ht="15">
      <c r="A432" s="13">
        <v>54666</v>
      </c>
      <c r="B432" s="4">
        <f>37.8586 * CHOOSE(CONTROL!$C$9, $C$13, 100%, $E$13) + CHOOSE(CONTROL!$C$28, 0.0202, 0)</f>
        <v>37.878800000000005</v>
      </c>
      <c r="C432" s="4">
        <f>37.5461 * CHOOSE(CONTROL!$C$9, $C$13, 100%, $E$13) + CHOOSE(CONTROL!$C$28, 0.0202, 0)</f>
        <v>37.566300000000005</v>
      </c>
      <c r="D432" s="4">
        <f>41.7048 * CHOOSE(CONTROL!$C$9, $C$13, 100%, $E$13) + CHOOSE(CONTROL!$C$28, 0, 0)</f>
        <v>41.704799999999999</v>
      </c>
      <c r="E432" s="4">
        <f>221.756520801782 * CHOOSE(CONTROL!$C$9, $C$13, 100%, $E$13) + CHOOSE(CONTROL!$C$28, 0, 0)</f>
        <v>221.75652080178199</v>
      </c>
    </row>
    <row r="433" spans="1:5" ht="15">
      <c r="A433" s="13">
        <v>54696</v>
      </c>
      <c r="B433" s="4">
        <f>36.4246 * CHOOSE(CONTROL!$C$9, $C$13, 100%, $E$13) + CHOOSE(CONTROL!$C$28, 0.0202, 0)</f>
        <v>36.444800000000001</v>
      </c>
      <c r="C433" s="4">
        <f>36.1121 * CHOOSE(CONTROL!$C$9, $C$13, 100%, $E$13) + CHOOSE(CONTROL!$C$28, 0.0202, 0)</f>
        <v>36.132300000000001</v>
      </c>
      <c r="D433" s="4">
        <f>41.4955 * CHOOSE(CONTROL!$C$9, $C$13, 100%, $E$13) + CHOOSE(CONTROL!$C$28, 0, 0)</f>
        <v>41.4955</v>
      </c>
      <c r="E433" s="4">
        <f>212.919334817838 * CHOOSE(CONTROL!$C$9, $C$13, 100%, $E$13) + CHOOSE(CONTROL!$C$28, 0, 0)</f>
        <v>212.91933481783801</v>
      </c>
    </row>
    <row r="434" spans="1:5" ht="15">
      <c r="A434" s="13">
        <v>54727</v>
      </c>
      <c r="B434" s="4">
        <f>35.2767 * CHOOSE(CONTROL!$C$9, $C$13, 100%, $E$13) + CHOOSE(CONTROL!$C$28, 0.0003, 0)</f>
        <v>35.277000000000001</v>
      </c>
      <c r="C434" s="4">
        <f>34.9642 * CHOOSE(CONTROL!$C$9, $C$13, 100%, $E$13) + CHOOSE(CONTROL!$C$28, 0.0003, 0)</f>
        <v>34.964500000000001</v>
      </c>
      <c r="D434" s="4">
        <f>40.9351 * CHOOSE(CONTROL!$C$9, $C$13, 100%, $E$13) + CHOOSE(CONTROL!$C$28, 0, 0)</f>
        <v>40.935099999999998</v>
      </c>
      <c r="E434" s="4">
        <f>205.844992301776 * CHOOSE(CONTROL!$C$9, $C$13, 100%, $E$13) + CHOOSE(CONTROL!$C$28, 0, 0)</f>
        <v>205.84499230177599</v>
      </c>
    </row>
    <row r="435" spans="1:5" ht="15">
      <c r="A435" s="13">
        <v>54757</v>
      </c>
      <c r="B435" s="4">
        <f>34.5373 * CHOOSE(CONTROL!$C$9, $C$13, 100%, $E$13) + CHOOSE(CONTROL!$C$28, 0.0003, 0)</f>
        <v>34.537600000000005</v>
      </c>
      <c r="C435" s="4">
        <f>34.2248 * CHOOSE(CONTROL!$C$9, $C$13, 100%, $E$13) + CHOOSE(CONTROL!$C$28, 0.0003, 0)</f>
        <v>34.225100000000005</v>
      </c>
      <c r="D435" s="4">
        <f>40.7424 * CHOOSE(CONTROL!$C$9, $C$13, 100%, $E$13) + CHOOSE(CONTROL!$C$28, 0, 0)</f>
        <v>40.742400000000004</v>
      </c>
      <c r="E435" s="4">
        <f>201.288587442608 * CHOOSE(CONTROL!$C$9, $C$13, 100%, $E$13) + CHOOSE(CONTROL!$C$28, 0, 0)</f>
        <v>201.28858744260799</v>
      </c>
    </row>
    <row r="436" spans="1:5" ht="15">
      <c r="A436" s="13">
        <v>54788</v>
      </c>
      <c r="B436" s="4">
        <f>34.0258 * CHOOSE(CONTROL!$C$9, $C$13, 100%, $E$13) + CHOOSE(CONTROL!$C$28, 0.0003, 0)</f>
        <v>34.0261</v>
      </c>
      <c r="C436" s="4">
        <f>33.7133 * CHOOSE(CONTROL!$C$9, $C$13, 100%, $E$13) + CHOOSE(CONTROL!$C$28, 0.0003, 0)</f>
        <v>33.7136</v>
      </c>
      <c r="D436" s="4">
        <f>39.324 * CHOOSE(CONTROL!$C$9, $C$13, 100%, $E$13) + CHOOSE(CONTROL!$C$28, 0, 0)</f>
        <v>39.323999999999998</v>
      </c>
      <c r="E436" s="4">
        <f>198.136140980499 * CHOOSE(CONTROL!$C$9, $C$13, 100%, $E$13) + CHOOSE(CONTROL!$C$28, 0, 0)</f>
        <v>198.13614098049899</v>
      </c>
    </row>
    <row r="437" spans="1:5" ht="15">
      <c r="A437" s="13">
        <v>54819</v>
      </c>
      <c r="B437" s="4">
        <f>33.1946 * CHOOSE(CONTROL!$C$9, $C$13, 100%, $E$13) + CHOOSE(CONTROL!$C$28, 0.0003, 0)</f>
        <v>33.194900000000004</v>
      </c>
      <c r="C437" s="4">
        <f>32.8821 * CHOOSE(CONTROL!$C$9, $C$13, 100%, $E$13) + CHOOSE(CONTROL!$C$28, 0.0003, 0)</f>
        <v>32.882400000000004</v>
      </c>
      <c r="D437" s="4">
        <f>38.0202 * CHOOSE(CONTROL!$C$9, $C$13, 100%, $E$13) + CHOOSE(CONTROL!$C$28, 0, 0)</f>
        <v>38.020200000000003</v>
      </c>
      <c r="E437" s="4">
        <f>192.454351493945 * CHOOSE(CONTROL!$C$9, $C$13, 100%, $E$13) + CHOOSE(CONTROL!$C$28, 0, 0)</f>
        <v>192.45435149394501</v>
      </c>
    </row>
    <row r="438" spans="1:5" ht="15">
      <c r="A438" s="13">
        <v>54847</v>
      </c>
      <c r="B438" s="4">
        <f>33.9383 * CHOOSE(CONTROL!$C$9, $C$13, 100%, $E$13) + CHOOSE(CONTROL!$C$28, 0.0003, 0)</f>
        <v>33.938600000000001</v>
      </c>
      <c r="C438" s="4">
        <f>33.6258 * CHOOSE(CONTROL!$C$9, $C$13, 100%, $E$13) + CHOOSE(CONTROL!$C$28, 0.0003, 0)</f>
        <v>33.626100000000001</v>
      </c>
      <c r="D438" s="4">
        <f>39.3331 * CHOOSE(CONTROL!$C$9, $C$13, 100%, $E$13) + CHOOSE(CONTROL!$C$28, 0, 0)</f>
        <v>39.333100000000002</v>
      </c>
      <c r="E438" s="4">
        <f>197.023976243582 * CHOOSE(CONTROL!$C$9, $C$13, 100%, $E$13) + CHOOSE(CONTROL!$C$28, 0, 0)</f>
        <v>197.02397624358201</v>
      </c>
    </row>
    <row r="439" spans="1:5" ht="15">
      <c r="A439" s="13">
        <v>54878</v>
      </c>
      <c r="B439" s="4">
        <f>35.8912 * CHOOSE(CONTROL!$C$9, $C$13, 100%, $E$13) + CHOOSE(CONTROL!$C$28, 0.0003, 0)</f>
        <v>35.891500000000001</v>
      </c>
      <c r="C439" s="4">
        <f>35.5787 * CHOOSE(CONTROL!$C$9, $C$13, 100%, $E$13) + CHOOSE(CONTROL!$C$28, 0.0003, 0)</f>
        <v>35.579000000000001</v>
      </c>
      <c r="D439" s="4">
        <f>41.3882 * CHOOSE(CONTROL!$C$9, $C$13, 100%, $E$13) + CHOOSE(CONTROL!$C$28, 0, 0)</f>
        <v>41.388199999999998</v>
      </c>
      <c r="E439" s="4">
        <f>209.024053680737 * CHOOSE(CONTROL!$C$9, $C$13, 100%, $E$13) + CHOOSE(CONTROL!$C$28, 0, 0)</f>
        <v>209.02405368073701</v>
      </c>
    </row>
    <row r="440" spans="1:5" ht="15">
      <c r="A440" s="13">
        <v>54908</v>
      </c>
      <c r="B440" s="4">
        <f>37.2787 * CHOOSE(CONTROL!$C$9, $C$13, 100%, $E$13) + CHOOSE(CONTROL!$C$28, 0.0003, 0)</f>
        <v>37.279000000000003</v>
      </c>
      <c r="C440" s="4">
        <f>36.9662 * CHOOSE(CONTROL!$C$9, $C$13, 100%, $E$13) + CHOOSE(CONTROL!$C$28, 0.0003, 0)</f>
        <v>36.966500000000003</v>
      </c>
      <c r="D440" s="4">
        <f>42.5721 * CHOOSE(CONTROL!$C$9, $C$13, 100%, $E$13) + CHOOSE(CONTROL!$C$28, 0, 0)</f>
        <v>42.572099999999999</v>
      </c>
      <c r="E440" s="4">
        <f>217.550268621893 * CHOOSE(CONTROL!$C$9, $C$13, 100%, $E$13) + CHOOSE(CONTROL!$C$28, 0, 0)</f>
        <v>217.550268621893</v>
      </c>
    </row>
    <row r="441" spans="1:5" ht="15">
      <c r="A441" s="13">
        <v>54939</v>
      </c>
      <c r="B441" s="4">
        <f>38.1265 * CHOOSE(CONTROL!$C$9, $C$13, 100%, $E$13) + CHOOSE(CONTROL!$C$28, 0.0202, 0)</f>
        <v>38.146700000000003</v>
      </c>
      <c r="C441" s="4">
        <f>37.814 * CHOOSE(CONTROL!$C$9, $C$13, 100%, $E$13) + CHOOSE(CONTROL!$C$28, 0.0202, 0)</f>
        <v>37.834200000000003</v>
      </c>
      <c r="D441" s="4">
        <f>42.1043 * CHOOSE(CONTROL!$C$9, $C$13, 100%, $E$13) + CHOOSE(CONTROL!$C$28, 0, 0)</f>
        <v>42.104300000000002</v>
      </c>
      <c r="E441" s="4">
        <f>222.759581606087 * CHOOSE(CONTROL!$C$9, $C$13, 100%, $E$13) + CHOOSE(CONTROL!$C$28, 0, 0)</f>
        <v>222.75958160608701</v>
      </c>
    </row>
    <row r="442" spans="1:5" ht="15">
      <c r="A442" s="13">
        <v>54969</v>
      </c>
      <c r="B442" s="4">
        <f>38.2412 * CHOOSE(CONTROL!$C$9, $C$13, 100%, $E$13) + CHOOSE(CONTROL!$C$28, 0.0202, 0)</f>
        <v>38.261400000000002</v>
      </c>
      <c r="C442" s="4">
        <f>37.9287 * CHOOSE(CONTROL!$C$9, $C$13, 100%, $E$13) + CHOOSE(CONTROL!$C$28, 0.0202, 0)</f>
        <v>37.948900000000002</v>
      </c>
      <c r="D442" s="4">
        <f>42.4853 * CHOOSE(CONTROL!$C$9, $C$13, 100%, $E$13) + CHOOSE(CONTROL!$C$28, 0, 0)</f>
        <v>42.485300000000002</v>
      </c>
      <c r="E442" s="4">
        <f>223.464423271942 * CHOOSE(CONTROL!$C$9, $C$13, 100%, $E$13) + CHOOSE(CONTROL!$C$28, 0, 0)</f>
        <v>223.464423271942</v>
      </c>
    </row>
    <row r="443" spans="1:5" ht="15">
      <c r="A443" s="13">
        <v>55000</v>
      </c>
      <c r="B443" s="4">
        <f>38.2296 * CHOOSE(CONTROL!$C$9, $C$13, 100%, $E$13) + CHOOSE(CONTROL!$C$28, 0.0202, 0)</f>
        <v>38.2498</v>
      </c>
      <c r="C443" s="4">
        <f>37.9171 * CHOOSE(CONTROL!$C$9, $C$13, 100%, $E$13) + CHOOSE(CONTROL!$C$28, 0.0202, 0)</f>
        <v>37.9373</v>
      </c>
      <c r="D443" s="4">
        <f>43.1727 * CHOOSE(CONTROL!$C$9, $C$13, 100%, $E$13) + CHOOSE(CONTROL!$C$28, 0, 0)</f>
        <v>43.172699999999999</v>
      </c>
      <c r="E443" s="4">
        <f>223.393346801436 * CHOOSE(CONTROL!$C$9, $C$13, 100%, $E$13) + CHOOSE(CONTROL!$C$28, 0, 0)</f>
        <v>223.393346801436</v>
      </c>
    </row>
    <row r="444" spans="1:5" ht="15">
      <c r="A444" s="13">
        <v>55031</v>
      </c>
      <c r="B444" s="4">
        <f>39.1 * CHOOSE(CONTROL!$C$9, $C$13, 100%, $E$13) + CHOOSE(CONTROL!$C$28, 0.0202, 0)</f>
        <v>39.120200000000004</v>
      </c>
      <c r="C444" s="4">
        <f>38.7875 * CHOOSE(CONTROL!$C$9, $C$13, 100%, $E$13) + CHOOSE(CONTROL!$C$28, 0.0202, 0)</f>
        <v>38.807700000000004</v>
      </c>
      <c r="D444" s="4">
        <f>42.7187 * CHOOSE(CONTROL!$C$9, $C$13, 100%, $E$13) + CHOOSE(CONTROL!$C$28, 0, 0)</f>
        <v>42.718699999999998</v>
      </c>
      <c r="E444" s="4">
        <f>228.741851207038 * CHOOSE(CONTROL!$C$9, $C$13, 100%, $E$13) + CHOOSE(CONTROL!$C$28, 0, 0)</f>
        <v>228.741851207038</v>
      </c>
    </row>
    <row r="445" spans="1:5" ht="15">
      <c r="A445" s="13">
        <v>55061</v>
      </c>
      <c r="B445" s="4">
        <f>37.6165 * CHOOSE(CONTROL!$C$9, $C$13, 100%, $E$13) + CHOOSE(CONTROL!$C$28, 0.0202, 0)</f>
        <v>37.636700000000005</v>
      </c>
      <c r="C445" s="4">
        <f>37.304 * CHOOSE(CONTROL!$C$9, $C$13, 100%, $E$13) + CHOOSE(CONTROL!$C$28, 0.0202, 0)</f>
        <v>37.324200000000005</v>
      </c>
      <c r="D445" s="4">
        <f>42.5042 * CHOOSE(CONTROL!$C$9, $C$13, 100%, $E$13) + CHOOSE(CONTROL!$C$28, 0, 0)</f>
        <v>42.504199999999997</v>
      </c>
      <c r="E445" s="4">
        <f>219.6262938646 * CHOOSE(CONTROL!$C$9, $C$13, 100%, $E$13) + CHOOSE(CONTROL!$C$28, 0, 0)</f>
        <v>219.6262938646</v>
      </c>
    </row>
    <row r="446" spans="1:5" ht="15">
      <c r="A446" s="13">
        <v>55092</v>
      </c>
      <c r="B446" s="4">
        <f>36.429 * CHOOSE(CONTROL!$C$9, $C$13, 100%, $E$13) + CHOOSE(CONTROL!$C$28, 0.0003, 0)</f>
        <v>36.429300000000005</v>
      </c>
      <c r="C446" s="4">
        <f>36.1165 * CHOOSE(CONTROL!$C$9, $C$13, 100%, $E$13) + CHOOSE(CONTROL!$C$28, 0.0003, 0)</f>
        <v>36.116800000000005</v>
      </c>
      <c r="D446" s="4">
        <f>41.9299 * CHOOSE(CONTROL!$C$9, $C$13, 100%, $E$13) + CHOOSE(CONTROL!$C$28, 0, 0)</f>
        <v>41.929900000000004</v>
      </c>
      <c r="E446" s="4">
        <f>212.329109559282 * CHOOSE(CONTROL!$C$9, $C$13, 100%, $E$13) + CHOOSE(CONTROL!$C$28, 0, 0)</f>
        <v>212.32910955928199</v>
      </c>
    </row>
    <row r="447" spans="1:5" ht="15">
      <c r="A447" s="13">
        <v>55122</v>
      </c>
      <c r="B447" s="4">
        <f>35.6642 * CHOOSE(CONTROL!$C$9, $C$13, 100%, $E$13) + CHOOSE(CONTROL!$C$28, 0.0003, 0)</f>
        <v>35.664500000000004</v>
      </c>
      <c r="C447" s="4">
        <f>35.3517 * CHOOSE(CONTROL!$C$9, $C$13, 100%, $E$13) + CHOOSE(CONTROL!$C$28, 0.0003, 0)</f>
        <v>35.352000000000004</v>
      </c>
      <c r="D447" s="4">
        <f>41.7324 * CHOOSE(CONTROL!$C$9, $C$13, 100%, $E$13) + CHOOSE(CONTROL!$C$28, 0, 0)</f>
        <v>41.732399999999998</v>
      </c>
      <c r="E447" s="4">
        <f>207.62917794705 * CHOOSE(CONTROL!$C$9, $C$13, 100%, $E$13) + CHOOSE(CONTROL!$C$28, 0, 0)</f>
        <v>207.62917794705001</v>
      </c>
    </row>
    <row r="448" spans="1:5" ht="15">
      <c r="A448" s="13">
        <v>55153</v>
      </c>
      <c r="B448" s="4">
        <f>35.135 * CHOOSE(CONTROL!$C$9, $C$13, 100%, $E$13) + CHOOSE(CONTROL!$C$28, 0.0003, 0)</f>
        <v>35.135300000000001</v>
      </c>
      <c r="C448" s="4">
        <f>34.8225 * CHOOSE(CONTROL!$C$9, $C$13, 100%, $E$13) + CHOOSE(CONTROL!$C$28, 0.0003, 0)</f>
        <v>34.822800000000001</v>
      </c>
      <c r="D448" s="4">
        <f>40.2788 * CHOOSE(CONTROL!$C$9, $C$13, 100%, $E$13) + CHOOSE(CONTROL!$C$28, 0, 0)</f>
        <v>40.278799999999997</v>
      </c>
      <c r="E448" s="4">
        <f>204.377429421385 * CHOOSE(CONTROL!$C$9, $C$13, 100%, $E$13) + CHOOSE(CONTROL!$C$28, 0, 0)</f>
        <v>204.37742942138499</v>
      </c>
    </row>
    <row r="449" spans="1:5" ht="15">
      <c r="A449" s="13">
        <v>55184</v>
      </c>
      <c r="B449" s="4">
        <f>34.2752 * CHOOSE(CONTROL!$C$9, $C$13, 100%, $E$13) + CHOOSE(CONTROL!$C$28, 0.0003, 0)</f>
        <v>34.275500000000001</v>
      </c>
      <c r="C449" s="4">
        <f>33.9627 * CHOOSE(CONTROL!$C$9, $C$13, 100%, $E$13) + CHOOSE(CONTROL!$C$28, 0.0003, 0)</f>
        <v>33.963000000000001</v>
      </c>
      <c r="D449" s="4">
        <f>38.9427 * CHOOSE(CONTROL!$C$9, $C$13, 100%, $E$13) + CHOOSE(CONTROL!$C$28, 0, 0)</f>
        <v>38.942700000000002</v>
      </c>
      <c r="E449" s="4">
        <f>198.516663566005 * CHOOSE(CONTROL!$C$9, $C$13, 100%, $E$13) + CHOOSE(CONTROL!$C$28, 0, 0)</f>
        <v>198.51666356600501</v>
      </c>
    </row>
    <row r="450" spans="1:5" ht="15">
      <c r="A450" s="13">
        <v>55212</v>
      </c>
      <c r="B450" s="4">
        <f>35.0445 * CHOOSE(CONTROL!$C$9, $C$13, 100%, $E$13) + CHOOSE(CONTROL!$C$28, 0.0003, 0)</f>
        <v>35.044800000000002</v>
      </c>
      <c r="C450" s="4">
        <f>34.732 * CHOOSE(CONTROL!$C$9, $C$13, 100%, $E$13) + CHOOSE(CONTROL!$C$28, 0.0003, 0)</f>
        <v>34.732300000000002</v>
      </c>
      <c r="D450" s="4">
        <f>40.2881 * CHOOSE(CONTROL!$C$9, $C$13, 100%, $E$13) + CHOOSE(CONTROL!$C$28, 0, 0)</f>
        <v>40.2881</v>
      </c>
      <c r="E450" s="4">
        <f>203.230231495255 * CHOOSE(CONTROL!$C$9, $C$13, 100%, $E$13) + CHOOSE(CONTROL!$C$28, 0, 0)</f>
        <v>203.230231495255</v>
      </c>
    </row>
    <row r="451" spans="1:5" ht="15">
      <c r="A451" s="13">
        <v>55243</v>
      </c>
      <c r="B451" s="4">
        <f>37.0647 * CHOOSE(CONTROL!$C$9, $C$13, 100%, $E$13) + CHOOSE(CONTROL!$C$28, 0.0003, 0)</f>
        <v>37.065000000000005</v>
      </c>
      <c r="C451" s="4">
        <f>36.7522 * CHOOSE(CONTROL!$C$9, $C$13, 100%, $E$13) + CHOOSE(CONTROL!$C$28, 0.0003, 0)</f>
        <v>36.752500000000005</v>
      </c>
      <c r="D451" s="4">
        <f>42.3943 * CHOOSE(CONTROL!$C$9, $C$13, 100%, $E$13) + CHOOSE(CONTROL!$C$28, 0, 0)</f>
        <v>42.394300000000001</v>
      </c>
      <c r="E451" s="4">
        <f>215.60831137168 * CHOOSE(CONTROL!$C$9, $C$13, 100%, $E$13) + CHOOSE(CONTROL!$C$28, 0, 0)</f>
        <v>215.60831137168</v>
      </c>
    </row>
    <row r="452" spans="1:5" ht="15">
      <c r="A452" s="13">
        <v>55273</v>
      </c>
      <c r="B452" s="4">
        <f>38.5001 * CHOOSE(CONTROL!$C$9, $C$13, 100%, $E$13) + CHOOSE(CONTROL!$C$28, 0.0003, 0)</f>
        <v>38.500400000000006</v>
      </c>
      <c r="C452" s="4">
        <f>38.1876 * CHOOSE(CONTROL!$C$9, $C$13, 100%, $E$13) + CHOOSE(CONTROL!$C$28, 0.0003, 0)</f>
        <v>38.187900000000006</v>
      </c>
      <c r="D452" s="4">
        <f>43.6075 * CHOOSE(CONTROL!$C$9, $C$13, 100%, $E$13) + CHOOSE(CONTROL!$C$28, 0, 0)</f>
        <v>43.607500000000002</v>
      </c>
      <c r="E452" s="4">
        <f>224.403102083483 * CHOOSE(CONTROL!$C$9, $C$13, 100%, $E$13) + CHOOSE(CONTROL!$C$28, 0, 0)</f>
        <v>224.40310208348299</v>
      </c>
    </row>
    <row r="453" spans="1:5" ht="15">
      <c r="A453" s="13">
        <v>55304</v>
      </c>
      <c r="B453" s="4">
        <f>39.3771 * CHOOSE(CONTROL!$C$9, $C$13, 100%, $E$13) + CHOOSE(CONTROL!$C$28, 0.0202, 0)</f>
        <v>39.397300000000001</v>
      </c>
      <c r="C453" s="4">
        <f>39.0646 * CHOOSE(CONTROL!$C$9, $C$13, 100%, $E$13) + CHOOSE(CONTROL!$C$28, 0.0202, 0)</f>
        <v>39.084800000000001</v>
      </c>
      <c r="D453" s="4">
        <f>43.1281 * CHOOSE(CONTROL!$C$9, $C$13, 100%, $E$13) + CHOOSE(CONTROL!$C$28, 0, 0)</f>
        <v>43.128100000000003</v>
      </c>
      <c r="E453" s="4">
        <f>229.776508426679 * CHOOSE(CONTROL!$C$9, $C$13, 100%, $E$13) + CHOOSE(CONTROL!$C$28, 0, 0)</f>
        <v>229.77650842667899</v>
      </c>
    </row>
    <row r="454" spans="1:5" ht="15">
      <c r="A454" s="13">
        <v>55334</v>
      </c>
      <c r="B454" s="4">
        <f>39.4958 * CHOOSE(CONTROL!$C$9, $C$13, 100%, $E$13) + CHOOSE(CONTROL!$C$28, 0.0202, 0)</f>
        <v>39.516000000000005</v>
      </c>
      <c r="C454" s="4">
        <f>39.1833 * CHOOSE(CONTROL!$C$9, $C$13, 100%, $E$13) + CHOOSE(CONTROL!$C$28, 0.0202, 0)</f>
        <v>39.203500000000005</v>
      </c>
      <c r="D454" s="4">
        <f>43.5185 * CHOOSE(CONTROL!$C$9, $C$13, 100%, $E$13) + CHOOSE(CONTROL!$C$28, 0, 0)</f>
        <v>43.518500000000003</v>
      </c>
      <c r="E454" s="4">
        <f>230.503552605008 * CHOOSE(CONTROL!$C$9, $C$13, 100%, $E$13) + CHOOSE(CONTROL!$C$28, 0, 0)</f>
        <v>230.503552605008</v>
      </c>
    </row>
    <row r="455" spans="1:5" ht="15">
      <c r="A455" s="13">
        <v>55365</v>
      </c>
      <c r="B455" s="4">
        <f>39.4838 * CHOOSE(CONTROL!$C$9, $C$13, 100%, $E$13) + CHOOSE(CONTROL!$C$28, 0.0202, 0)</f>
        <v>39.504000000000005</v>
      </c>
      <c r="C455" s="4">
        <f>39.1713 * CHOOSE(CONTROL!$C$9, $C$13, 100%, $E$13) + CHOOSE(CONTROL!$C$28, 0.0202, 0)</f>
        <v>39.191500000000005</v>
      </c>
      <c r="D455" s="4">
        <f>44.223 * CHOOSE(CONTROL!$C$9, $C$13, 100%, $E$13) + CHOOSE(CONTROL!$C$28, 0, 0)</f>
        <v>44.222999999999999</v>
      </c>
      <c r="E455" s="4">
        <f>230.430237225681 * CHOOSE(CONTROL!$C$9, $C$13, 100%, $E$13) + CHOOSE(CONTROL!$C$28, 0, 0)</f>
        <v>230.430237225681</v>
      </c>
    </row>
    <row r="456" spans="1:5" ht="15">
      <c r="A456" s="13">
        <v>55396</v>
      </c>
      <c r="B456" s="4">
        <f>40.3843 * CHOOSE(CONTROL!$C$9, $C$13, 100%, $E$13) + CHOOSE(CONTROL!$C$28, 0.0202, 0)</f>
        <v>40.404500000000006</v>
      </c>
      <c r="C456" s="4">
        <f>40.0718 * CHOOSE(CONTROL!$C$9, $C$13, 100%, $E$13) + CHOOSE(CONTROL!$C$28, 0.0202, 0)</f>
        <v>40.092000000000006</v>
      </c>
      <c r="D456" s="4">
        <f>43.7577 * CHOOSE(CONTROL!$C$9, $C$13, 100%, $E$13) + CHOOSE(CONTROL!$C$28, 0, 0)</f>
        <v>43.7577</v>
      </c>
      <c r="E456" s="4">
        <f>235.94721952006 * CHOOSE(CONTROL!$C$9, $C$13, 100%, $E$13) + CHOOSE(CONTROL!$C$28, 0, 0)</f>
        <v>235.94721952006</v>
      </c>
    </row>
    <row r="457" spans="1:5" ht="15">
      <c r="A457" s="13">
        <v>55426</v>
      </c>
      <c r="B457" s="4">
        <f>38.8496 * CHOOSE(CONTROL!$C$9, $C$13, 100%, $E$13) + CHOOSE(CONTROL!$C$28, 0.0202, 0)</f>
        <v>38.869800000000005</v>
      </c>
      <c r="C457" s="4">
        <f>38.5371 * CHOOSE(CONTROL!$C$9, $C$13, 100%, $E$13) + CHOOSE(CONTROL!$C$28, 0.0202, 0)</f>
        <v>38.557300000000005</v>
      </c>
      <c r="D457" s="4">
        <f>43.5379 * CHOOSE(CONTROL!$C$9, $C$13, 100%, $E$13) + CHOOSE(CONTROL!$C$28, 0, 0)</f>
        <v>43.5379</v>
      </c>
      <c r="E457" s="4">
        <f>226.544522121334 * CHOOSE(CONTROL!$C$9, $C$13, 100%, $E$13) + CHOOSE(CONTROL!$C$28, 0, 0)</f>
        <v>226.54452212133401</v>
      </c>
    </row>
    <row r="458" spans="1:5" ht="15">
      <c r="A458" s="13">
        <v>55457</v>
      </c>
      <c r="B458" s="4">
        <f>37.6211 * CHOOSE(CONTROL!$C$9, $C$13, 100%, $E$13) + CHOOSE(CONTROL!$C$28, 0.0003, 0)</f>
        <v>37.621400000000001</v>
      </c>
      <c r="C458" s="4">
        <f>37.3086 * CHOOSE(CONTROL!$C$9, $C$13, 100%, $E$13) + CHOOSE(CONTROL!$C$28, 0.0003, 0)</f>
        <v>37.308900000000001</v>
      </c>
      <c r="D458" s="4">
        <f>42.9494 * CHOOSE(CONTROL!$C$9, $C$13, 100%, $E$13) + CHOOSE(CONTROL!$C$28, 0, 0)</f>
        <v>42.949399999999997</v>
      </c>
      <c r="E458" s="4">
        <f>219.017476510399 * CHOOSE(CONTROL!$C$9, $C$13, 100%, $E$13) + CHOOSE(CONTROL!$C$28, 0, 0)</f>
        <v>219.01747651039901</v>
      </c>
    </row>
    <row r="459" spans="1:5" ht="15">
      <c r="A459" s="13">
        <v>55487</v>
      </c>
      <c r="B459" s="4">
        <f>36.8299 * CHOOSE(CONTROL!$C$9, $C$13, 100%, $E$13) + CHOOSE(CONTROL!$C$28, 0.0003, 0)</f>
        <v>36.830200000000005</v>
      </c>
      <c r="C459" s="4">
        <f>36.5174 * CHOOSE(CONTROL!$C$9, $C$13, 100%, $E$13) + CHOOSE(CONTROL!$C$28, 0.0003, 0)</f>
        <v>36.517700000000005</v>
      </c>
      <c r="D459" s="4">
        <f>42.747 * CHOOSE(CONTROL!$C$9, $C$13, 100%, $E$13) + CHOOSE(CONTROL!$C$28, 0, 0)</f>
        <v>42.747</v>
      </c>
      <c r="E459" s="4">
        <f>214.169497052382 * CHOOSE(CONTROL!$C$9, $C$13, 100%, $E$13) + CHOOSE(CONTROL!$C$28, 0, 0)</f>
        <v>214.16949705238201</v>
      </c>
    </row>
    <row r="460" spans="1:5" ht="15">
      <c r="A460" s="13">
        <v>55518</v>
      </c>
      <c r="B460" s="4">
        <f>36.2824 * CHOOSE(CONTROL!$C$9, $C$13, 100%, $E$13) + CHOOSE(CONTROL!$C$28, 0.0003, 0)</f>
        <v>36.282700000000006</v>
      </c>
      <c r="C460" s="4">
        <f>35.9699 * CHOOSE(CONTROL!$C$9, $C$13, 100%, $E$13) + CHOOSE(CONTROL!$C$28, 0.0003, 0)</f>
        <v>35.970200000000006</v>
      </c>
      <c r="D460" s="4">
        <f>41.2573 * CHOOSE(CONTROL!$C$9, $C$13, 100%, $E$13) + CHOOSE(CONTROL!$C$28, 0, 0)</f>
        <v>41.257300000000001</v>
      </c>
      <c r="E460" s="4">
        <f>210.815318448158 * CHOOSE(CONTROL!$C$9, $C$13, 100%, $E$13) + CHOOSE(CONTROL!$C$28, 0, 0)</f>
        <v>210.815318448158</v>
      </c>
    </row>
    <row r="461" spans="1:5" ht="15">
      <c r="A461" s="13">
        <v>55549</v>
      </c>
      <c r="B461" s="4">
        <f>35.393 * CHOOSE(CONTROL!$C$9, $C$13, 100%, $E$13) + CHOOSE(CONTROL!$C$28, 0.0003, 0)</f>
        <v>35.393300000000004</v>
      </c>
      <c r="C461" s="4">
        <f>35.0805 * CHOOSE(CONTROL!$C$9, $C$13, 100%, $E$13) + CHOOSE(CONTROL!$C$28, 0.0003, 0)</f>
        <v>35.080800000000004</v>
      </c>
      <c r="D461" s="4">
        <f>39.8881 * CHOOSE(CONTROL!$C$9, $C$13, 100%, $E$13) + CHOOSE(CONTROL!$C$28, 0, 0)</f>
        <v>39.888100000000001</v>
      </c>
      <c r="E461" s="4">
        <f>204.769938468334 * CHOOSE(CONTROL!$C$9, $C$13, 100%, $E$13) + CHOOSE(CONTROL!$C$28, 0, 0)</f>
        <v>204.769938468334</v>
      </c>
    </row>
    <row r="462" spans="1:5" ht="15">
      <c r="A462" s="13">
        <v>55577</v>
      </c>
      <c r="B462" s="4">
        <f>36.1888 * CHOOSE(CONTROL!$C$9, $C$13, 100%, $E$13) + CHOOSE(CONTROL!$C$28, 0.0003, 0)</f>
        <v>36.189100000000003</v>
      </c>
      <c r="C462" s="4">
        <f>35.8763 * CHOOSE(CONTROL!$C$9, $C$13, 100%, $E$13) + CHOOSE(CONTROL!$C$28, 0.0003, 0)</f>
        <v>35.876600000000003</v>
      </c>
      <c r="D462" s="4">
        <f>41.2669 * CHOOSE(CONTROL!$C$9, $C$13, 100%, $E$13) + CHOOSE(CONTROL!$C$28, 0, 0)</f>
        <v>41.2669</v>
      </c>
      <c r="E462" s="4">
        <f>209.631983787356 * CHOOSE(CONTROL!$C$9, $C$13, 100%, $E$13) + CHOOSE(CONTROL!$C$28, 0, 0)</f>
        <v>209.63198378735601</v>
      </c>
    </row>
    <row r="463" spans="1:5" ht="15">
      <c r="A463" s="13">
        <v>55609</v>
      </c>
      <c r="B463" s="4">
        <f>38.2788 * CHOOSE(CONTROL!$C$9, $C$13, 100%, $E$13) + CHOOSE(CONTROL!$C$28, 0.0003, 0)</f>
        <v>38.2791</v>
      </c>
      <c r="C463" s="4">
        <f>37.9663 * CHOOSE(CONTROL!$C$9, $C$13, 100%, $E$13) + CHOOSE(CONTROL!$C$28, 0.0003, 0)</f>
        <v>37.9666</v>
      </c>
      <c r="D463" s="4">
        <f>43.4252 * CHOOSE(CONTROL!$C$9, $C$13, 100%, $E$13) + CHOOSE(CONTROL!$C$28, 0, 0)</f>
        <v>43.425199999999997</v>
      </c>
      <c r="E463" s="4">
        <f>222.399973179888 * CHOOSE(CONTROL!$C$9, $C$13, 100%, $E$13) + CHOOSE(CONTROL!$C$28, 0, 0)</f>
        <v>222.39997317988801</v>
      </c>
    </row>
    <row r="464" spans="1:5" ht="15">
      <c r="A464" s="13">
        <v>55639</v>
      </c>
      <c r="B464" s="4">
        <f>39.7637 * CHOOSE(CONTROL!$C$9, $C$13, 100%, $E$13) + CHOOSE(CONTROL!$C$28, 0.0003, 0)</f>
        <v>39.764000000000003</v>
      </c>
      <c r="C464" s="4">
        <f>39.4512 * CHOOSE(CONTROL!$C$9, $C$13, 100%, $E$13) + CHOOSE(CONTROL!$C$28, 0.0003, 0)</f>
        <v>39.451500000000003</v>
      </c>
      <c r="D464" s="4">
        <f>44.6685 * CHOOSE(CONTROL!$C$9, $C$13, 100%, $E$13) + CHOOSE(CONTROL!$C$28, 0, 0)</f>
        <v>44.668500000000002</v>
      </c>
      <c r="E464" s="4">
        <f>231.471799799113 * CHOOSE(CONTROL!$C$9, $C$13, 100%, $E$13) + CHOOSE(CONTROL!$C$28, 0, 0)</f>
        <v>231.471799799113</v>
      </c>
    </row>
    <row r="465" spans="1:5" ht="15">
      <c r="A465" s="13">
        <v>55670</v>
      </c>
      <c r="B465" s="4">
        <f>40.671 * CHOOSE(CONTROL!$C$9, $C$13, 100%, $E$13) + CHOOSE(CONTROL!$C$28, 0.0202, 0)</f>
        <v>40.691200000000002</v>
      </c>
      <c r="C465" s="4">
        <f>40.3585 * CHOOSE(CONTROL!$C$9, $C$13, 100%, $E$13) + CHOOSE(CONTROL!$C$28, 0.0202, 0)</f>
        <v>40.378700000000002</v>
      </c>
      <c r="D465" s="4">
        <f>44.1772 * CHOOSE(CONTROL!$C$9, $C$13, 100%, $E$13) + CHOOSE(CONTROL!$C$28, 0, 0)</f>
        <v>44.177199999999999</v>
      </c>
      <c r="E465" s="4">
        <f>237.01446844212 * CHOOSE(CONTROL!$C$9, $C$13, 100%, $E$13) + CHOOSE(CONTROL!$C$28, 0, 0)</f>
        <v>237.01446844212001</v>
      </c>
    </row>
    <row r="466" spans="1:5" ht="15">
      <c r="A466" s="13">
        <v>55700</v>
      </c>
      <c r="B466" s="4">
        <f>40.7937 * CHOOSE(CONTROL!$C$9, $C$13, 100%, $E$13) + CHOOSE(CONTROL!$C$28, 0.0202, 0)</f>
        <v>40.813900000000004</v>
      </c>
      <c r="C466" s="4">
        <f>40.4812 * CHOOSE(CONTROL!$C$9, $C$13, 100%, $E$13) + CHOOSE(CONTROL!$C$28, 0.0202, 0)</f>
        <v>40.501400000000004</v>
      </c>
      <c r="D466" s="4">
        <f>44.5774 * CHOOSE(CONTROL!$C$9, $C$13, 100%, $E$13) + CHOOSE(CONTROL!$C$28, 0, 0)</f>
        <v>44.577399999999997</v>
      </c>
      <c r="E466" s="4">
        <f>237.764414512066 * CHOOSE(CONTROL!$C$9, $C$13, 100%, $E$13) + CHOOSE(CONTROL!$C$28, 0, 0)</f>
        <v>237.764414512066</v>
      </c>
    </row>
    <row r="467" spans="1:5" ht="15">
      <c r="A467" s="13">
        <v>55731</v>
      </c>
      <c r="B467" s="4">
        <f>40.7813 * CHOOSE(CONTROL!$C$9, $C$13, 100%, $E$13) + CHOOSE(CONTROL!$C$28, 0.0202, 0)</f>
        <v>40.801500000000004</v>
      </c>
      <c r="C467" s="4">
        <f>40.4688 * CHOOSE(CONTROL!$C$9, $C$13, 100%, $E$13) + CHOOSE(CONTROL!$C$28, 0.0202, 0)</f>
        <v>40.489000000000004</v>
      </c>
      <c r="D467" s="4">
        <f>45.2993 * CHOOSE(CONTROL!$C$9, $C$13, 100%, $E$13) + CHOOSE(CONTROL!$C$28, 0, 0)</f>
        <v>45.299300000000002</v>
      </c>
      <c r="E467" s="4">
        <f>237.68878969829 * CHOOSE(CONTROL!$C$9, $C$13, 100%, $E$13) + CHOOSE(CONTROL!$C$28, 0, 0)</f>
        <v>237.68878969829001</v>
      </c>
    </row>
    <row r="468" spans="1:5" ht="15">
      <c r="A468" s="13">
        <v>55762</v>
      </c>
      <c r="B468" s="4">
        <f>41.7128 * CHOOSE(CONTROL!$C$9, $C$13, 100%, $E$13) + CHOOSE(CONTROL!$C$28, 0.0202, 0)</f>
        <v>41.733000000000004</v>
      </c>
      <c r="C468" s="4">
        <f>41.4003 * CHOOSE(CONTROL!$C$9, $C$13, 100%, $E$13) + CHOOSE(CONTROL!$C$28, 0.0202, 0)</f>
        <v>41.420500000000004</v>
      </c>
      <c r="D468" s="4">
        <f>44.8225 * CHOOSE(CONTROL!$C$9, $C$13, 100%, $E$13) + CHOOSE(CONTROL!$C$28, 0, 0)</f>
        <v>44.822499999999998</v>
      </c>
      <c r="E468" s="4">
        <f>243.379556934942 * CHOOSE(CONTROL!$C$9, $C$13, 100%, $E$13) + CHOOSE(CONTROL!$C$28, 0, 0)</f>
        <v>243.379556934942</v>
      </c>
    </row>
    <row r="469" spans="1:5" ht="15">
      <c r="A469" s="13">
        <v>55792</v>
      </c>
      <c r="B469" s="4">
        <f>40.1253 * CHOOSE(CONTROL!$C$9, $C$13, 100%, $E$13) + CHOOSE(CONTROL!$C$28, 0.0202, 0)</f>
        <v>40.145500000000006</v>
      </c>
      <c r="C469" s="4">
        <f>39.8128 * CHOOSE(CONTROL!$C$9, $C$13, 100%, $E$13) + CHOOSE(CONTROL!$C$28, 0.0202, 0)</f>
        <v>39.833000000000006</v>
      </c>
      <c r="D469" s="4">
        <f>44.5973 * CHOOSE(CONTROL!$C$9, $C$13, 100%, $E$13) + CHOOSE(CONTROL!$C$28, 0, 0)</f>
        <v>44.597299999999997</v>
      </c>
      <c r="E469" s="4">
        <f>233.680674568157 * CHOOSE(CONTROL!$C$9, $C$13, 100%, $E$13) + CHOOSE(CONTROL!$C$28, 0, 0)</f>
        <v>233.680674568157</v>
      </c>
    </row>
    <row r="470" spans="1:5" ht="15">
      <c r="A470" s="13">
        <v>55823</v>
      </c>
      <c r="B470" s="4">
        <f>38.8544 * CHOOSE(CONTROL!$C$9, $C$13, 100%, $E$13) + CHOOSE(CONTROL!$C$28, 0.0003, 0)</f>
        <v>38.854700000000001</v>
      </c>
      <c r="C470" s="4">
        <f>38.5419 * CHOOSE(CONTROL!$C$9, $C$13, 100%, $E$13) + CHOOSE(CONTROL!$C$28, 0.0003, 0)</f>
        <v>38.542200000000001</v>
      </c>
      <c r="D470" s="4">
        <f>43.9941 * CHOOSE(CONTROL!$C$9, $C$13, 100%, $E$13) + CHOOSE(CONTROL!$C$28, 0, 0)</f>
        <v>43.994100000000003</v>
      </c>
      <c r="E470" s="4">
        <f>225.916527020477 * CHOOSE(CONTROL!$C$9, $C$13, 100%, $E$13) + CHOOSE(CONTROL!$C$28, 0, 0)</f>
        <v>225.91652702047699</v>
      </c>
    </row>
    <row r="471" spans="1:5" ht="15">
      <c r="A471" s="13">
        <v>55853</v>
      </c>
      <c r="B471" s="4">
        <f>38.0358 * CHOOSE(CONTROL!$C$9, $C$13, 100%, $E$13) + CHOOSE(CONTROL!$C$28, 0.0003, 0)</f>
        <v>38.036100000000005</v>
      </c>
      <c r="C471" s="4">
        <f>37.7233 * CHOOSE(CONTROL!$C$9, $C$13, 100%, $E$13) + CHOOSE(CONTROL!$C$28, 0.0003, 0)</f>
        <v>37.723600000000005</v>
      </c>
      <c r="D471" s="4">
        <f>43.7867 * CHOOSE(CONTROL!$C$9, $C$13, 100%, $E$13) + CHOOSE(CONTROL!$C$28, 0, 0)</f>
        <v>43.786700000000003</v>
      </c>
      <c r="E471" s="4">
        <f>220.915836209532 * CHOOSE(CONTROL!$C$9, $C$13, 100%, $E$13) + CHOOSE(CONTROL!$C$28, 0, 0)</f>
        <v>220.91583620953199</v>
      </c>
    </row>
    <row r="472" spans="1:5" ht="15">
      <c r="A472" s="13">
        <v>55884</v>
      </c>
      <c r="B472" s="4">
        <f>37.4695 * CHOOSE(CONTROL!$C$9, $C$13, 100%, $E$13) + CHOOSE(CONTROL!$C$28, 0.0003, 0)</f>
        <v>37.469799999999999</v>
      </c>
      <c r="C472" s="4">
        <f>37.157 * CHOOSE(CONTROL!$C$9, $C$13, 100%, $E$13) + CHOOSE(CONTROL!$C$28, 0.0003, 0)</f>
        <v>37.157299999999999</v>
      </c>
      <c r="D472" s="4">
        <f>42.2601 * CHOOSE(CONTROL!$C$9, $C$13, 100%, $E$13) + CHOOSE(CONTROL!$C$28, 0, 0)</f>
        <v>42.260100000000001</v>
      </c>
      <c r="E472" s="4">
        <f>217.456000979275 * CHOOSE(CONTROL!$C$9, $C$13, 100%, $E$13) + CHOOSE(CONTROL!$C$28, 0, 0)</f>
        <v>217.45600097927499</v>
      </c>
    </row>
    <row r="473" spans="1:5" ht="15">
      <c r="A473" s="13">
        <v>55915</v>
      </c>
      <c r="B473" s="4">
        <f>36.5493 * CHOOSE(CONTROL!$C$9, $C$13, 100%, $E$13) + CHOOSE(CONTROL!$C$28, 0.0003, 0)</f>
        <v>36.549600000000005</v>
      </c>
      <c r="C473" s="4">
        <f>36.2368 * CHOOSE(CONTROL!$C$9, $C$13, 100%, $E$13) + CHOOSE(CONTROL!$C$28, 0.0003, 0)</f>
        <v>36.237100000000005</v>
      </c>
      <c r="D473" s="4">
        <f>40.8569 * CHOOSE(CONTROL!$C$9, $C$13, 100%, $E$13) + CHOOSE(CONTROL!$C$28, 0, 0)</f>
        <v>40.856900000000003</v>
      </c>
      <c r="E473" s="4">
        <f>211.220191530086 * CHOOSE(CONTROL!$C$9, $C$13, 100%, $E$13) + CHOOSE(CONTROL!$C$28, 0, 0)</f>
        <v>211.220191530086</v>
      </c>
    </row>
    <row r="474" spans="1:5" ht="15">
      <c r="A474" s="13">
        <v>55943</v>
      </c>
      <c r="B474" s="4">
        <f>37.3726 * CHOOSE(CONTROL!$C$9, $C$13, 100%, $E$13) + CHOOSE(CONTROL!$C$28, 0.0003, 0)</f>
        <v>37.372900000000001</v>
      </c>
      <c r="C474" s="4">
        <f>37.0601 * CHOOSE(CONTROL!$C$9, $C$13, 100%, $E$13) + CHOOSE(CONTROL!$C$28, 0.0003, 0)</f>
        <v>37.060400000000001</v>
      </c>
      <c r="D474" s="4">
        <f>42.2699 * CHOOSE(CONTROL!$C$9, $C$13, 100%, $E$13) + CHOOSE(CONTROL!$C$28, 0, 0)</f>
        <v>42.2699</v>
      </c>
      <c r="E474" s="4">
        <f>216.235391276658 * CHOOSE(CONTROL!$C$9, $C$13, 100%, $E$13) + CHOOSE(CONTROL!$C$28, 0, 0)</f>
        <v>216.23539127665799</v>
      </c>
    </row>
    <row r="475" spans="1:5" ht="15">
      <c r="A475" s="13">
        <v>55974</v>
      </c>
      <c r="B475" s="4">
        <f>39.5347 * CHOOSE(CONTROL!$C$9, $C$13, 100%, $E$13) + CHOOSE(CONTROL!$C$28, 0.0003, 0)</f>
        <v>39.535000000000004</v>
      </c>
      <c r="C475" s="4">
        <f>39.2222 * CHOOSE(CONTROL!$C$9, $C$13, 100%, $E$13) + CHOOSE(CONTROL!$C$28, 0.0003, 0)</f>
        <v>39.222500000000004</v>
      </c>
      <c r="D475" s="4">
        <f>44.4818 * CHOOSE(CONTROL!$C$9, $C$13, 100%, $E$13) + CHOOSE(CONTROL!$C$28, 0, 0)</f>
        <v>44.4818</v>
      </c>
      <c r="E475" s="4">
        <f>229.405572335054 * CHOOSE(CONTROL!$C$9, $C$13, 100%, $E$13) + CHOOSE(CONTROL!$C$28, 0, 0)</f>
        <v>229.40557233505399</v>
      </c>
    </row>
    <row r="476" spans="1:5" ht="15">
      <c r="A476" s="13">
        <v>56004</v>
      </c>
      <c r="B476" s="4">
        <f>41.0709 * CHOOSE(CONTROL!$C$9, $C$13, 100%, $E$13) + CHOOSE(CONTROL!$C$28, 0.0003, 0)</f>
        <v>41.071200000000005</v>
      </c>
      <c r="C476" s="4">
        <f>40.7584 * CHOOSE(CONTROL!$C$9, $C$13, 100%, $E$13) + CHOOSE(CONTROL!$C$28, 0.0003, 0)</f>
        <v>40.758700000000005</v>
      </c>
      <c r="D476" s="4">
        <f>45.7559 * CHOOSE(CONTROL!$C$9, $C$13, 100%, $E$13) + CHOOSE(CONTROL!$C$28, 0, 0)</f>
        <v>45.755899999999997</v>
      </c>
      <c r="E476" s="4">
        <f>238.763161492785 * CHOOSE(CONTROL!$C$9, $C$13, 100%, $E$13) + CHOOSE(CONTROL!$C$28, 0, 0)</f>
        <v>238.763161492785</v>
      </c>
    </row>
    <row r="477" spans="1:5" ht="15">
      <c r="A477" s="13">
        <v>56035</v>
      </c>
      <c r="B477" s="4">
        <f>42.0094 * CHOOSE(CONTROL!$C$9, $C$13, 100%, $E$13) + CHOOSE(CONTROL!$C$28, 0.0202, 0)</f>
        <v>42.029600000000002</v>
      </c>
      <c r="C477" s="4">
        <f>41.6969 * CHOOSE(CONTROL!$C$9, $C$13, 100%, $E$13) + CHOOSE(CONTROL!$C$28, 0.0202, 0)</f>
        <v>41.717100000000002</v>
      </c>
      <c r="D477" s="4">
        <f>45.2524 * CHOOSE(CONTROL!$C$9, $C$13, 100%, $E$13) + CHOOSE(CONTROL!$C$28, 0, 0)</f>
        <v>45.252400000000002</v>
      </c>
      <c r="E477" s="4">
        <f>244.480424198046 * CHOOSE(CONTROL!$C$9, $C$13, 100%, $E$13) + CHOOSE(CONTROL!$C$28, 0, 0)</f>
        <v>244.48042419804599</v>
      </c>
    </row>
    <row r="478" spans="1:5" ht="15">
      <c r="A478" s="13">
        <v>56065</v>
      </c>
      <c r="B478" s="4">
        <f>42.1364 * CHOOSE(CONTROL!$C$9, $C$13, 100%, $E$13) + CHOOSE(CONTROL!$C$28, 0.0202, 0)</f>
        <v>42.156600000000005</v>
      </c>
      <c r="C478" s="4">
        <f>41.8239 * CHOOSE(CONTROL!$C$9, $C$13, 100%, $E$13) + CHOOSE(CONTROL!$C$28, 0.0202, 0)</f>
        <v>41.844100000000005</v>
      </c>
      <c r="D478" s="4">
        <f>45.6625 * CHOOSE(CONTROL!$C$9, $C$13, 100%, $E$13) + CHOOSE(CONTROL!$C$28, 0, 0)</f>
        <v>45.662500000000001</v>
      </c>
      <c r="E478" s="4">
        <f>245.253993569196 * CHOOSE(CONTROL!$C$9, $C$13, 100%, $E$13) + CHOOSE(CONTROL!$C$28, 0, 0)</f>
        <v>245.25399356919601</v>
      </c>
    </row>
    <row r="479" spans="1:5" ht="15">
      <c r="A479" s="13">
        <v>56096</v>
      </c>
      <c r="B479" s="4">
        <f>42.1236 * CHOOSE(CONTROL!$C$9, $C$13, 100%, $E$13) + CHOOSE(CONTROL!$C$28, 0.0202, 0)</f>
        <v>42.143800000000006</v>
      </c>
      <c r="C479" s="4">
        <f>41.8111 * CHOOSE(CONTROL!$C$9, $C$13, 100%, $E$13) + CHOOSE(CONTROL!$C$28, 0.0202, 0)</f>
        <v>41.831300000000006</v>
      </c>
      <c r="D479" s="4">
        <f>46.4023 * CHOOSE(CONTROL!$C$9, $C$13, 100%, $E$13) + CHOOSE(CONTROL!$C$28, 0, 0)</f>
        <v>46.402299999999997</v>
      </c>
      <c r="E479" s="4">
        <f>245.175986573786 * CHOOSE(CONTROL!$C$9, $C$13, 100%, $E$13) + CHOOSE(CONTROL!$C$28, 0, 0)</f>
        <v>245.17598657378599</v>
      </c>
    </row>
    <row r="480" spans="1:5" ht="15">
      <c r="A480" s="13">
        <v>56127</v>
      </c>
      <c r="B480" s="4">
        <f>43.0872 * CHOOSE(CONTROL!$C$9, $C$13, 100%, $E$13) + CHOOSE(CONTROL!$C$28, 0.0202, 0)</f>
        <v>43.107400000000005</v>
      </c>
      <c r="C480" s="4">
        <f>42.7747 * CHOOSE(CONTROL!$C$9, $C$13, 100%, $E$13) + CHOOSE(CONTROL!$C$28, 0.0202, 0)</f>
        <v>42.794900000000005</v>
      </c>
      <c r="D480" s="4">
        <f>45.9137 * CHOOSE(CONTROL!$C$9, $C$13, 100%, $E$13) + CHOOSE(CONTROL!$C$28, 0, 0)</f>
        <v>45.913699999999999</v>
      </c>
      <c r="E480" s="4">
        <f>251.046012978392 * CHOOSE(CONTROL!$C$9, $C$13, 100%, $E$13) + CHOOSE(CONTROL!$C$28, 0, 0)</f>
        <v>251.04601297839201</v>
      </c>
    </row>
    <row r="481" spans="1:5" ht="15">
      <c r="A481" s="13">
        <v>56157</v>
      </c>
      <c r="B481" s="4">
        <f>41.4449 * CHOOSE(CONTROL!$C$9, $C$13, 100%, $E$13) + CHOOSE(CONTROL!$C$28, 0.0202, 0)</f>
        <v>41.4651</v>
      </c>
      <c r="C481" s="4">
        <f>41.1324 * CHOOSE(CONTROL!$C$9, $C$13, 100%, $E$13) + CHOOSE(CONTROL!$C$28, 0.0202, 0)</f>
        <v>41.1526</v>
      </c>
      <c r="D481" s="4">
        <f>45.6829 * CHOOSE(CONTROL!$C$9, $C$13, 100%, $E$13) + CHOOSE(CONTROL!$C$28, 0, 0)</f>
        <v>45.682899999999997</v>
      </c>
      <c r="E481" s="4">
        <f>241.041615817053 * CHOOSE(CONTROL!$C$9, $C$13, 100%, $E$13) + CHOOSE(CONTROL!$C$28, 0, 0)</f>
        <v>241.04161581705301</v>
      </c>
    </row>
    <row r="482" spans="1:5" ht="15">
      <c r="A482" s="13">
        <v>56188</v>
      </c>
      <c r="B482" s="4">
        <f>40.1302 * CHOOSE(CONTROL!$C$9, $C$13, 100%, $E$13) + CHOOSE(CONTROL!$C$28, 0.0003, 0)</f>
        <v>40.130500000000005</v>
      </c>
      <c r="C482" s="4">
        <f>39.8177 * CHOOSE(CONTROL!$C$9, $C$13, 100%, $E$13) + CHOOSE(CONTROL!$C$28, 0.0003, 0)</f>
        <v>39.818000000000005</v>
      </c>
      <c r="D482" s="4">
        <f>45.0647 * CHOOSE(CONTROL!$C$9, $C$13, 100%, $E$13) + CHOOSE(CONTROL!$C$28, 0, 0)</f>
        <v>45.064700000000002</v>
      </c>
      <c r="E482" s="4">
        <f>233.032897621622 * CHOOSE(CONTROL!$C$9, $C$13, 100%, $E$13) + CHOOSE(CONTROL!$C$28, 0, 0)</f>
        <v>233.032897621622</v>
      </c>
    </row>
    <row r="483" spans="1:5" ht="15">
      <c r="A483" s="13">
        <v>56218</v>
      </c>
      <c r="B483" s="4">
        <f>39.2834 * CHOOSE(CONTROL!$C$9, $C$13, 100%, $E$13) + CHOOSE(CONTROL!$C$28, 0.0003, 0)</f>
        <v>39.283700000000003</v>
      </c>
      <c r="C483" s="4">
        <f>38.9709 * CHOOSE(CONTROL!$C$9, $C$13, 100%, $E$13) + CHOOSE(CONTROL!$C$28, 0.0003, 0)</f>
        <v>38.971200000000003</v>
      </c>
      <c r="D483" s="4">
        <f>44.8522 * CHOOSE(CONTROL!$C$9, $C$13, 100%, $E$13) + CHOOSE(CONTROL!$C$28, 0, 0)</f>
        <v>44.852200000000003</v>
      </c>
      <c r="E483" s="4">
        <f>227.874685050132 * CHOOSE(CONTROL!$C$9, $C$13, 100%, $E$13) + CHOOSE(CONTROL!$C$28, 0, 0)</f>
        <v>227.874685050132</v>
      </c>
    </row>
    <row r="484" spans="1:5" ht="15">
      <c r="A484" s="13">
        <v>56249</v>
      </c>
      <c r="B484" s="4">
        <f>38.6975 * CHOOSE(CONTROL!$C$9, $C$13, 100%, $E$13) + CHOOSE(CONTROL!$C$28, 0.0003, 0)</f>
        <v>38.697800000000001</v>
      </c>
      <c r="C484" s="4">
        <f>38.385 * CHOOSE(CONTROL!$C$9, $C$13, 100%, $E$13) + CHOOSE(CONTROL!$C$28, 0.0003, 0)</f>
        <v>38.385300000000001</v>
      </c>
      <c r="D484" s="4">
        <f>43.2877 * CHOOSE(CONTROL!$C$9, $C$13, 100%, $E$13) + CHOOSE(CONTROL!$C$28, 0, 0)</f>
        <v>43.287700000000001</v>
      </c>
      <c r="E484" s="4">
        <f>224.305865010122 * CHOOSE(CONTROL!$C$9, $C$13, 100%, $E$13) + CHOOSE(CONTROL!$C$28, 0, 0)</f>
        <v>224.30586501012201</v>
      </c>
    </row>
    <row r="485" spans="1:5" ht="15">
      <c r="A485" s="13">
        <v>56280</v>
      </c>
      <c r="B485" s="4">
        <f>37.7456 * CHOOSE(CONTROL!$C$9, $C$13, 100%, $E$13) + CHOOSE(CONTROL!$C$28, 0.0003, 0)</f>
        <v>37.745900000000006</v>
      </c>
      <c r="C485" s="4">
        <f>37.4331 * CHOOSE(CONTROL!$C$9, $C$13, 100%, $E$13) + CHOOSE(CONTROL!$C$28, 0.0003, 0)</f>
        <v>37.433400000000006</v>
      </c>
      <c r="D485" s="4">
        <f>41.8498 * CHOOSE(CONTROL!$C$9, $C$13, 100%, $E$13) + CHOOSE(CONTROL!$C$28, 0, 0)</f>
        <v>41.849800000000002</v>
      </c>
      <c r="E485" s="4">
        <f>217.873627563284 * CHOOSE(CONTROL!$C$9, $C$13, 100%, $E$13) + CHOOSE(CONTROL!$C$28, 0, 0)</f>
        <v>217.873627563284</v>
      </c>
    </row>
    <row r="486" spans="1:5" ht="15">
      <c r="A486" s="13">
        <v>56308</v>
      </c>
      <c r="B486" s="4">
        <f>38.5973 * CHOOSE(CONTROL!$C$9, $C$13, 100%, $E$13) + CHOOSE(CONTROL!$C$28, 0.0003, 0)</f>
        <v>38.5976</v>
      </c>
      <c r="C486" s="4">
        <f>38.2848 * CHOOSE(CONTROL!$C$9, $C$13, 100%, $E$13) + CHOOSE(CONTROL!$C$28, 0.0003, 0)</f>
        <v>38.2851</v>
      </c>
      <c r="D486" s="4">
        <f>43.2978 * CHOOSE(CONTROL!$C$9, $C$13, 100%, $E$13) + CHOOSE(CONTROL!$C$28, 0, 0)</f>
        <v>43.297800000000002</v>
      </c>
      <c r="E486" s="4">
        <f>223.046806101872 * CHOOSE(CONTROL!$C$9, $C$13, 100%, $E$13) + CHOOSE(CONTROL!$C$28, 0, 0)</f>
        <v>223.04680610187199</v>
      </c>
    </row>
    <row r="487" spans="1:5" ht="15">
      <c r="A487" s="13">
        <v>56339</v>
      </c>
      <c r="B487" s="4">
        <f>40.834 * CHOOSE(CONTROL!$C$9, $C$13, 100%, $E$13) + CHOOSE(CONTROL!$C$28, 0.0003, 0)</f>
        <v>40.834300000000006</v>
      </c>
      <c r="C487" s="4">
        <f>40.5215 * CHOOSE(CONTROL!$C$9, $C$13, 100%, $E$13) + CHOOSE(CONTROL!$C$28, 0.0003, 0)</f>
        <v>40.521800000000006</v>
      </c>
      <c r="D487" s="4">
        <f>45.5645 * CHOOSE(CONTROL!$C$9, $C$13, 100%, $E$13) + CHOOSE(CONTROL!$C$28, 0, 0)</f>
        <v>45.564500000000002</v>
      </c>
      <c r="E487" s="4">
        <f>236.631847863609 * CHOOSE(CONTROL!$C$9, $C$13, 100%, $E$13) + CHOOSE(CONTROL!$C$28, 0, 0)</f>
        <v>236.63184786360901</v>
      </c>
    </row>
    <row r="488" spans="1:5" ht="15">
      <c r="A488" s="13">
        <v>56369</v>
      </c>
      <c r="B488" s="4">
        <f>42.4231 * CHOOSE(CONTROL!$C$9, $C$13, 100%, $E$13) + CHOOSE(CONTROL!$C$28, 0.0003, 0)</f>
        <v>42.423400000000001</v>
      </c>
      <c r="C488" s="4">
        <f>42.1106 * CHOOSE(CONTROL!$C$9, $C$13, 100%, $E$13) + CHOOSE(CONTROL!$C$28, 0.0003, 0)</f>
        <v>42.110900000000001</v>
      </c>
      <c r="D488" s="4">
        <f>46.8702 * CHOOSE(CONTROL!$C$9, $C$13, 100%, $E$13) + CHOOSE(CONTROL!$C$28, 0, 0)</f>
        <v>46.870199999999997</v>
      </c>
      <c r="E488" s="4">
        <f>246.284201079808 * CHOOSE(CONTROL!$C$9, $C$13, 100%, $E$13) + CHOOSE(CONTROL!$C$28, 0, 0)</f>
        <v>246.28420107980801</v>
      </c>
    </row>
    <row r="489" spans="1:5" ht="15">
      <c r="A489" s="13">
        <v>56400</v>
      </c>
      <c r="B489" s="4">
        <f>43.394 * CHOOSE(CONTROL!$C$9, $C$13, 100%, $E$13) + CHOOSE(CONTROL!$C$28, 0.0202, 0)</f>
        <v>43.414200000000001</v>
      </c>
      <c r="C489" s="4">
        <f>43.0815 * CHOOSE(CONTROL!$C$9, $C$13, 100%, $E$13) + CHOOSE(CONTROL!$C$28, 0.0202, 0)</f>
        <v>43.101700000000001</v>
      </c>
      <c r="D489" s="4">
        <f>46.3543 * CHOOSE(CONTROL!$C$9, $C$13, 100%, $E$13) + CHOOSE(CONTROL!$C$28, 0, 0)</f>
        <v>46.354300000000002</v>
      </c>
      <c r="E489" s="4">
        <f>252.181557560285 * CHOOSE(CONTROL!$C$9, $C$13, 100%, $E$13) + CHOOSE(CONTROL!$C$28, 0, 0)</f>
        <v>252.181557560285</v>
      </c>
    </row>
    <row r="490" spans="1:5" ht="15">
      <c r="A490" s="13">
        <v>56430</v>
      </c>
      <c r="B490" s="4">
        <f>43.5254 * CHOOSE(CONTROL!$C$9, $C$13, 100%, $E$13) + CHOOSE(CONTROL!$C$28, 0.0202, 0)</f>
        <v>43.5456</v>
      </c>
      <c r="C490" s="4">
        <f>43.2129 * CHOOSE(CONTROL!$C$9, $C$13, 100%, $E$13) + CHOOSE(CONTROL!$C$28, 0.0202, 0)</f>
        <v>43.2331</v>
      </c>
      <c r="D490" s="4">
        <f>46.7745 * CHOOSE(CONTROL!$C$9, $C$13, 100%, $E$13) + CHOOSE(CONTROL!$C$28, 0, 0)</f>
        <v>46.774500000000003</v>
      </c>
      <c r="E490" s="4">
        <f>252.979494366626 * CHOOSE(CONTROL!$C$9, $C$13, 100%, $E$13) + CHOOSE(CONTROL!$C$28, 0, 0)</f>
        <v>252.979494366626</v>
      </c>
    </row>
    <row r="491" spans="1:5" ht="15">
      <c r="A491" s="13">
        <v>56461</v>
      </c>
      <c r="B491" s="4">
        <f>43.5122 * CHOOSE(CONTROL!$C$9, $C$13, 100%, $E$13) + CHOOSE(CONTROL!$C$28, 0.0202, 0)</f>
        <v>43.532400000000003</v>
      </c>
      <c r="C491" s="4">
        <f>43.1997 * CHOOSE(CONTROL!$C$9, $C$13, 100%, $E$13) + CHOOSE(CONTROL!$C$28, 0.0202, 0)</f>
        <v>43.219900000000003</v>
      </c>
      <c r="D491" s="4">
        <f>47.5327 * CHOOSE(CONTROL!$C$9, $C$13, 100%, $E$13) + CHOOSE(CONTROL!$C$28, 0, 0)</f>
        <v>47.532699999999998</v>
      </c>
      <c r="E491" s="4">
        <f>252.89903015086 * CHOOSE(CONTROL!$C$9, $C$13, 100%, $E$13) + CHOOSE(CONTROL!$C$28, 0, 0)</f>
        <v>252.89903015086</v>
      </c>
    </row>
    <row r="492" spans="1:5" ht="15">
      <c r="A492" s="13">
        <v>56492</v>
      </c>
      <c r="B492" s="4">
        <f>44.5091 * CHOOSE(CONTROL!$C$9, $C$13, 100%, $E$13) + CHOOSE(CONTROL!$C$28, 0.0202, 0)</f>
        <v>44.529299999999999</v>
      </c>
      <c r="C492" s="4">
        <f>44.1966 * CHOOSE(CONTROL!$C$9, $C$13, 100%, $E$13) + CHOOSE(CONTROL!$C$28, 0.0202, 0)</f>
        <v>44.216799999999999</v>
      </c>
      <c r="D492" s="4">
        <f>47.032 * CHOOSE(CONTROL!$C$9, $C$13, 100%, $E$13) + CHOOSE(CONTROL!$C$28, 0, 0)</f>
        <v>47.031999999999996</v>
      </c>
      <c r="E492" s="4">
        <f>258.953962387212 * CHOOSE(CONTROL!$C$9, $C$13, 100%, $E$13) + CHOOSE(CONTROL!$C$28, 0, 0)</f>
        <v>258.95396238721202</v>
      </c>
    </row>
    <row r="493" spans="1:5" ht="15">
      <c r="A493" s="13">
        <v>56522</v>
      </c>
      <c r="B493" s="4">
        <f>42.81 * CHOOSE(CONTROL!$C$9, $C$13, 100%, $E$13) + CHOOSE(CONTROL!$C$28, 0.0202, 0)</f>
        <v>42.830200000000005</v>
      </c>
      <c r="C493" s="4">
        <f>42.4975 * CHOOSE(CONTROL!$C$9, $C$13, 100%, $E$13) + CHOOSE(CONTROL!$C$28, 0.0202, 0)</f>
        <v>42.517700000000005</v>
      </c>
      <c r="D493" s="4">
        <f>46.7954 * CHOOSE(CONTROL!$C$9, $C$13, 100%, $E$13) + CHOOSE(CONTROL!$C$28, 0, 0)</f>
        <v>46.795400000000001</v>
      </c>
      <c r="E493" s="4">
        <f>248.634426715291 * CHOOSE(CONTROL!$C$9, $C$13, 100%, $E$13) + CHOOSE(CONTROL!$C$28, 0, 0)</f>
        <v>248.634426715291</v>
      </c>
    </row>
    <row r="494" spans="1:5" ht="15">
      <c r="A494" s="13">
        <v>56553</v>
      </c>
      <c r="B494" s="4">
        <f>41.45 * CHOOSE(CONTROL!$C$9, $C$13, 100%, $E$13) + CHOOSE(CONTROL!$C$28, 0.0003, 0)</f>
        <v>41.450300000000006</v>
      </c>
      <c r="C494" s="4">
        <f>41.1375 * CHOOSE(CONTROL!$C$9, $C$13, 100%, $E$13) + CHOOSE(CONTROL!$C$28, 0.0003, 0)</f>
        <v>41.137800000000006</v>
      </c>
      <c r="D494" s="4">
        <f>46.1619 * CHOOSE(CONTROL!$C$9, $C$13, 100%, $E$13) + CHOOSE(CONTROL!$C$28, 0, 0)</f>
        <v>46.161900000000003</v>
      </c>
      <c r="E494" s="4">
        <f>240.373433896703 * CHOOSE(CONTROL!$C$9, $C$13, 100%, $E$13) + CHOOSE(CONTROL!$C$28, 0, 0)</f>
        <v>240.37343389670301</v>
      </c>
    </row>
    <row r="495" spans="1:5" ht="15">
      <c r="A495" s="13">
        <v>56583</v>
      </c>
      <c r="B495" s="4">
        <f>40.574 * CHOOSE(CONTROL!$C$9, $C$13, 100%, $E$13) + CHOOSE(CONTROL!$C$28, 0.0003, 0)</f>
        <v>40.574300000000001</v>
      </c>
      <c r="C495" s="4">
        <f>40.2615 * CHOOSE(CONTROL!$C$9, $C$13, 100%, $E$13) + CHOOSE(CONTROL!$C$28, 0.0003, 0)</f>
        <v>40.261800000000001</v>
      </c>
      <c r="D495" s="4">
        <f>45.9442 * CHOOSE(CONTROL!$C$9, $C$13, 100%, $E$13) + CHOOSE(CONTROL!$C$28, 0, 0)</f>
        <v>45.944200000000002</v>
      </c>
      <c r="E495" s="4">
        <f>235.052737629211 * CHOOSE(CONTROL!$C$9, $C$13, 100%, $E$13) + CHOOSE(CONTROL!$C$28, 0, 0)</f>
        <v>235.05273762921101</v>
      </c>
    </row>
    <row r="496" spans="1:5" ht="15">
      <c r="A496" s="13">
        <v>56614</v>
      </c>
      <c r="B496" s="4">
        <f>39.9679 * CHOOSE(CONTROL!$C$9, $C$13, 100%, $E$13) + CHOOSE(CONTROL!$C$28, 0.0003, 0)</f>
        <v>39.968200000000003</v>
      </c>
      <c r="C496" s="4">
        <f>39.6554 * CHOOSE(CONTROL!$C$9, $C$13, 100%, $E$13) + CHOOSE(CONTROL!$C$28, 0.0003, 0)</f>
        <v>39.655700000000003</v>
      </c>
      <c r="D496" s="4">
        <f>44.3408 * CHOOSE(CONTROL!$C$9, $C$13, 100%, $E$13) + CHOOSE(CONTROL!$C$28, 0, 0)</f>
        <v>44.340800000000002</v>
      </c>
      <c r="E496" s="4">
        <f>231.371499757941 * CHOOSE(CONTROL!$C$9, $C$13, 100%, $E$13) + CHOOSE(CONTROL!$C$28, 0, 0)</f>
        <v>231.371499757941</v>
      </c>
    </row>
    <row r="497" spans="1:5" ht="15">
      <c r="A497" s="13">
        <v>56645</v>
      </c>
      <c r="B497" s="4">
        <f>38.9831 * CHOOSE(CONTROL!$C$9, $C$13, 100%, $E$13) + CHOOSE(CONTROL!$C$28, 0.0003, 0)</f>
        <v>38.983400000000003</v>
      </c>
      <c r="C497" s="4">
        <f>38.6706 * CHOOSE(CONTROL!$C$9, $C$13, 100%, $E$13) + CHOOSE(CONTROL!$C$28, 0.0003, 0)</f>
        <v>38.670900000000003</v>
      </c>
      <c r="D497" s="4">
        <f>42.8673 * CHOOSE(CONTROL!$C$9, $C$13, 100%, $E$13) + CHOOSE(CONTROL!$C$28, 0, 0)</f>
        <v>42.8673</v>
      </c>
      <c r="E497" s="4">
        <f>224.736646831528 * CHOOSE(CONTROL!$C$9, $C$13, 100%, $E$13) + CHOOSE(CONTROL!$C$28, 0, 0)</f>
        <v>224.73664683152799</v>
      </c>
    </row>
    <row r="498" spans="1:5" ht="15">
      <c r="A498" s="13">
        <v>56673</v>
      </c>
      <c r="B498" s="4">
        <f>39.8642 * CHOOSE(CONTROL!$C$9, $C$13, 100%, $E$13) + CHOOSE(CONTROL!$C$28, 0.0003, 0)</f>
        <v>39.8645</v>
      </c>
      <c r="C498" s="4">
        <f>39.5517 * CHOOSE(CONTROL!$C$9, $C$13, 100%, $E$13) + CHOOSE(CONTROL!$C$28, 0.0003, 0)</f>
        <v>39.552</v>
      </c>
      <c r="D498" s="4">
        <f>44.3512 * CHOOSE(CONTROL!$C$9, $C$13, 100%, $E$13) + CHOOSE(CONTROL!$C$28, 0, 0)</f>
        <v>44.351199999999999</v>
      </c>
      <c r="E498" s="4">
        <f>230.072780494081 * CHOOSE(CONTROL!$C$9, $C$13, 100%, $E$13) + CHOOSE(CONTROL!$C$28, 0, 0)</f>
        <v>230.072780494081</v>
      </c>
    </row>
    <row r="499" spans="1:5" ht="15">
      <c r="A499" s="13">
        <v>56704</v>
      </c>
      <c r="B499" s="4">
        <f>42.178 * CHOOSE(CONTROL!$C$9, $C$13, 100%, $E$13) + CHOOSE(CONTROL!$C$28, 0.0003, 0)</f>
        <v>42.1783</v>
      </c>
      <c r="C499" s="4">
        <f>41.8655 * CHOOSE(CONTROL!$C$9, $C$13, 100%, $E$13) + CHOOSE(CONTROL!$C$28, 0.0003, 0)</f>
        <v>41.8658</v>
      </c>
      <c r="D499" s="4">
        <f>46.6741 * CHOOSE(CONTROL!$C$9, $C$13, 100%, $E$13) + CHOOSE(CONTROL!$C$28, 0, 0)</f>
        <v>46.674100000000003</v>
      </c>
      <c r="E499" s="4">
        <f>244.085751071312 * CHOOSE(CONTROL!$C$9, $C$13, 100%, $E$13) + CHOOSE(CONTROL!$C$28, 0, 0)</f>
        <v>244.08575107131199</v>
      </c>
    </row>
    <row r="500" spans="1:5" ht="15">
      <c r="A500" s="13">
        <v>56734</v>
      </c>
      <c r="B500" s="4">
        <f>43.822 * CHOOSE(CONTROL!$C$9, $C$13, 100%, $E$13) + CHOOSE(CONTROL!$C$28, 0.0003, 0)</f>
        <v>43.822300000000006</v>
      </c>
      <c r="C500" s="4">
        <f>43.5095 * CHOOSE(CONTROL!$C$9, $C$13, 100%, $E$13) + CHOOSE(CONTROL!$C$28, 0.0003, 0)</f>
        <v>43.509800000000006</v>
      </c>
      <c r="D500" s="4">
        <f>48.0122 * CHOOSE(CONTROL!$C$9, $C$13, 100%, $E$13) + CHOOSE(CONTROL!$C$28, 0, 0)</f>
        <v>48.0122</v>
      </c>
      <c r="E500" s="4">
        <f>254.042153413822 * CHOOSE(CONTROL!$C$9, $C$13, 100%, $E$13) + CHOOSE(CONTROL!$C$28, 0, 0)</f>
        <v>254.04215341382201</v>
      </c>
    </row>
    <row r="501" spans="1:5" ht="15">
      <c r="A501" s="13">
        <v>56765</v>
      </c>
      <c r="B501" s="4">
        <f>44.8265 * CHOOSE(CONTROL!$C$9, $C$13, 100%, $E$13) + CHOOSE(CONTROL!$C$28, 0.0202, 0)</f>
        <v>44.846700000000006</v>
      </c>
      <c r="C501" s="4">
        <f>44.514 * CHOOSE(CONTROL!$C$9, $C$13, 100%, $E$13) + CHOOSE(CONTROL!$C$28, 0.0202, 0)</f>
        <v>44.534200000000006</v>
      </c>
      <c r="D501" s="4">
        <f>47.4835 * CHOOSE(CONTROL!$C$9, $C$13, 100%, $E$13) + CHOOSE(CONTROL!$C$28, 0, 0)</f>
        <v>47.483499999999999</v>
      </c>
      <c r="E501" s="4">
        <f>260.125276623434 * CHOOSE(CONTROL!$C$9, $C$13, 100%, $E$13) + CHOOSE(CONTROL!$C$28, 0, 0)</f>
        <v>260.12527662343399</v>
      </c>
    </row>
    <row r="502" spans="1:5" ht="15">
      <c r="A502" s="13">
        <v>56795</v>
      </c>
      <c r="B502" s="4">
        <f>44.9624 * CHOOSE(CONTROL!$C$9, $C$13, 100%, $E$13) + CHOOSE(CONTROL!$C$28, 0.0202, 0)</f>
        <v>44.982600000000005</v>
      </c>
      <c r="C502" s="4">
        <f>44.6499 * CHOOSE(CONTROL!$C$9, $C$13, 100%, $E$13) + CHOOSE(CONTROL!$C$28, 0.0202, 0)</f>
        <v>44.670100000000005</v>
      </c>
      <c r="D502" s="4">
        <f>47.9141 * CHOOSE(CONTROL!$C$9, $C$13, 100%, $E$13) + CHOOSE(CONTROL!$C$28, 0, 0)</f>
        <v>47.914099999999998</v>
      </c>
      <c r="E502" s="4">
        <f>260.948348439174 * CHOOSE(CONTROL!$C$9, $C$13, 100%, $E$13) + CHOOSE(CONTROL!$C$28, 0, 0)</f>
        <v>260.94834843917403</v>
      </c>
    </row>
    <row r="503" spans="1:5" ht="15">
      <c r="A503" s="13">
        <v>56826</v>
      </c>
      <c r="B503" s="4">
        <f>44.9487 * CHOOSE(CONTROL!$C$9, $C$13, 100%, $E$13) + CHOOSE(CONTROL!$C$28, 0.0202, 0)</f>
        <v>44.968900000000005</v>
      </c>
      <c r="C503" s="4">
        <f>44.6362 * CHOOSE(CONTROL!$C$9, $C$13, 100%, $E$13) + CHOOSE(CONTROL!$C$28, 0.0202, 0)</f>
        <v>44.656400000000005</v>
      </c>
      <c r="D503" s="4">
        <f>48.6911 * CHOOSE(CONTROL!$C$9, $C$13, 100%, $E$13) + CHOOSE(CONTROL!$C$28, 0, 0)</f>
        <v>48.691099999999999</v>
      </c>
      <c r="E503" s="4">
        <f>260.865349600612 * CHOOSE(CONTROL!$C$9, $C$13, 100%, $E$13) + CHOOSE(CONTROL!$C$28, 0, 0)</f>
        <v>260.86534960061198</v>
      </c>
    </row>
    <row r="504" spans="1:5" ht="15">
      <c r="A504" s="13">
        <v>56857</v>
      </c>
      <c r="B504" s="4">
        <f>45.9799 * CHOOSE(CONTROL!$C$9, $C$13, 100%, $E$13) + CHOOSE(CONTROL!$C$28, 0.0202, 0)</f>
        <v>46.000100000000003</v>
      </c>
      <c r="C504" s="4">
        <f>45.6674 * CHOOSE(CONTROL!$C$9, $C$13, 100%, $E$13) + CHOOSE(CONTROL!$C$28, 0.0202, 0)</f>
        <v>45.687600000000003</v>
      </c>
      <c r="D504" s="4">
        <f>48.178 * CHOOSE(CONTROL!$C$9, $C$13, 100%, $E$13) + CHOOSE(CONTROL!$C$28, 0, 0)</f>
        <v>48.177999999999997</v>
      </c>
      <c r="E504" s="4">
        <f>267.111012202409 * CHOOSE(CONTROL!$C$9, $C$13, 100%, $E$13) + CHOOSE(CONTROL!$C$28, 0, 0)</f>
        <v>267.11101220240897</v>
      </c>
    </row>
    <row r="505" spans="1:5" ht="15">
      <c r="A505" s="13">
        <v>56887</v>
      </c>
      <c r="B505" s="4">
        <f>44.2223 * CHOOSE(CONTROL!$C$9, $C$13, 100%, $E$13) + CHOOSE(CONTROL!$C$28, 0.0202, 0)</f>
        <v>44.2425</v>
      </c>
      <c r="C505" s="4">
        <f>43.9098 * CHOOSE(CONTROL!$C$9, $C$13, 100%, $E$13) + CHOOSE(CONTROL!$C$28, 0.0202, 0)</f>
        <v>43.93</v>
      </c>
      <c r="D505" s="4">
        <f>47.9355 * CHOOSE(CONTROL!$C$9, $C$13, 100%, $E$13) + CHOOSE(CONTROL!$C$28, 0, 0)</f>
        <v>47.935499999999998</v>
      </c>
      <c r="E505" s="4">
        <f>256.466411156822 * CHOOSE(CONTROL!$C$9, $C$13, 100%, $E$13) + CHOOSE(CONTROL!$C$28, 0, 0)</f>
        <v>256.46641115682201</v>
      </c>
    </row>
    <row r="506" spans="1:5" ht="15">
      <c r="A506" s="13">
        <v>56918</v>
      </c>
      <c r="B506" s="4">
        <f>42.8153 * CHOOSE(CONTROL!$C$9, $C$13, 100%, $E$13) + CHOOSE(CONTROL!$C$28, 0.0003, 0)</f>
        <v>42.815600000000003</v>
      </c>
      <c r="C506" s="4">
        <f>42.5028 * CHOOSE(CONTROL!$C$9, $C$13, 100%, $E$13) + CHOOSE(CONTROL!$C$28, 0.0003, 0)</f>
        <v>42.503100000000003</v>
      </c>
      <c r="D506" s="4">
        <f>47.2864 * CHOOSE(CONTROL!$C$9, $C$13, 100%, $E$13) + CHOOSE(CONTROL!$C$28, 0, 0)</f>
        <v>47.2864</v>
      </c>
      <c r="E506" s="4">
        <f>247.945197064449 * CHOOSE(CONTROL!$C$9, $C$13, 100%, $E$13) + CHOOSE(CONTROL!$C$28, 0, 0)</f>
        <v>247.94519706444899</v>
      </c>
    </row>
    <row r="507" spans="1:5" ht="15">
      <c r="A507" s="13">
        <v>56948</v>
      </c>
      <c r="B507" s="4">
        <f>41.9091 * CHOOSE(CONTROL!$C$9, $C$13, 100%, $E$13) + CHOOSE(CONTROL!$C$28, 0.0003, 0)</f>
        <v>41.909400000000005</v>
      </c>
      <c r="C507" s="4">
        <f>41.5966 * CHOOSE(CONTROL!$C$9, $C$13, 100%, $E$13) + CHOOSE(CONTROL!$C$28, 0.0003, 0)</f>
        <v>41.596900000000005</v>
      </c>
      <c r="D507" s="4">
        <f>47.0632 * CHOOSE(CONTROL!$C$9, $C$13, 100%, $E$13) + CHOOSE(CONTROL!$C$28, 0, 0)</f>
        <v>47.063200000000002</v>
      </c>
      <c r="E507" s="4">
        <f>242.456898864531 * CHOOSE(CONTROL!$C$9, $C$13, 100%, $E$13) + CHOOSE(CONTROL!$C$28, 0, 0)</f>
        <v>242.45689886453101</v>
      </c>
    </row>
    <row r="508" spans="1:5" ht="15">
      <c r="A508" s="13">
        <v>56979</v>
      </c>
      <c r="B508" s="4">
        <f>41.2821 * CHOOSE(CONTROL!$C$9, $C$13, 100%, $E$13) + CHOOSE(CONTROL!$C$28, 0.0003, 0)</f>
        <v>41.282400000000003</v>
      </c>
      <c r="C508" s="4">
        <f>40.9696 * CHOOSE(CONTROL!$C$9, $C$13, 100%, $E$13) + CHOOSE(CONTROL!$C$28, 0.0003, 0)</f>
        <v>40.969900000000003</v>
      </c>
      <c r="D508" s="4">
        <f>45.4201 * CHOOSE(CONTROL!$C$9, $C$13, 100%, $E$13) + CHOOSE(CONTROL!$C$28, 0, 0)</f>
        <v>45.420099999999998</v>
      </c>
      <c r="E508" s="4">
        <f>238.659702000316 * CHOOSE(CONTROL!$C$9, $C$13, 100%, $E$13) + CHOOSE(CONTROL!$C$28, 0, 0)</f>
        <v>238.659702000316</v>
      </c>
    </row>
    <row r="509" spans="1:5" ht="15">
      <c r="A509" s="13">
        <v>57010</v>
      </c>
      <c r="B509" s="4">
        <f>40.2634 * CHOOSE(CONTROL!$C$9, $C$13, 100%, $E$13) + CHOOSE(CONTROL!$C$28, 0.0003, 0)</f>
        <v>40.2637</v>
      </c>
      <c r="C509" s="4">
        <f>39.9509 * CHOOSE(CONTROL!$C$9, $C$13, 100%, $E$13) + CHOOSE(CONTROL!$C$28, 0.0003, 0)</f>
        <v>39.9512</v>
      </c>
      <c r="D509" s="4">
        <f>43.91 * CHOOSE(CONTROL!$C$9, $C$13, 100%, $E$13) + CHOOSE(CONTROL!$C$28, 0, 0)</f>
        <v>43.91</v>
      </c>
      <c r="E509" s="4">
        <f>231.815851206721 * CHOOSE(CONTROL!$C$9, $C$13, 100%, $E$13) + CHOOSE(CONTROL!$C$28, 0, 0)</f>
        <v>231.81585120672099</v>
      </c>
    </row>
    <row r="510" spans="1:5" ht="15">
      <c r="A510" s="13">
        <v>57038</v>
      </c>
      <c r="B510" s="4">
        <f>41.1749 * CHOOSE(CONTROL!$C$9, $C$13, 100%, $E$13) + CHOOSE(CONTROL!$C$28, 0.0003, 0)</f>
        <v>41.175200000000004</v>
      </c>
      <c r="C510" s="4">
        <f>40.8624 * CHOOSE(CONTROL!$C$9, $C$13, 100%, $E$13) + CHOOSE(CONTROL!$C$28, 0.0003, 0)</f>
        <v>40.862700000000004</v>
      </c>
      <c r="D510" s="4">
        <f>45.4307 * CHOOSE(CONTROL!$C$9, $C$13, 100%, $E$13) + CHOOSE(CONTROL!$C$28, 0, 0)</f>
        <v>45.430700000000002</v>
      </c>
      <c r="E510" s="4">
        <f>237.320073079645 * CHOOSE(CONTROL!$C$9, $C$13, 100%, $E$13) + CHOOSE(CONTROL!$C$28, 0, 0)</f>
        <v>237.320073079645</v>
      </c>
    </row>
    <row r="511" spans="1:5" ht="15">
      <c r="A511" s="13">
        <v>57070</v>
      </c>
      <c r="B511" s="4">
        <f>43.5685 * CHOOSE(CONTROL!$C$9, $C$13, 100%, $E$13) + CHOOSE(CONTROL!$C$28, 0.0003, 0)</f>
        <v>43.568800000000003</v>
      </c>
      <c r="C511" s="4">
        <f>43.256 * CHOOSE(CONTROL!$C$9, $C$13, 100%, $E$13) + CHOOSE(CONTROL!$C$28, 0.0003, 0)</f>
        <v>43.256300000000003</v>
      </c>
      <c r="D511" s="4">
        <f>47.8112 * CHOOSE(CONTROL!$C$9, $C$13, 100%, $E$13) + CHOOSE(CONTROL!$C$28, 0, 0)</f>
        <v>47.811199999999999</v>
      </c>
      <c r="E511" s="4">
        <f>251.774452230059 * CHOOSE(CONTROL!$C$9, $C$13, 100%, $E$13) + CHOOSE(CONTROL!$C$28, 0, 0)</f>
        <v>251.77445223005901</v>
      </c>
    </row>
    <row r="512" spans="1:5" ht="15">
      <c r="A512" s="13">
        <v>57100</v>
      </c>
      <c r="B512" s="4">
        <f>45.2692 * CHOOSE(CONTROL!$C$9, $C$13, 100%, $E$13) + CHOOSE(CONTROL!$C$28, 0.0003, 0)</f>
        <v>45.269500000000001</v>
      </c>
      <c r="C512" s="4">
        <f>44.9567 * CHOOSE(CONTROL!$C$9, $C$13, 100%, $E$13) + CHOOSE(CONTROL!$C$28, 0.0003, 0)</f>
        <v>44.957000000000001</v>
      </c>
      <c r="D512" s="4">
        <f>49.1825 * CHOOSE(CONTROL!$C$9, $C$13, 100%, $E$13) + CHOOSE(CONTROL!$C$28, 0, 0)</f>
        <v>49.182499999999997</v>
      </c>
      <c r="E512" s="4">
        <f>262.044481246357 * CHOOSE(CONTROL!$C$9, $C$13, 100%, $E$13) + CHOOSE(CONTROL!$C$28, 0, 0)</f>
        <v>262.04448124635701</v>
      </c>
    </row>
    <row r="513" spans="1:5" ht="15">
      <c r="A513" s="13">
        <v>57131</v>
      </c>
      <c r="B513" s="4">
        <f>46.3083 * CHOOSE(CONTROL!$C$9, $C$13, 100%, $E$13) + CHOOSE(CONTROL!$C$28, 0.0202, 0)</f>
        <v>46.328500000000005</v>
      </c>
      <c r="C513" s="4">
        <f>45.9958 * CHOOSE(CONTROL!$C$9, $C$13, 100%, $E$13) + CHOOSE(CONTROL!$C$28, 0.0202, 0)</f>
        <v>46.016000000000005</v>
      </c>
      <c r="D513" s="4">
        <f>48.6406 * CHOOSE(CONTROL!$C$9, $C$13, 100%, $E$13) + CHOOSE(CONTROL!$C$28, 0, 0)</f>
        <v>48.640599999999999</v>
      </c>
      <c r="E513" s="4">
        <f>268.319222837072 * CHOOSE(CONTROL!$C$9, $C$13, 100%, $E$13) + CHOOSE(CONTROL!$C$28, 0, 0)</f>
        <v>268.319222837072</v>
      </c>
    </row>
    <row r="514" spans="1:5" ht="15">
      <c r="A514" s="13">
        <v>57161</v>
      </c>
      <c r="B514" s="4">
        <f>46.4489 * CHOOSE(CONTROL!$C$9, $C$13, 100%, $E$13) + CHOOSE(CONTROL!$C$28, 0.0202, 0)</f>
        <v>46.469100000000005</v>
      </c>
      <c r="C514" s="4">
        <f>46.1364 * CHOOSE(CONTROL!$C$9, $C$13, 100%, $E$13) + CHOOSE(CONTROL!$C$28, 0.0202, 0)</f>
        <v>46.156600000000005</v>
      </c>
      <c r="D514" s="4">
        <f>49.082 * CHOOSE(CONTROL!$C$9, $C$13, 100%, $E$13) + CHOOSE(CONTROL!$C$28, 0, 0)</f>
        <v>49.082000000000001</v>
      </c>
      <c r="E514" s="4">
        <f>269.168221415008 * CHOOSE(CONTROL!$C$9, $C$13, 100%, $E$13) + CHOOSE(CONTROL!$C$28, 0, 0)</f>
        <v>269.16822141500802</v>
      </c>
    </row>
    <row r="515" spans="1:5" ht="15">
      <c r="A515" s="13">
        <v>57192</v>
      </c>
      <c r="B515" s="4">
        <f>46.4347 * CHOOSE(CONTROL!$C$9, $C$13, 100%, $E$13) + CHOOSE(CONTROL!$C$28, 0.0202, 0)</f>
        <v>46.454900000000002</v>
      </c>
      <c r="C515" s="4">
        <f>46.1222 * CHOOSE(CONTROL!$C$9, $C$13, 100%, $E$13) + CHOOSE(CONTROL!$C$28, 0.0202, 0)</f>
        <v>46.142400000000002</v>
      </c>
      <c r="D515" s="4">
        <f>49.8782 * CHOOSE(CONTROL!$C$9, $C$13, 100%, $E$13) + CHOOSE(CONTROL!$C$28, 0, 0)</f>
        <v>49.8782</v>
      </c>
      <c r="E515" s="4">
        <f>269.082608113032 * CHOOSE(CONTROL!$C$9, $C$13, 100%, $E$13) + CHOOSE(CONTROL!$C$28, 0, 0)</f>
        <v>269.08260811303199</v>
      </c>
    </row>
    <row r="516" spans="1:5" ht="15">
      <c r="A516" s="13">
        <v>57223</v>
      </c>
      <c r="B516" s="4">
        <f>47.5015 * CHOOSE(CONTROL!$C$9, $C$13, 100%, $E$13) + CHOOSE(CONTROL!$C$28, 0.0202, 0)</f>
        <v>47.521700000000003</v>
      </c>
      <c r="C516" s="4">
        <f>47.189 * CHOOSE(CONTROL!$C$9, $C$13, 100%, $E$13) + CHOOSE(CONTROL!$C$28, 0.0202, 0)</f>
        <v>47.209200000000003</v>
      </c>
      <c r="D516" s="4">
        <f>49.3524 * CHOOSE(CONTROL!$C$9, $C$13, 100%, $E$13) + CHOOSE(CONTROL!$C$28, 0, 0)</f>
        <v>49.352400000000003</v>
      </c>
      <c r="E516" s="4">
        <f>275.525009086785 * CHOOSE(CONTROL!$C$9, $C$13, 100%, $E$13) + CHOOSE(CONTROL!$C$28, 0, 0)</f>
        <v>275.52500908678502</v>
      </c>
    </row>
    <row r="517" spans="1:5" ht="15">
      <c r="A517" s="13">
        <v>57253</v>
      </c>
      <c r="B517" s="4">
        <f>45.6833 * CHOOSE(CONTROL!$C$9, $C$13, 100%, $E$13) + CHOOSE(CONTROL!$C$28, 0.0202, 0)</f>
        <v>45.703500000000005</v>
      </c>
      <c r="C517" s="4">
        <f>45.3708 * CHOOSE(CONTROL!$C$9, $C$13, 100%, $E$13) + CHOOSE(CONTROL!$C$28, 0.0202, 0)</f>
        <v>45.391000000000005</v>
      </c>
      <c r="D517" s="4">
        <f>49.1039 * CHOOSE(CONTROL!$C$9, $C$13, 100%, $E$13) + CHOOSE(CONTROL!$C$28, 0, 0)</f>
        <v>49.103900000000003</v>
      </c>
      <c r="E517" s="4">
        <f>264.545103108262 * CHOOSE(CONTROL!$C$9, $C$13, 100%, $E$13) + CHOOSE(CONTROL!$C$28, 0, 0)</f>
        <v>264.54510310826203</v>
      </c>
    </row>
    <row r="518" spans="1:5" ht="15">
      <c r="A518" s="13">
        <v>57284</v>
      </c>
      <c r="B518" s="4">
        <f>44.2277 * CHOOSE(CONTROL!$C$9, $C$13, 100%, $E$13) + CHOOSE(CONTROL!$C$28, 0.0003, 0)</f>
        <v>44.228000000000002</v>
      </c>
      <c r="C518" s="4">
        <f>43.9152 * CHOOSE(CONTROL!$C$9, $C$13, 100%, $E$13) + CHOOSE(CONTROL!$C$28, 0.0003, 0)</f>
        <v>43.915500000000002</v>
      </c>
      <c r="D518" s="4">
        <f>48.4386 * CHOOSE(CONTROL!$C$9, $C$13, 100%, $E$13) + CHOOSE(CONTROL!$C$28, 0, 0)</f>
        <v>48.438600000000001</v>
      </c>
      <c r="E518" s="4">
        <f>255.755470771979 * CHOOSE(CONTROL!$C$9, $C$13, 100%, $E$13) + CHOOSE(CONTROL!$C$28, 0, 0)</f>
        <v>255.75547077197899</v>
      </c>
    </row>
    <row r="519" spans="1:5" ht="15">
      <c r="A519" s="13">
        <v>57314</v>
      </c>
      <c r="B519" s="4">
        <f>43.2903 * CHOOSE(CONTROL!$C$9, $C$13, 100%, $E$13) + CHOOSE(CONTROL!$C$28, 0.0003, 0)</f>
        <v>43.290600000000005</v>
      </c>
      <c r="C519" s="4">
        <f>42.9778 * CHOOSE(CONTROL!$C$9, $C$13, 100%, $E$13) + CHOOSE(CONTROL!$C$28, 0.0003, 0)</f>
        <v>42.978100000000005</v>
      </c>
      <c r="D519" s="4">
        <f>48.2099 * CHOOSE(CONTROL!$C$9, $C$13, 100%, $E$13) + CHOOSE(CONTROL!$C$28, 0, 0)</f>
        <v>48.209899999999998</v>
      </c>
      <c r="E519" s="4">
        <f>250.094291178764 * CHOOSE(CONTROL!$C$9, $C$13, 100%, $E$13) + CHOOSE(CONTROL!$C$28, 0, 0)</f>
        <v>250.094291178764</v>
      </c>
    </row>
    <row r="520" spans="1:5" ht="15">
      <c r="A520" s="13">
        <v>57345</v>
      </c>
      <c r="B520" s="4">
        <f>42.6416 * CHOOSE(CONTROL!$C$9, $C$13, 100%, $E$13) + CHOOSE(CONTROL!$C$28, 0.0003, 0)</f>
        <v>42.6419</v>
      </c>
      <c r="C520" s="4">
        <f>42.3291 * CHOOSE(CONTROL!$C$9, $C$13, 100%, $E$13) + CHOOSE(CONTROL!$C$28, 0.0003, 0)</f>
        <v>42.3294</v>
      </c>
      <c r="D520" s="4">
        <f>46.5261 * CHOOSE(CONTROL!$C$9, $C$13, 100%, $E$13) + CHOOSE(CONTROL!$C$28, 0, 0)</f>
        <v>46.5261</v>
      </c>
      <c r="E520" s="4">
        <f>246.177482613326 * CHOOSE(CONTROL!$C$9, $C$13, 100%, $E$13) + CHOOSE(CONTROL!$C$28, 0, 0)</f>
        <v>246.17748261332599</v>
      </c>
    </row>
    <row r="521" spans="1:5" ht="15">
      <c r="A521" s="13">
        <v>57376</v>
      </c>
      <c r="B521" s="4">
        <f>41.5878 * CHOOSE(CONTROL!$C$9, $C$13, 100%, $E$13) + CHOOSE(CONTROL!$C$28, 0.0003, 0)</f>
        <v>41.588100000000004</v>
      </c>
      <c r="C521" s="4">
        <f>41.2753 * CHOOSE(CONTROL!$C$9, $C$13, 100%, $E$13) + CHOOSE(CONTROL!$C$28, 0.0003, 0)</f>
        <v>41.275600000000004</v>
      </c>
      <c r="D521" s="4">
        <f>44.9785 * CHOOSE(CONTROL!$C$9, $C$13, 100%, $E$13) + CHOOSE(CONTROL!$C$28, 0, 0)</f>
        <v>44.978499999999997</v>
      </c>
      <c r="E521" s="4">
        <f>239.118050519733 * CHOOSE(CONTROL!$C$9, $C$13, 100%, $E$13) + CHOOSE(CONTROL!$C$28, 0, 0)</f>
        <v>239.118050519733</v>
      </c>
    </row>
    <row r="522" spans="1:5" ht="15">
      <c r="A522" s="13">
        <v>57404</v>
      </c>
      <c r="B522" s="4">
        <f>42.5307 * CHOOSE(CONTROL!$C$9, $C$13, 100%, $E$13) + CHOOSE(CONTROL!$C$28, 0.0003, 0)</f>
        <v>42.531000000000006</v>
      </c>
      <c r="C522" s="4">
        <f>42.2182 * CHOOSE(CONTROL!$C$9, $C$13, 100%, $E$13) + CHOOSE(CONTROL!$C$28, 0.0003, 0)</f>
        <v>42.218500000000006</v>
      </c>
      <c r="D522" s="4">
        <f>46.5369 * CHOOSE(CONTROL!$C$9, $C$13, 100%, $E$13) + CHOOSE(CONTROL!$C$28, 0, 0)</f>
        <v>46.536900000000003</v>
      </c>
      <c r="E522" s="4">
        <f>244.795655381654 * CHOOSE(CONTROL!$C$9, $C$13, 100%, $E$13) + CHOOSE(CONTROL!$C$28, 0, 0)</f>
        <v>244.795655381654</v>
      </c>
    </row>
    <row r="523" spans="1:5" ht="15">
      <c r="A523" s="13">
        <v>57435</v>
      </c>
      <c r="B523" s="4">
        <f>45.0069 * CHOOSE(CONTROL!$C$9, $C$13, 100%, $E$13) + CHOOSE(CONTROL!$C$28, 0.0003, 0)</f>
        <v>45.007200000000005</v>
      </c>
      <c r="C523" s="4">
        <f>44.6944 * CHOOSE(CONTROL!$C$9, $C$13, 100%, $E$13) + CHOOSE(CONTROL!$C$28, 0.0003, 0)</f>
        <v>44.694700000000005</v>
      </c>
      <c r="D523" s="4">
        <f>48.9765 * CHOOSE(CONTROL!$C$9, $C$13, 100%, $E$13) + CHOOSE(CONTROL!$C$28, 0, 0)</f>
        <v>48.976500000000001</v>
      </c>
      <c r="E523" s="4">
        <f>259.705347475305 * CHOOSE(CONTROL!$C$9, $C$13, 100%, $E$13) + CHOOSE(CONTROL!$C$28, 0, 0)</f>
        <v>259.70534747530502</v>
      </c>
    </row>
    <row r="524" spans="1:5" ht="15">
      <c r="A524" s="13">
        <v>57465</v>
      </c>
      <c r="B524" s="4">
        <f>46.7663 * CHOOSE(CONTROL!$C$9, $C$13, 100%, $E$13) + CHOOSE(CONTROL!$C$28, 0.0003, 0)</f>
        <v>46.766600000000004</v>
      </c>
      <c r="C524" s="4">
        <f>46.4538 * CHOOSE(CONTROL!$C$9, $C$13, 100%, $E$13) + CHOOSE(CONTROL!$C$28, 0.0003, 0)</f>
        <v>46.454100000000004</v>
      </c>
      <c r="D524" s="4">
        <f>50.3818 * CHOOSE(CONTROL!$C$9, $C$13, 100%, $E$13) + CHOOSE(CONTROL!$C$28, 0, 0)</f>
        <v>50.381799999999998</v>
      </c>
      <c r="E524" s="4">
        <f>270.298882405617 * CHOOSE(CONTROL!$C$9, $C$13, 100%, $E$13) + CHOOSE(CONTROL!$C$28, 0, 0)</f>
        <v>270.29888240561701</v>
      </c>
    </row>
    <row r="525" spans="1:5" ht="15">
      <c r="A525" s="13">
        <v>57496</v>
      </c>
      <c r="B525" s="4">
        <f>47.8412 * CHOOSE(CONTROL!$C$9, $C$13, 100%, $E$13) + CHOOSE(CONTROL!$C$28, 0.0202, 0)</f>
        <v>47.861400000000003</v>
      </c>
      <c r="C525" s="4">
        <f>47.5287 * CHOOSE(CONTROL!$C$9, $C$13, 100%, $E$13) + CHOOSE(CONTROL!$C$28, 0.0202, 0)</f>
        <v>47.548900000000003</v>
      </c>
      <c r="D525" s="4">
        <f>49.8265 * CHOOSE(CONTROL!$C$9, $C$13, 100%, $E$13) + CHOOSE(CONTROL!$C$28, 0, 0)</f>
        <v>49.826500000000003</v>
      </c>
      <c r="E525" s="4">
        <f>276.77127835644 * CHOOSE(CONTROL!$C$9, $C$13, 100%, $E$13) + CHOOSE(CONTROL!$C$28, 0, 0)</f>
        <v>276.77127835644001</v>
      </c>
    </row>
    <row r="526" spans="1:5" ht="15">
      <c r="A526" s="13">
        <v>57526</v>
      </c>
      <c r="B526" s="4">
        <f>47.9867 * CHOOSE(CONTROL!$C$9, $C$13, 100%, $E$13) + CHOOSE(CONTROL!$C$28, 0.0202, 0)</f>
        <v>48.006900000000002</v>
      </c>
      <c r="C526" s="4">
        <f>47.6742 * CHOOSE(CONTROL!$C$9, $C$13, 100%, $E$13) + CHOOSE(CONTROL!$C$28, 0.0202, 0)</f>
        <v>47.694400000000002</v>
      </c>
      <c r="D526" s="4">
        <f>50.2788 * CHOOSE(CONTROL!$C$9, $C$13, 100%, $E$13) + CHOOSE(CONTROL!$C$28, 0, 0)</f>
        <v>50.278799999999997</v>
      </c>
      <c r="E526" s="4">
        <f>277.647020389581 * CHOOSE(CONTROL!$C$9, $C$13, 100%, $E$13) + CHOOSE(CONTROL!$C$28, 0, 0)</f>
        <v>277.64702038958097</v>
      </c>
    </row>
    <row r="527" spans="1:5" ht="15">
      <c r="A527" s="13">
        <v>57557</v>
      </c>
      <c r="B527" s="4">
        <f>47.972 * CHOOSE(CONTROL!$C$9, $C$13, 100%, $E$13) + CHOOSE(CONTROL!$C$28, 0.0202, 0)</f>
        <v>47.992200000000004</v>
      </c>
      <c r="C527" s="4">
        <f>47.6595 * CHOOSE(CONTROL!$C$9, $C$13, 100%, $E$13) + CHOOSE(CONTROL!$C$28, 0.0202, 0)</f>
        <v>47.679700000000004</v>
      </c>
      <c r="D527" s="4">
        <f>51.0948 * CHOOSE(CONTROL!$C$9, $C$13, 100%, $E$13) + CHOOSE(CONTROL!$C$28, 0, 0)</f>
        <v>51.094799999999999</v>
      </c>
      <c r="E527" s="4">
        <f>277.558710268592 * CHOOSE(CONTROL!$C$9, $C$13, 100%, $E$13) + CHOOSE(CONTROL!$C$28, 0, 0)</f>
        <v>277.55871026859199</v>
      </c>
    </row>
    <row r="528" spans="1:5" ht="15">
      <c r="A528" s="13">
        <v>57588</v>
      </c>
      <c r="B528" s="4">
        <f>49.0757 * CHOOSE(CONTROL!$C$9, $C$13, 100%, $E$13) + CHOOSE(CONTROL!$C$28, 0.0202, 0)</f>
        <v>49.0959</v>
      </c>
      <c r="C528" s="4">
        <f>48.7632 * CHOOSE(CONTROL!$C$9, $C$13, 100%, $E$13) + CHOOSE(CONTROL!$C$28, 0.0202, 0)</f>
        <v>48.7834</v>
      </c>
      <c r="D528" s="4">
        <f>50.5559 * CHOOSE(CONTROL!$C$9, $C$13, 100%, $E$13) + CHOOSE(CONTROL!$C$28, 0, 0)</f>
        <v>50.555900000000001</v>
      </c>
      <c r="E528" s="4">
        <f>284.204046873018 * CHOOSE(CONTROL!$C$9, $C$13, 100%, $E$13) + CHOOSE(CONTROL!$C$28, 0, 0)</f>
        <v>284.204046873018</v>
      </c>
    </row>
    <row r="529" spans="1:5" ht="15">
      <c r="A529" s="13">
        <v>57618</v>
      </c>
      <c r="B529" s="4">
        <f>47.1947 * CHOOSE(CONTROL!$C$9, $C$13, 100%, $E$13) + CHOOSE(CONTROL!$C$28, 0.0202, 0)</f>
        <v>47.2149</v>
      </c>
      <c r="C529" s="4">
        <f>46.8822 * CHOOSE(CONTROL!$C$9, $C$13, 100%, $E$13) + CHOOSE(CONTROL!$C$28, 0.0202, 0)</f>
        <v>46.9024</v>
      </c>
      <c r="D529" s="4">
        <f>50.3013 * CHOOSE(CONTROL!$C$9, $C$13, 100%, $E$13) + CHOOSE(CONTROL!$C$28, 0, 0)</f>
        <v>50.301299999999998</v>
      </c>
      <c r="E529" s="4">
        <f>272.878273856173 * CHOOSE(CONTROL!$C$9, $C$13, 100%, $E$13) + CHOOSE(CONTROL!$C$28, 0, 0)</f>
        <v>272.878273856173</v>
      </c>
    </row>
    <row r="530" spans="1:5" ht="15">
      <c r="A530" s="13">
        <v>57649</v>
      </c>
      <c r="B530" s="4">
        <f>45.6889 * CHOOSE(CONTROL!$C$9, $C$13, 100%, $E$13) + CHOOSE(CONTROL!$C$28, 0.0003, 0)</f>
        <v>45.6892</v>
      </c>
      <c r="C530" s="4">
        <f>45.3764 * CHOOSE(CONTROL!$C$9, $C$13, 100%, $E$13) + CHOOSE(CONTROL!$C$28, 0.0003, 0)</f>
        <v>45.3767</v>
      </c>
      <c r="D530" s="4">
        <f>49.6195 * CHOOSE(CONTROL!$C$9, $C$13, 100%, $E$13) + CHOOSE(CONTROL!$C$28, 0, 0)</f>
        <v>49.619500000000002</v>
      </c>
      <c r="E530" s="4">
        <f>263.811768101296 * CHOOSE(CONTROL!$C$9, $C$13, 100%, $E$13) + CHOOSE(CONTROL!$C$28, 0, 0)</f>
        <v>263.81176810129602</v>
      </c>
    </row>
    <row r="531" spans="1:5" ht="15">
      <c r="A531" s="13">
        <v>57679</v>
      </c>
      <c r="B531" s="4">
        <f>44.7191 * CHOOSE(CONTROL!$C$9, $C$13, 100%, $E$13) + CHOOSE(CONTROL!$C$28, 0.0003, 0)</f>
        <v>44.7194</v>
      </c>
      <c r="C531" s="4">
        <f>44.4066 * CHOOSE(CONTROL!$C$9, $C$13, 100%, $E$13) + CHOOSE(CONTROL!$C$28, 0.0003, 0)</f>
        <v>44.4069</v>
      </c>
      <c r="D531" s="4">
        <f>49.3851 * CHOOSE(CONTROL!$C$9, $C$13, 100%, $E$13) + CHOOSE(CONTROL!$C$28, 0, 0)</f>
        <v>49.385100000000001</v>
      </c>
      <c r="E531" s="4">
        <f>257.972261350895 * CHOOSE(CONTROL!$C$9, $C$13, 100%, $E$13) + CHOOSE(CONTROL!$C$28, 0, 0)</f>
        <v>257.972261350895</v>
      </c>
    </row>
    <row r="532" spans="1:5" ht="15">
      <c r="A532" s="13">
        <v>57710</v>
      </c>
      <c r="B532" s="4">
        <f>44.0481 * CHOOSE(CONTROL!$C$9, $C$13, 100%, $E$13) + CHOOSE(CONTROL!$C$28, 0.0003, 0)</f>
        <v>44.048400000000001</v>
      </c>
      <c r="C532" s="4">
        <f>43.7356 * CHOOSE(CONTROL!$C$9, $C$13, 100%, $E$13) + CHOOSE(CONTROL!$C$28, 0.0003, 0)</f>
        <v>43.735900000000001</v>
      </c>
      <c r="D532" s="4">
        <f>47.6595 * CHOOSE(CONTROL!$C$9, $C$13, 100%, $E$13) + CHOOSE(CONTROL!$C$28, 0, 0)</f>
        <v>47.659500000000001</v>
      </c>
      <c r="E532" s="4">
        <f>253.932073315646 * CHOOSE(CONTROL!$C$9, $C$13, 100%, $E$13) + CHOOSE(CONTROL!$C$28, 0, 0)</f>
        <v>253.93207331564599</v>
      </c>
    </row>
    <row r="533" spans="1:5" ht="15">
      <c r="A533" s="13">
        <v>57741</v>
      </c>
      <c r="B533" s="4">
        <f>42.9579 * CHOOSE(CONTROL!$C$9, $C$13, 100%, $E$13) + CHOOSE(CONTROL!$C$28, 0.0003, 0)</f>
        <v>42.958200000000005</v>
      </c>
      <c r="C533" s="4">
        <f>42.6454 * CHOOSE(CONTROL!$C$9, $C$13, 100%, $E$13) + CHOOSE(CONTROL!$C$28, 0.0003, 0)</f>
        <v>42.645700000000005</v>
      </c>
      <c r="D533" s="4">
        <f>46.0736 * CHOOSE(CONTROL!$C$9, $C$13, 100%, $E$13) + CHOOSE(CONTROL!$C$28, 0, 0)</f>
        <v>46.073599999999999</v>
      </c>
      <c r="E533" s="4">
        <f>246.650269111104 * CHOOSE(CONTROL!$C$9, $C$13, 100%, $E$13) + CHOOSE(CONTROL!$C$28, 0, 0)</f>
        <v>246.650269111104</v>
      </c>
    </row>
    <row r="534" spans="1:5" ht="15">
      <c r="A534" s="13">
        <v>57769</v>
      </c>
      <c r="B534" s="4">
        <f>43.9333 * CHOOSE(CONTROL!$C$9, $C$13, 100%, $E$13) + CHOOSE(CONTROL!$C$28, 0.0003, 0)</f>
        <v>43.933600000000006</v>
      </c>
      <c r="C534" s="4">
        <f>43.6208 * CHOOSE(CONTROL!$C$9, $C$13, 100%, $E$13) + CHOOSE(CONTROL!$C$28, 0.0003, 0)</f>
        <v>43.621100000000006</v>
      </c>
      <c r="D534" s="4">
        <f>47.6707 * CHOOSE(CONTROL!$C$9, $C$13, 100%, $E$13) + CHOOSE(CONTROL!$C$28, 0, 0)</f>
        <v>47.670699999999997</v>
      </c>
      <c r="E534" s="4">
        <f>252.506718526176 * CHOOSE(CONTROL!$C$9, $C$13, 100%, $E$13) + CHOOSE(CONTROL!$C$28, 0, 0)</f>
        <v>252.506718526176</v>
      </c>
    </row>
    <row r="535" spans="1:5" ht="15">
      <c r="A535" s="13">
        <v>57800</v>
      </c>
      <c r="B535" s="4">
        <f>46.495 * CHOOSE(CONTROL!$C$9, $C$13, 100%, $E$13) + CHOOSE(CONTROL!$C$28, 0.0003, 0)</f>
        <v>46.4953</v>
      </c>
      <c r="C535" s="4">
        <f>46.1825 * CHOOSE(CONTROL!$C$9, $C$13, 100%, $E$13) + CHOOSE(CONTROL!$C$28, 0.0003, 0)</f>
        <v>46.1828</v>
      </c>
      <c r="D535" s="4">
        <f>50.1708 * CHOOSE(CONTROL!$C$9, $C$13, 100%, $E$13) + CHOOSE(CONTROL!$C$28, 0, 0)</f>
        <v>50.1708</v>
      </c>
      <c r="E535" s="4">
        <f>267.886065920778 * CHOOSE(CONTROL!$C$9, $C$13, 100%, $E$13) + CHOOSE(CONTROL!$C$28, 0, 0)</f>
        <v>267.88606592077798</v>
      </c>
    </row>
    <row r="536" spans="1:5" ht="15">
      <c r="A536" s="13">
        <v>57830</v>
      </c>
      <c r="B536" s="4">
        <f>48.315 * CHOOSE(CONTROL!$C$9, $C$13, 100%, $E$13) + CHOOSE(CONTROL!$C$28, 0.0003, 0)</f>
        <v>48.315300000000001</v>
      </c>
      <c r="C536" s="4">
        <f>48.0025 * CHOOSE(CONTROL!$C$9, $C$13, 100%, $E$13) + CHOOSE(CONTROL!$C$28, 0.0003, 0)</f>
        <v>48.002800000000001</v>
      </c>
      <c r="D536" s="4">
        <f>51.6109 * CHOOSE(CONTROL!$C$9, $C$13, 100%, $E$13) + CHOOSE(CONTROL!$C$28, 0, 0)</f>
        <v>51.610900000000001</v>
      </c>
      <c r="E536" s="4">
        <f>278.813297201394 * CHOOSE(CONTROL!$C$9, $C$13, 100%, $E$13) + CHOOSE(CONTROL!$C$28, 0, 0)</f>
        <v>278.81329720139399</v>
      </c>
    </row>
    <row r="537" spans="1:5" ht="15">
      <c r="A537" s="13">
        <v>57861</v>
      </c>
      <c r="B537" s="4">
        <f>49.4271 * CHOOSE(CONTROL!$C$9, $C$13, 100%, $E$13) + CHOOSE(CONTROL!$C$28, 0.0202, 0)</f>
        <v>49.447300000000006</v>
      </c>
      <c r="C537" s="4">
        <f>49.1146 * CHOOSE(CONTROL!$C$9, $C$13, 100%, $E$13) + CHOOSE(CONTROL!$C$28, 0.0202, 0)</f>
        <v>49.134800000000006</v>
      </c>
      <c r="D537" s="4">
        <f>51.0418 * CHOOSE(CONTROL!$C$9, $C$13, 100%, $E$13) + CHOOSE(CONTROL!$C$28, 0, 0)</f>
        <v>51.041800000000002</v>
      </c>
      <c r="E537" s="4">
        <f>285.489573624668 * CHOOSE(CONTROL!$C$9, $C$13, 100%, $E$13) + CHOOSE(CONTROL!$C$28, 0, 0)</f>
        <v>285.48957362466803</v>
      </c>
    </row>
    <row r="538" spans="1:5" ht="15">
      <c r="A538" s="13">
        <v>57891</v>
      </c>
      <c r="B538" s="4">
        <f>49.5775 * CHOOSE(CONTROL!$C$9, $C$13, 100%, $E$13) + CHOOSE(CONTROL!$C$28, 0.0202, 0)</f>
        <v>49.597700000000003</v>
      </c>
      <c r="C538" s="4">
        <f>49.265 * CHOOSE(CONTROL!$C$9, $C$13, 100%, $E$13) + CHOOSE(CONTROL!$C$28, 0.0202, 0)</f>
        <v>49.285200000000003</v>
      </c>
      <c r="D538" s="4">
        <f>51.5053 * CHOOSE(CONTROL!$C$9, $C$13, 100%, $E$13) + CHOOSE(CONTROL!$C$28, 0, 0)</f>
        <v>51.505299999999998</v>
      </c>
      <c r="E538" s="4">
        <f>286.392901531853 * CHOOSE(CONTROL!$C$9, $C$13, 100%, $E$13) + CHOOSE(CONTROL!$C$28, 0, 0)</f>
        <v>286.392901531853</v>
      </c>
    </row>
    <row r="539" spans="1:5" ht="15">
      <c r="A539" s="13">
        <v>57922</v>
      </c>
      <c r="B539" s="4">
        <f>49.5624 * CHOOSE(CONTROL!$C$9, $C$13, 100%, $E$13) + CHOOSE(CONTROL!$C$28, 0.0202, 0)</f>
        <v>49.582599999999999</v>
      </c>
      <c r="C539" s="4">
        <f>49.2499 * CHOOSE(CONTROL!$C$9, $C$13, 100%, $E$13) + CHOOSE(CONTROL!$C$28, 0.0202, 0)</f>
        <v>49.270099999999999</v>
      </c>
      <c r="D539" s="4">
        <f>52.3416 * CHOOSE(CONTROL!$C$9, $C$13, 100%, $E$13) + CHOOSE(CONTROL!$C$28, 0, 0)</f>
        <v>52.3416</v>
      </c>
      <c r="E539" s="4">
        <f>286.301809642053 * CHOOSE(CONTROL!$C$9, $C$13, 100%, $E$13) + CHOOSE(CONTROL!$C$28, 0, 0)</f>
        <v>286.301809642053</v>
      </c>
    </row>
    <row r="540" spans="1:5" ht="15">
      <c r="A540" s="13">
        <v>57953</v>
      </c>
      <c r="B540" s="4">
        <f>50.7041 * CHOOSE(CONTROL!$C$9, $C$13, 100%, $E$13) + CHOOSE(CONTROL!$C$28, 0.0202, 0)</f>
        <v>50.724299999999999</v>
      </c>
      <c r="C540" s="4">
        <f>50.3916 * CHOOSE(CONTROL!$C$9, $C$13, 100%, $E$13) + CHOOSE(CONTROL!$C$28, 0.0202, 0)</f>
        <v>50.411799999999999</v>
      </c>
      <c r="D540" s="4">
        <f>51.7893 * CHOOSE(CONTROL!$C$9, $C$13, 100%, $E$13) + CHOOSE(CONTROL!$C$28, 0, 0)</f>
        <v>51.789299999999997</v>
      </c>
      <c r="E540" s="4">
        <f>293.156474349519 * CHOOSE(CONTROL!$C$9, $C$13, 100%, $E$13) + CHOOSE(CONTROL!$C$28, 0, 0)</f>
        <v>293.15647434951899</v>
      </c>
    </row>
    <row r="541" spans="1:5" ht="15">
      <c r="A541" s="13">
        <v>57983</v>
      </c>
      <c r="B541" s="4">
        <f>48.7582 * CHOOSE(CONTROL!$C$9, $C$13, 100%, $E$13) + CHOOSE(CONTROL!$C$28, 0.0202, 0)</f>
        <v>48.778400000000005</v>
      </c>
      <c r="C541" s="4">
        <f>48.4457 * CHOOSE(CONTROL!$C$9, $C$13, 100%, $E$13) + CHOOSE(CONTROL!$C$28, 0.0202, 0)</f>
        <v>48.465900000000005</v>
      </c>
      <c r="D541" s="4">
        <f>51.5283 * CHOOSE(CONTROL!$C$9, $C$13, 100%, $E$13) + CHOOSE(CONTROL!$C$28, 0, 0)</f>
        <v>51.528300000000002</v>
      </c>
      <c r="E541" s="4">
        <f>281.473939482642 * CHOOSE(CONTROL!$C$9, $C$13, 100%, $E$13) + CHOOSE(CONTROL!$C$28, 0, 0)</f>
        <v>281.47393948264198</v>
      </c>
    </row>
    <row r="542" spans="1:5" ht="15">
      <c r="A542" s="13">
        <v>58014</v>
      </c>
      <c r="B542" s="4">
        <f>47.2005 * CHOOSE(CONTROL!$C$9, $C$13, 100%, $E$13) + CHOOSE(CONTROL!$C$28, 0.0003, 0)</f>
        <v>47.200800000000001</v>
      </c>
      <c r="C542" s="4">
        <f>46.888 * CHOOSE(CONTROL!$C$9, $C$13, 100%, $E$13) + CHOOSE(CONTROL!$C$28, 0.0003, 0)</f>
        <v>46.888300000000001</v>
      </c>
      <c r="D542" s="4">
        <f>50.8297 * CHOOSE(CONTROL!$C$9, $C$13, 100%, $E$13) + CHOOSE(CONTROL!$C$28, 0, 0)</f>
        <v>50.829700000000003</v>
      </c>
      <c r="E542" s="4">
        <f>272.121838796487 * CHOOSE(CONTROL!$C$9, $C$13, 100%, $E$13) + CHOOSE(CONTROL!$C$28, 0, 0)</f>
        <v>272.121838796487</v>
      </c>
    </row>
    <row r="543" spans="1:5" ht="15">
      <c r="A543" s="13">
        <v>58044</v>
      </c>
      <c r="B543" s="4">
        <f>46.1972 * CHOOSE(CONTROL!$C$9, $C$13, 100%, $E$13) + CHOOSE(CONTROL!$C$28, 0.0003, 0)</f>
        <v>46.197500000000005</v>
      </c>
      <c r="C543" s="4">
        <f>45.8847 * CHOOSE(CONTROL!$C$9, $C$13, 100%, $E$13) + CHOOSE(CONTROL!$C$28, 0.0003, 0)</f>
        <v>45.885000000000005</v>
      </c>
      <c r="D543" s="4">
        <f>50.5895 * CHOOSE(CONTROL!$C$9, $C$13, 100%, $E$13) + CHOOSE(CONTROL!$C$28, 0, 0)</f>
        <v>50.589500000000001</v>
      </c>
      <c r="E543" s="4">
        <f>266.098387583449 * CHOOSE(CONTROL!$C$9, $C$13, 100%, $E$13) + CHOOSE(CONTROL!$C$28, 0, 0)</f>
        <v>266.09838758344898</v>
      </c>
    </row>
    <row r="544" spans="1:5" ht="15">
      <c r="A544" s="13">
        <v>58075</v>
      </c>
      <c r="B544" s="4">
        <f>45.5031 * CHOOSE(CONTROL!$C$9, $C$13, 100%, $E$13) + CHOOSE(CONTROL!$C$28, 0.0003, 0)</f>
        <v>45.503400000000006</v>
      </c>
      <c r="C544" s="4">
        <f>45.1906 * CHOOSE(CONTROL!$C$9, $C$13, 100%, $E$13) + CHOOSE(CONTROL!$C$28, 0.0003, 0)</f>
        <v>45.190900000000006</v>
      </c>
      <c r="D544" s="4">
        <f>48.8211 * CHOOSE(CONTROL!$C$9, $C$13, 100%, $E$13) + CHOOSE(CONTROL!$C$28, 0, 0)</f>
        <v>48.821100000000001</v>
      </c>
      <c r="E544" s="4">
        <f>261.930933625089 * CHOOSE(CONTROL!$C$9, $C$13, 100%, $E$13) + CHOOSE(CONTROL!$C$28, 0, 0)</f>
        <v>261.93093362508898</v>
      </c>
    </row>
    <row r="545" spans="1:5" ht="15">
      <c r="A545" s="13">
        <v>58106</v>
      </c>
      <c r="B545" s="4">
        <f>44.3752 * CHOOSE(CONTROL!$C$9, $C$13, 100%, $E$13) + CHOOSE(CONTROL!$C$28, 0.0003, 0)</f>
        <v>44.375500000000002</v>
      </c>
      <c r="C545" s="4">
        <f>44.0627 * CHOOSE(CONTROL!$C$9, $C$13, 100%, $E$13) + CHOOSE(CONTROL!$C$28, 0.0003, 0)</f>
        <v>44.063000000000002</v>
      </c>
      <c r="D545" s="4">
        <f>47.1958 * CHOOSE(CONTROL!$C$9, $C$13, 100%, $E$13) + CHOOSE(CONTROL!$C$28, 0, 0)</f>
        <v>47.195799999999998</v>
      </c>
      <c r="E545" s="4">
        <f>254.419752588104 * CHOOSE(CONTROL!$C$9, $C$13, 100%, $E$13) + CHOOSE(CONTROL!$C$28, 0, 0)</f>
        <v>254.41975258810399</v>
      </c>
    </row>
    <row r="546" spans="1:5" ht="15">
      <c r="A546" s="13">
        <v>58134</v>
      </c>
      <c r="B546" s="4">
        <f>45.3843 * CHOOSE(CONTROL!$C$9, $C$13, 100%, $E$13) + CHOOSE(CONTROL!$C$28, 0.0003, 0)</f>
        <v>45.384600000000006</v>
      </c>
      <c r="C546" s="4">
        <f>45.0718 * CHOOSE(CONTROL!$C$9, $C$13, 100%, $E$13) + CHOOSE(CONTROL!$C$28, 0.0003, 0)</f>
        <v>45.072100000000006</v>
      </c>
      <c r="D546" s="4">
        <f>48.8325 * CHOOSE(CONTROL!$C$9, $C$13, 100%, $E$13) + CHOOSE(CONTROL!$C$28, 0, 0)</f>
        <v>48.832500000000003</v>
      </c>
      <c r="E546" s="4">
        <f>260.460680159751 * CHOOSE(CONTROL!$C$9, $C$13, 100%, $E$13) + CHOOSE(CONTROL!$C$28, 0, 0)</f>
        <v>260.46068015975101</v>
      </c>
    </row>
    <row r="547" spans="1:5" ht="15">
      <c r="A547" s="13">
        <v>58165</v>
      </c>
      <c r="B547" s="4">
        <f>48.0344 * CHOOSE(CONTROL!$C$9, $C$13, 100%, $E$13) + CHOOSE(CONTROL!$C$28, 0.0003, 0)</f>
        <v>48.034700000000001</v>
      </c>
      <c r="C547" s="4">
        <f>47.7219 * CHOOSE(CONTROL!$C$9, $C$13, 100%, $E$13) + CHOOSE(CONTROL!$C$28, 0.0003, 0)</f>
        <v>47.722200000000001</v>
      </c>
      <c r="D547" s="4">
        <f>51.3946 * CHOOSE(CONTROL!$C$9, $C$13, 100%, $E$13) + CHOOSE(CONTROL!$C$28, 0, 0)</f>
        <v>51.394599999999997</v>
      </c>
      <c r="E547" s="4">
        <f>276.324476997282 * CHOOSE(CONTROL!$C$9, $C$13, 100%, $E$13) + CHOOSE(CONTROL!$C$28, 0, 0)</f>
        <v>276.32447699728198</v>
      </c>
    </row>
    <row r="548" spans="1:5" ht="15">
      <c r="A548" s="13">
        <v>58195</v>
      </c>
      <c r="B548" s="4">
        <f>49.9172 * CHOOSE(CONTROL!$C$9, $C$13, 100%, $E$13) + CHOOSE(CONTROL!$C$28, 0.0003, 0)</f>
        <v>49.917500000000004</v>
      </c>
      <c r="C548" s="4">
        <f>49.6047 * CHOOSE(CONTROL!$C$9, $C$13, 100%, $E$13) + CHOOSE(CONTROL!$C$28, 0.0003, 0)</f>
        <v>49.605000000000004</v>
      </c>
      <c r="D548" s="4">
        <f>52.8704 * CHOOSE(CONTROL!$C$9, $C$13, 100%, $E$13) + CHOOSE(CONTROL!$C$28, 0, 0)</f>
        <v>52.870399999999997</v>
      </c>
      <c r="E548" s="4">
        <f>287.595916063238 * CHOOSE(CONTROL!$C$9, $C$13, 100%, $E$13) + CHOOSE(CONTROL!$C$28, 0, 0)</f>
        <v>287.59591606323801</v>
      </c>
    </row>
    <row r="549" spans="1:5" ht="15">
      <c r="A549" s="13">
        <v>58226</v>
      </c>
      <c r="B549" s="4">
        <f>51.0676 * CHOOSE(CONTROL!$C$9, $C$13, 100%, $E$13) + CHOOSE(CONTROL!$C$28, 0.0202, 0)</f>
        <v>51.087800000000001</v>
      </c>
      <c r="C549" s="4">
        <f>50.7551 * CHOOSE(CONTROL!$C$9, $C$13, 100%, $E$13) + CHOOSE(CONTROL!$C$28, 0.0202, 0)</f>
        <v>50.775300000000001</v>
      </c>
      <c r="D549" s="4">
        <f>52.2873 * CHOOSE(CONTROL!$C$9, $C$13, 100%, $E$13) + CHOOSE(CONTROL!$C$28, 0, 0)</f>
        <v>52.287300000000002</v>
      </c>
      <c r="E549" s="4">
        <f>294.482495193845 * CHOOSE(CONTROL!$C$9, $C$13, 100%, $E$13) + CHOOSE(CONTROL!$C$28, 0, 0)</f>
        <v>294.48249519384501</v>
      </c>
    </row>
    <row r="550" spans="1:5" ht="15">
      <c r="A550" s="13">
        <v>58256</v>
      </c>
      <c r="B550" s="4">
        <f>51.2233 * CHOOSE(CONTROL!$C$9, $C$13, 100%, $E$13) + CHOOSE(CONTROL!$C$28, 0.0202, 0)</f>
        <v>51.243500000000004</v>
      </c>
      <c r="C550" s="4">
        <f>50.9108 * CHOOSE(CONTROL!$C$9, $C$13, 100%, $E$13) + CHOOSE(CONTROL!$C$28, 0.0202, 0)</f>
        <v>50.931000000000004</v>
      </c>
      <c r="D550" s="4">
        <f>52.7622 * CHOOSE(CONTROL!$C$9, $C$13, 100%, $E$13) + CHOOSE(CONTROL!$C$28, 0, 0)</f>
        <v>52.7622</v>
      </c>
      <c r="E550" s="4">
        <f>295.414277930106 * CHOOSE(CONTROL!$C$9, $C$13, 100%, $E$13) + CHOOSE(CONTROL!$C$28, 0, 0)</f>
        <v>295.41427793010598</v>
      </c>
    </row>
    <row r="551" spans="1:5" ht="15">
      <c r="A551" s="13">
        <v>58287</v>
      </c>
      <c r="B551" s="4">
        <f>51.2076 * CHOOSE(CONTROL!$C$9, $C$13, 100%, $E$13) + CHOOSE(CONTROL!$C$28, 0.0202, 0)</f>
        <v>51.227800000000002</v>
      </c>
      <c r="C551" s="4">
        <f>50.8951 * CHOOSE(CONTROL!$C$9, $C$13, 100%, $E$13) + CHOOSE(CONTROL!$C$28, 0.0202, 0)</f>
        <v>50.915300000000002</v>
      </c>
      <c r="D551" s="4">
        <f>53.6192 * CHOOSE(CONTROL!$C$9, $C$13, 100%, $E$13) + CHOOSE(CONTROL!$C$28, 0, 0)</f>
        <v>53.619199999999999</v>
      </c>
      <c r="E551" s="4">
        <f>295.320316645778 * CHOOSE(CONTROL!$C$9, $C$13, 100%, $E$13) + CHOOSE(CONTROL!$C$28, 0, 0)</f>
        <v>295.32031664577801</v>
      </c>
    </row>
    <row r="552" spans="1:5" ht="15">
      <c r="A552" s="13">
        <v>58318</v>
      </c>
      <c r="B552" s="4">
        <f>52.3887 * CHOOSE(CONTROL!$C$9, $C$13, 100%, $E$13) + CHOOSE(CONTROL!$C$28, 0.0202, 0)</f>
        <v>52.408900000000003</v>
      </c>
      <c r="C552" s="4">
        <f>52.0762 * CHOOSE(CONTROL!$C$9, $C$13, 100%, $E$13) + CHOOSE(CONTROL!$C$28, 0.0202, 0)</f>
        <v>52.096400000000003</v>
      </c>
      <c r="D552" s="4">
        <f>53.0532 * CHOOSE(CONTROL!$C$9, $C$13, 100%, $E$13) + CHOOSE(CONTROL!$C$28, 0, 0)</f>
        <v>53.053199999999997</v>
      </c>
      <c r="E552" s="4">
        <f>302.390903291528 * CHOOSE(CONTROL!$C$9, $C$13, 100%, $E$13) + CHOOSE(CONTROL!$C$28, 0, 0)</f>
        <v>302.39090329152799</v>
      </c>
    </row>
    <row r="553" spans="1:5" ht="15">
      <c r="A553" s="13">
        <v>58348</v>
      </c>
      <c r="B553" s="4">
        <f>50.3757 * CHOOSE(CONTROL!$C$9, $C$13, 100%, $E$13) + CHOOSE(CONTROL!$C$28, 0.0202, 0)</f>
        <v>50.395900000000005</v>
      </c>
      <c r="C553" s="4">
        <f>50.0632 * CHOOSE(CONTROL!$C$9, $C$13, 100%, $E$13) + CHOOSE(CONTROL!$C$28, 0.0202, 0)</f>
        <v>50.083400000000005</v>
      </c>
      <c r="D553" s="4">
        <f>52.7858 * CHOOSE(CONTROL!$C$9, $C$13, 100%, $E$13) + CHOOSE(CONTROL!$C$28, 0, 0)</f>
        <v>52.785800000000002</v>
      </c>
      <c r="E553" s="4">
        <f>290.340368576345 * CHOOSE(CONTROL!$C$9, $C$13, 100%, $E$13) + CHOOSE(CONTROL!$C$28, 0, 0)</f>
        <v>290.34036857634499</v>
      </c>
    </row>
    <row r="554" spans="1:5" ht="15">
      <c r="A554" s="13">
        <v>58379</v>
      </c>
      <c r="B554" s="4">
        <f>48.7642 * CHOOSE(CONTROL!$C$9, $C$13, 100%, $E$13) + CHOOSE(CONTROL!$C$28, 0.0003, 0)</f>
        <v>48.764500000000005</v>
      </c>
      <c r="C554" s="4">
        <f>48.4517 * CHOOSE(CONTROL!$C$9, $C$13, 100%, $E$13) + CHOOSE(CONTROL!$C$28, 0.0003, 0)</f>
        <v>48.452000000000005</v>
      </c>
      <c r="D554" s="4">
        <f>52.0698 * CHOOSE(CONTROL!$C$9, $C$13, 100%, $E$13) + CHOOSE(CONTROL!$C$28, 0, 0)</f>
        <v>52.069800000000001</v>
      </c>
      <c r="E554" s="4">
        <f>280.693676718577 * CHOOSE(CONTROL!$C$9, $C$13, 100%, $E$13) + CHOOSE(CONTROL!$C$28, 0, 0)</f>
        <v>280.69367671857702</v>
      </c>
    </row>
    <row r="555" spans="1:5" ht="15">
      <c r="A555" s="13">
        <v>58409</v>
      </c>
      <c r="B555" s="4">
        <f>47.7263 * CHOOSE(CONTROL!$C$9, $C$13, 100%, $E$13) + CHOOSE(CONTROL!$C$28, 0.0003, 0)</f>
        <v>47.726600000000005</v>
      </c>
      <c r="C555" s="4">
        <f>47.4138 * CHOOSE(CONTROL!$C$9, $C$13, 100%, $E$13) + CHOOSE(CONTROL!$C$28, 0.0003, 0)</f>
        <v>47.414100000000005</v>
      </c>
      <c r="D555" s="4">
        <f>51.8237 * CHOOSE(CONTROL!$C$9, $C$13, 100%, $E$13) + CHOOSE(CONTROL!$C$28, 0, 0)</f>
        <v>51.823700000000002</v>
      </c>
      <c r="E555" s="4">
        <f>274.480486792327 * CHOOSE(CONTROL!$C$9, $C$13, 100%, $E$13) + CHOOSE(CONTROL!$C$28, 0, 0)</f>
        <v>274.48048679232699</v>
      </c>
    </row>
    <row r="556" spans="1:5" ht="15">
      <c r="A556" s="13">
        <v>58440</v>
      </c>
      <c r="B556" s="4">
        <f>47.0082 * CHOOSE(CONTROL!$C$9, $C$13, 100%, $E$13) + CHOOSE(CONTROL!$C$28, 0.0003, 0)</f>
        <v>47.008500000000005</v>
      </c>
      <c r="C556" s="4">
        <f>46.6957 * CHOOSE(CONTROL!$C$9, $C$13, 100%, $E$13) + CHOOSE(CONTROL!$C$28, 0.0003, 0)</f>
        <v>46.696000000000005</v>
      </c>
      <c r="D556" s="4">
        <f>50.0115 * CHOOSE(CONTROL!$C$9, $C$13, 100%, $E$13) + CHOOSE(CONTROL!$C$28, 0, 0)</f>
        <v>50.011499999999998</v>
      </c>
      <c r="E556" s="4">
        <f>270.181758034279 * CHOOSE(CONTROL!$C$9, $C$13, 100%, $E$13) + CHOOSE(CONTROL!$C$28, 0, 0)</f>
        <v>270.18175803427903</v>
      </c>
    </row>
    <row r="557" spans="1:5" ht="15">
      <c r="A557" s="13">
        <v>58471</v>
      </c>
      <c r="B557" s="4">
        <f>45.8415 * CHOOSE(CONTROL!$C$9, $C$13, 100%, $E$13) + CHOOSE(CONTROL!$C$28, 0.0003, 0)</f>
        <v>45.841800000000006</v>
      </c>
      <c r="C557" s="4">
        <f>45.529 * CHOOSE(CONTROL!$C$9, $C$13, 100%, $E$13) + CHOOSE(CONTROL!$C$28, 0.0003, 0)</f>
        <v>45.529300000000006</v>
      </c>
      <c r="D557" s="4">
        <f>48.3458 * CHOOSE(CONTROL!$C$9, $C$13, 100%, $E$13) + CHOOSE(CONTROL!$C$28, 0, 0)</f>
        <v>48.345799999999997</v>
      </c>
      <c r="E557" s="4">
        <f>262.433974794629 * CHOOSE(CONTROL!$C$9, $C$13, 100%, $E$13) + CHOOSE(CONTROL!$C$28, 0, 0)</f>
        <v>262.43397479462902</v>
      </c>
    </row>
    <row r="558" spans="1:5" ht="15">
      <c r="A558" s="13">
        <v>58499</v>
      </c>
      <c r="B558" s="4">
        <f>46.8854 * CHOOSE(CONTROL!$C$9, $C$13, 100%, $E$13) + CHOOSE(CONTROL!$C$28, 0.0003, 0)</f>
        <v>46.8857</v>
      </c>
      <c r="C558" s="4">
        <f>46.5729 * CHOOSE(CONTROL!$C$9, $C$13, 100%, $E$13) + CHOOSE(CONTROL!$C$28, 0.0003, 0)</f>
        <v>46.5732</v>
      </c>
      <c r="D558" s="4">
        <f>50.0231 * CHOOSE(CONTROL!$C$9, $C$13, 100%, $E$13) + CHOOSE(CONTROL!$C$28, 0, 0)</f>
        <v>50.023099999999999</v>
      </c>
      <c r="E558" s="4">
        <f>268.665191584783 * CHOOSE(CONTROL!$C$9, $C$13, 100%, $E$13) + CHOOSE(CONTROL!$C$28, 0, 0)</f>
        <v>268.66519158478297</v>
      </c>
    </row>
    <row r="559" spans="1:5" ht="15">
      <c r="A559" s="13">
        <v>58531</v>
      </c>
      <c r="B559" s="4">
        <f>49.6269 * CHOOSE(CONTROL!$C$9, $C$13, 100%, $E$13) + CHOOSE(CONTROL!$C$28, 0.0003, 0)</f>
        <v>49.627200000000002</v>
      </c>
      <c r="C559" s="4">
        <f>49.3144 * CHOOSE(CONTROL!$C$9, $C$13, 100%, $E$13) + CHOOSE(CONTROL!$C$28, 0.0003, 0)</f>
        <v>49.314700000000002</v>
      </c>
      <c r="D559" s="4">
        <f>52.6488 * CHOOSE(CONTROL!$C$9, $C$13, 100%, $E$13) + CHOOSE(CONTROL!$C$28, 0, 0)</f>
        <v>52.648800000000001</v>
      </c>
      <c r="E559" s="4">
        <f>285.028698022697 * CHOOSE(CONTROL!$C$9, $C$13, 100%, $E$13) + CHOOSE(CONTROL!$C$28, 0, 0)</f>
        <v>285.02869802269697</v>
      </c>
    </row>
    <row r="560" spans="1:5" ht="15">
      <c r="A560" s="13">
        <v>58561</v>
      </c>
      <c r="B560" s="4">
        <f>51.5747 * CHOOSE(CONTROL!$C$9, $C$13, 100%, $E$13) + CHOOSE(CONTROL!$C$28, 0.0003, 0)</f>
        <v>51.575000000000003</v>
      </c>
      <c r="C560" s="4">
        <f>51.2622 * CHOOSE(CONTROL!$C$9, $C$13, 100%, $E$13) + CHOOSE(CONTROL!$C$28, 0.0003, 0)</f>
        <v>51.262500000000003</v>
      </c>
      <c r="D560" s="4">
        <f>54.1612 * CHOOSE(CONTROL!$C$9, $C$13, 100%, $E$13) + CHOOSE(CONTROL!$C$28, 0, 0)</f>
        <v>54.161200000000001</v>
      </c>
      <c r="E560" s="4">
        <f>296.65518741923 * CHOOSE(CONTROL!$C$9, $C$13, 100%, $E$13) + CHOOSE(CONTROL!$C$28, 0, 0)</f>
        <v>296.65518741923</v>
      </c>
    </row>
    <row r="561" spans="1:5" ht="15">
      <c r="A561" s="13">
        <v>58592</v>
      </c>
      <c r="B561" s="4">
        <f>52.7648 * CHOOSE(CONTROL!$C$9, $C$13, 100%, $E$13) + CHOOSE(CONTROL!$C$28, 0.0202, 0)</f>
        <v>52.785000000000004</v>
      </c>
      <c r="C561" s="4">
        <f>52.4523 * CHOOSE(CONTROL!$C$9, $C$13, 100%, $E$13) + CHOOSE(CONTROL!$C$28, 0.0202, 0)</f>
        <v>52.472500000000004</v>
      </c>
      <c r="D561" s="4">
        <f>53.5636 * CHOOSE(CONTROL!$C$9, $C$13, 100%, $E$13) + CHOOSE(CONTROL!$C$28, 0, 0)</f>
        <v>53.563600000000001</v>
      </c>
      <c r="E561" s="4">
        <f>303.758693792451 * CHOOSE(CONTROL!$C$9, $C$13, 100%, $E$13) + CHOOSE(CONTROL!$C$28, 0, 0)</f>
        <v>303.75869379245103</v>
      </c>
    </row>
    <row r="562" spans="1:5" ht="15">
      <c r="A562" s="13">
        <v>58622</v>
      </c>
      <c r="B562" s="4">
        <f>52.9258 * CHOOSE(CONTROL!$C$9, $C$13, 100%, $E$13) + CHOOSE(CONTROL!$C$28, 0.0202, 0)</f>
        <v>52.946000000000005</v>
      </c>
      <c r="C562" s="4">
        <f>52.6133 * CHOOSE(CONTROL!$C$9, $C$13, 100%, $E$13) + CHOOSE(CONTROL!$C$28, 0.0202, 0)</f>
        <v>52.633500000000005</v>
      </c>
      <c r="D562" s="4">
        <f>54.0503 * CHOOSE(CONTROL!$C$9, $C$13, 100%, $E$13) + CHOOSE(CONTROL!$C$28, 0, 0)</f>
        <v>54.0503</v>
      </c>
      <c r="E562" s="4">
        <f>304.719827684905 * CHOOSE(CONTROL!$C$9, $C$13, 100%, $E$13) + CHOOSE(CONTROL!$C$28, 0, 0)</f>
        <v>304.719827684905</v>
      </c>
    </row>
    <row r="563" spans="1:5" ht="15">
      <c r="A563" s="13">
        <v>58653</v>
      </c>
      <c r="B563" s="4">
        <f>52.9095 * CHOOSE(CONTROL!$C$9, $C$13, 100%, $E$13) + CHOOSE(CONTROL!$C$28, 0.0202, 0)</f>
        <v>52.929700000000004</v>
      </c>
      <c r="C563" s="4">
        <f>52.597 * CHOOSE(CONTROL!$C$9, $C$13, 100%, $E$13) + CHOOSE(CONTROL!$C$28, 0.0202, 0)</f>
        <v>52.617200000000004</v>
      </c>
      <c r="D563" s="4">
        <f>54.9286 * CHOOSE(CONTROL!$C$9, $C$13, 100%, $E$13) + CHOOSE(CONTROL!$C$28, 0, 0)</f>
        <v>54.928600000000003</v>
      </c>
      <c r="E563" s="4">
        <f>304.62290662012 * CHOOSE(CONTROL!$C$9, $C$13, 100%, $E$13) + CHOOSE(CONTROL!$C$28, 0, 0)</f>
        <v>304.62290662011998</v>
      </c>
    </row>
    <row r="564" spans="1:5" ht="15">
      <c r="A564" s="13">
        <v>58684</v>
      </c>
      <c r="B564" s="4">
        <f>54.1314 * CHOOSE(CONTROL!$C$9, $C$13, 100%, $E$13) + CHOOSE(CONTROL!$C$28, 0.0202, 0)</f>
        <v>54.151600000000002</v>
      </c>
      <c r="C564" s="4">
        <f>53.8189 * CHOOSE(CONTROL!$C$9, $C$13, 100%, $E$13) + CHOOSE(CONTROL!$C$28, 0.0202, 0)</f>
        <v>53.839100000000002</v>
      </c>
      <c r="D564" s="4">
        <f>54.3486 * CHOOSE(CONTROL!$C$9, $C$13, 100%, $E$13) + CHOOSE(CONTROL!$C$28, 0, 0)</f>
        <v>54.348599999999998</v>
      </c>
      <c r="E564" s="4">
        <f>311.916216745212 * CHOOSE(CONTROL!$C$9, $C$13, 100%, $E$13) + CHOOSE(CONTROL!$C$28, 0, 0)</f>
        <v>311.91621674521201</v>
      </c>
    </row>
    <row r="565" spans="1:5" ht="15">
      <c r="A565" s="13">
        <v>58714</v>
      </c>
      <c r="B565" s="4">
        <f>52.0489 * CHOOSE(CONTROL!$C$9, $C$13, 100%, $E$13) + CHOOSE(CONTROL!$C$28, 0.0202, 0)</f>
        <v>52.069100000000006</v>
      </c>
      <c r="C565" s="4">
        <f>51.7364 * CHOOSE(CONTROL!$C$9, $C$13, 100%, $E$13) + CHOOSE(CONTROL!$C$28, 0.0202, 0)</f>
        <v>51.756600000000006</v>
      </c>
      <c r="D565" s="4">
        <f>54.0745 * CHOOSE(CONTROL!$C$9, $C$13, 100%, $E$13) + CHOOSE(CONTROL!$C$28, 0, 0)</f>
        <v>54.0745</v>
      </c>
      <c r="E565" s="4">
        <f>299.4860901865 * CHOOSE(CONTROL!$C$9, $C$13, 100%, $E$13) + CHOOSE(CONTROL!$C$28, 0, 0)</f>
        <v>299.48609018650001</v>
      </c>
    </row>
    <row r="566" spans="1:5" ht="15">
      <c r="A566" s="13">
        <v>58745</v>
      </c>
      <c r="B566" s="4">
        <f>50.3819 * CHOOSE(CONTROL!$C$9, $C$13, 100%, $E$13) + CHOOSE(CONTROL!$C$28, 0.0003, 0)</f>
        <v>50.382200000000005</v>
      </c>
      <c r="C566" s="4">
        <f>50.0694 * CHOOSE(CONTROL!$C$9, $C$13, 100%, $E$13) + CHOOSE(CONTROL!$C$28, 0.0003, 0)</f>
        <v>50.069700000000005</v>
      </c>
      <c r="D566" s="4">
        <f>53.3408 * CHOOSE(CONTROL!$C$9, $C$13, 100%, $E$13) + CHOOSE(CONTROL!$C$28, 0, 0)</f>
        <v>53.340800000000002</v>
      </c>
      <c r="E566" s="4">
        <f>289.535527535212 * CHOOSE(CONTROL!$C$9, $C$13, 100%, $E$13) + CHOOSE(CONTROL!$C$28, 0, 0)</f>
        <v>289.535527535212</v>
      </c>
    </row>
    <row r="567" spans="1:5" ht="15">
      <c r="A567" s="13">
        <v>58775</v>
      </c>
      <c r="B567" s="4">
        <f>49.3082 * CHOOSE(CONTROL!$C$9, $C$13, 100%, $E$13) + CHOOSE(CONTROL!$C$28, 0.0003, 0)</f>
        <v>49.308500000000002</v>
      </c>
      <c r="C567" s="4">
        <f>48.9957 * CHOOSE(CONTROL!$C$9, $C$13, 100%, $E$13) + CHOOSE(CONTROL!$C$28, 0.0003, 0)</f>
        <v>48.996000000000002</v>
      </c>
      <c r="D567" s="4">
        <f>53.0885 * CHOOSE(CONTROL!$C$9, $C$13, 100%, $E$13) + CHOOSE(CONTROL!$C$28, 0, 0)</f>
        <v>53.088500000000003</v>
      </c>
      <c r="E567" s="4">
        <f>283.126622126286 * CHOOSE(CONTROL!$C$9, $C$13, 100%, $E$13) + CHOOSE(CONTROL!$C$28, 0, 0)</f>
        <v>283.12662212628601</v>
      </c>
    </row>
    <row r="568" spans="1:5" ht="15">
      <c r="A568" s="13">
        <v>58806</v>
      </c>
      <c r="B568" s="4">
        <f>48.5653 * CHOOSE(CONTROL!$C$9, $C$13, 100%, $E$13) + CHOOSE(CONTROL!$C$28, 0.0003, 0)</f>
        <v>48.565600000000003</v>
      </c>
      <c r="C568" s="4">
        <f>48.2528 * CHOOSE(CONTROL!$C$9, $C$13, 100%, $E$13) + CHOOSE(CONTROL!$C$28, 0.0003, 0)</f>
        <v>48.253100000000003</v>
      </c>
      <c r="D568" s="4">
        <f>51.2313 * CHOOSE(CONTROL!$C$9, $C$13, 100%, $E$13) + CHOOSE(CONTROL!$C$28, 0, 0)</f>
        <v>51.231299999999997</v>
      </c>
      <c r="E568" s="4">
        <f>278.692483412359 * CHOOSE(CONTROL!$C$9, $C$13, 100%, $E$13) + CHOOSE(CONTROL!$C$28, 0, 0)</f>
        <v>278.69248341235902</v>
      </c>
    </row>
    <row r="569" spans="1:5" ht="15">
      <c r="A569" s="13">
        <v>58837</v>
      </c>
      <c r="B569" s="4">
        <f>47.3583 * CHOOSE(CONTROL!$C$9, $C$13, 100%, $E$13) + CHOOSE(CONTROL!$C$28, 0.0003, 0)</f>
        <v>47.358600000000003</v>
      </c>
      <c r="C569" s="4">
        <f>47.0458 * CHOOSE(CONTROL!$C$9, $C$13, 100%, $E$13) + CHOOSE(CONTROL!$C$28, 0.0003, 0)</f>
        <v>47.046100000000003</v>
      </c>
      <c r="D569" s="4">
        <f>49.5244 * CHOOSE(CONTROL!$C$9, $C$13, 100%, $E$13) + CHOOSE(CONTROL!$C$28, 0, 0)</f>
        <v>49.5244</v>
      </c>
      <c r="E569" s="4">
        <f>270.70064500066 * CHOOSE(CONTROL!$C$9, $C$13, 100%, $E$13) + CHOOSE(CONTROL!$C$28, 0, 0)</f>
        <v>270.70064500066002</v>
      </c>
    </row>
    <row r="570" spans="1:5" ht="15">
      <c r="A570" s="13">
        <v>58865</v>
      </c>
      <c r="B570" s="4">
        <f>48.4383 * CHOOSE(CONTROL!$C$9, $C$13, 100%, $E$13) + CHOOSE(CONTROL!$C$28, 0.0003, 0)</f>
        <v>48.438600000000001</v>
      </c>
      <c r="C570" s="4">
        <f>48.1258 * CHOOSE(CONTROL!$C$9, $C$13, 100%, $E$13) + CHOOSE(CONTROL!$C$28, 0.0003, 0)</f>
        <v>48.126100000000001</v>
      </c>
      <c r="D570" s="4">
        <f>51.2433 * CHOOSE(CONTROL!$C$9, $C$13, 100%, $E$13) + CHOOSE(CONTROL!$C$28, 0, 0)</f>
        <v>51.243299999999998</v>
      </c>
      <c r="E570" s="4">
        <f>277.128145119703 * CHOOSE(CONTROL!$C$9, $C$13, 100%, $E$13) + CHOOSE(CONTROL!$C$28, 0, 0)</f>
        <v>277.12814511970299</v>
      </c>
    </row>
    <row r="571" spans="1:5" ht="15">
      <c r="A571" s="13">
        <v>58893</v>
      </c>
      <c r="B571" s="4">
        <f>51.2743 * CHOOSE(CONTROL!$C$9, $C$13, 100%, $E$13) + CHOOSE(CONTROL!$C$28, 0.0003, 0)</f>
        <v>51.2746</v>
      </c>
      <c r="C571" s="4">
        <f>50.9618 * CHOOSE(CONTROL!$C$9, $C$13, 100%, $E$13) + CHOOSE(CONTROL!$C$28, 0.0003, 0)</f>
        <v>50.9621</v>
      </c>
      <c r="D571" s="4">
        <f>53.9341 * CHOOSE(CONTROL!$C$9, $C$13, 100%, $E$13) + CHOOSE(CONTROL!$C$28, 0, 0)</f>
        <v>53.934100000000001</v>
      </c>
      <c r="E571" s="4">
        <f>294.007102010411 * CHOOSE(CONTROL!$C$9, $C$13, 100%, $E$13) + CHOOSE(CONTROL!$C$28, 0, 0)</f>
        <v>294.00710201041102</v>
      </c>
    </row>
    <row r="572" spans="1:5" ht="15">
      <c r="A572" s="13">
        <v>58926</v>
      </c>
      <c r="B572" s="4">
        <f>53.2893 * CHOOSE(CONTROL!$C$9, $C$13, 100%, $E$13) + CHOOSE(CONTROL!$C$28, 0.0003, 0)</f>
        <v>53.2896</v>
      </c>
      <c r="C572" s="4">
        <f>52.9768 * CHOOSE(CONTROL!$C$9, $C$13, 100%, $E$13) + CHOOSE(CONTROL!$C$28, 0.0003, 0)</f>
        <v>52.9771</v>
      </c>
      <c r="D572" s="4">
        <f>55.484 * CHOOSE(CONTROL!$C$9, $C$13, 100%, $E$13) + CHOOSE(CONTROL!$C$28, 0, 0)</f>
        <v>55.484000000000002</v>
      </c>
      <c r="E572" s="4">
        <f>305.999825822936 * CHOOSE(CONTROL!$C$9, $C$13, 100%, $E$13) + CHOOSE(CONTROL!$C$28, 0, 0)</f>
        <v>305.99982582293597</v>
      </c>
    </row>
    <row r="573" spans="1:5" ht="15">
      <c r="A573" s="13">
        <v>58957</v>
      </c>
      <c r="B573" s="4">
        <f>54.5205 * CHOOSE(CONTROL!$C$9, $C$13, 100%, $E$13) + CHOOSE(CONTROL!$C$28, 0.0202, 0)</f>
        <v>54.540700000000001</v>
      </c>
      <c r="C573" s="4">
        <f>54.208 * CHOOSE(CONTROL!$C$9, $C$13, 100%, $E$13) + CHOOSE(CONTROL!$C$28, 0.0202, 0)</f>
        <v>54.228200000000001</v>
      </c>
      <c r="D573" s="4">
        <f>54.8715 * CHOOSE(CONTROL!$C$9, $C$13, 100%, $E$13) + CHOOSE(CONTROL!$C$28, 0, 0)</f>
        <v>54.871499999999997</v>
      </c>
      <c r="E573" s="4">
        <f>313.327092646913 * CHOOSE(CONTROL!$C$9, $C$13, 100%, $E$13) + CHOOSE(CONTROL!$C$28, 0, 0)</f>
        <v>313.327092646913</v>
      </c>
    </row>
    <row r="574" spans="1:5" ht="15">
      <c r="A574" s="13">
        <v>58987</v>
      </c>
      <c r="B574" s="4">
        <f>54.687 * CHOOSE(CONTROL!$C$9, $C$13, 100%, $E$13) + CHOOSE(CONTROL!$C$28, 0.0202, 0)</f>
        <v>54.7072</v>
      </c>
      <c r="C574" s="4">
        <f>54.3745 * CHOOSE(CONTROL!$C$9, $C$13, 100%, $E$13) + CHOOSE(CONTROL!$C$28, 0.0202, 0)</f>
        <v>54.3947</v>
      </c>
      <c r="D574" s="4">
        <f>55.3704 * CHOOSE(CONTROL!$C$9, $C$13, 100%, $E$13) + CHOOSE(CONTROL!$C$28, 0, 0)</f>
        <v>55.370399999999997</v>
      </c>
      <c r="E574" s="4">
        <f>314.318502256979 * CHOOSE(CONTROL!$C$9, $C$13, 100%, $E$13) + CHOOSE(CONTROL!$C$28, 0, 0)</f>
        <v>314.318502256979</v>
      </c>
    </row>
    <row r="575" spans="1:5" ht="15">
      <c r="A575" s="13">
        <v>59018</v>
      </c>
      <c r="B575" s="4">
        <f>54.6702 * CHOOSE(CONTROL!$C$9, $C$13, 100%, $E$13) + CHOOSE(CONTROL!$C$28, 0.0202, 0)</f>
        <v>54.690400000000004</v>
      </c>
      <c r="C575" s="4">
        <f>54.3577 * CHOOSE(CONTROL!$C$9, $C$13, 100%, $E$13) + CHOOSE(CONTROL!$C$28, 0.0202, 0)</f>
        <v>54.377900000000004</v>
      </c>
      <c r="D575" s="4">
        <f>56.2704 * CHOOSE(CONTROL!$C$9, $C$13, 100%, $E$13) + CHOOSE(CONTROL!$C$28, 0, 0)</f>
        <v>56.270400000000002</v>
      </c>
      <c r="E575" s="4">
        <f>314.218528178653 * CHOOSE(CONTROL!$C$9, $C$13, 100%, $E$13) + CHOOSE(CONTROL!$C$28, 0, 0)</f>
        <v>314.218528178653</v>
      </c>
    </row>
    <row r="576" spans="1:5" ht="15">
      <c r="A576" s="13">
        <v>59049</v>
      </c>
      <c r="B576" s="4">
        <f>55.9343 * CHOOSE(CONTROL!$C$9, $C$13, 100%, $E$13) + CHOOSE(CONTROL!$C$28, 0.0202, 0)</f>
        <v>55.954500000000003</v>
      </c>
      <c r="C576" s="4">
        <f>55.6218 * CHOOSE(CONTROL!$C$9, $C$13, 100%, $E$13) + CHOOSE(CONTROL!$C$28, 0.0202, 0)</f>
        <v>55.642000000000003</v>
      </c>
      <c r="D576" s="4">
        <f>55.676 * CHOOSE(CONTROL!$C$9, $C$13, 100%, $E$13) + CHOOSE(CONTROL!$C$28, 0, 0)</f>
        <v>55.676000000000002</v>
      </c>
      <c r="E576" s="4">
        <f>321.741577572686 * CHOOSE(CONTROL!$C$9, $C$13, 100%, $E$13) + CHOOSE(CONTROL!$C$28, 0, 0)</f>
        <v>321.74157757268603</v>
      </c>
    </row>
    <row r="577" spans="1:5" ht="15">
      <c r="A577" s="13">
        <v>59079</v>
      </c>
      <c r="B577" s="4">
        <f>53.78 * CHOOSE(CONTROL!$C$9, $C$13, 100%, $E$13) + CHOOSE(CONTROL!$C$28, 0.0202, 0)</f>
        <v>53.800200000000004</v>
      </c>
      <c r="C577" s="4">
        <f>53.4675 * CHOOSE(CONTROL!$C$9, $C$13, 100%, $E$13) + CHOOSE(CONTROL!$C$28, 0.0202, 0)</f>
        <v>53.487700000000004</v>
      </c>
      <c r="D577" s="4">
        <f>55.3952 * CHOOSE(CONTROL!$C$9, $C$13, 100%, $E$13) + CHOOSE(CONTROL!$C$28, 0, 0)</f>
        <v>55.395200000000003</v>
      </c>
      <c r="E577" s="4">
        <f>308.919902027375 * CHOOSE(CONTROL!$C$9, $C$13, 100%, $E$13) + CHOOSE(CONTROL!$C$28, 0, 0)</f>
        <v>308.91990202737497</v>
      </c>
    </row>
    <row r="578" spans="1:5" ht="15">
      <c r="A578" s="13">
        <v>59110</v>
      </c>
      <c r="B578" s="4">
        <f>52.0554 * CHOOSE(CONTROL!$C$9, $C$13, 100%, $E$13) + CHOOSE(CONTROL!$C$28, 0.0003, 0)</f>
        <v>52.055700000000002</v>
      </c>
      <c r="C578" s="4">
        <f>51.7429 * CHOOSE(CONTROL!$C$9, $C$13, 100%, $E$13) + CHOOSE(CONTROL!$C$28, 0.0003, 0)</f>
        <v>51.743200000000002</v>
      </c>
      <c r="D578" s="4">
        <f>54.6432 * CHOOSE(CONTROL!$C$9, $C$13, 100%, $E$13) + CHOOSE(CONTROL!$C$28, 0, 0)</f>
        <v>54.6432</v>
      </c>
      <c r="E578" s="4">
        <f>298.655896652571 * CHOOSE(CONTROL!$C$9, $C$13, 100%, $E$13) + CHOOSE(CONTROL!$C$28, 0, 0)</f>
        <v>298.65589665257102</v>
      </c>
    </row>
    <row r="579" spans="1:5" ht="15">
      <c r="A579" s="13">
        <v>59140</v>
      </c>
      <c r="B579" s="4">
        <f>50.9446 * CHOOSE(CONTROL!$C$9, $C$13, 100%, $E$13) + CHOOSE(CONTROL!$C$28, 0.0003, 0)</f>
        <v>50.944900000000004</v>
      </c>
      <c r="C579" s="4">
        <f>50.6321 * CHOOSE(CONTROL!$C$9, $C$13, 100%, $E$13) + CHOOSE(CONTROL!$C$28, 0.0003, 0)</f>
        <v>50.632400000000004</v>
      </c>
      <c r="D579" s="4">
        <f>54.3847 * CHOOSE(CONTROL!$C$9, $C$13, 100%, $E$13) + CHOOSE(CONTROL!$C$28, 0, 0)</f>
        <v>54.384700000000002</v>
      </c>
      <c r="E579" s="4">
        <f>292.045110723263 * CHOOSE(CONTROL!$C$9, $C$13, 100%, $E$13) + CHOOSE(CONTROL!$C$28, 0, 0)</f>
        <v>292.04511072326301</v>
      </c>
    </row>
    <row r="580" spans="1:5" ht="15">
      <c r="A580" s="13">
        <v>59171</v>
      </c>
      <c r="B580" s="4">
        <f>50.1761 * CHOOSE(CONTROL!$C$9, $C$13, 100%, $E$13) + CHOOSE(CONTROL!$C$28, 0.0003, 0)</f>
        <v>50.176400000000001</v>
      </c>
      <c r="C580" s="4">
        <f>49.8636 * CHOOSE(CONTROL!$C$9, $C$13, 100%, $E$13) + CHOOSE(CONTROL!$C$28, 0.0003, 0)</f>
        <v>49.863900000000001</v>
      </c>
      <c r="D580" s="4">
        <f>52.4815 * CHOOSE(CONTROL!$C$9, $C$13, 100%, $E$13) + CHOOSE(CONTROL!$C$28, 0, 0)</f>
        <v>52.481499999999997</v>
      </c>
      <c r="E580" s="4">
        <f>287.471296639849 * CHOOSE(CONTROL!$C$9, $C$13, 100%, $E$13) + CHOOSE(CONTROL!$C$28, 0, 0)</f>
        <v>287.47129663984902</v>
      </c>
    </row>
    <row r="581" spans="1:5" ht="15">
      <c r="A581" s="13">
        <v>59202</v>
      </c>
      <c r="B581" s="4">
        <f>48.9275 * CHOOSE(CONTROL!$C$9, $C$13, 100%, $E$13) + CHOOSE(CONTROL!$C$28, 0.0003, 0)</f>
        <v>48.927800000000005</v>
      </c>
      <c r="C581" s="4">
        <f>48.615 * CHOOSE(CONTROL!$C$9, $C$13, 100%, $E$13) + CHOOSE(CONTROL!$C$28, 0.0003, 0)</f>
        <v>48.615300000000005</v>
      </c>
      <c r="D581" s="4">
        <f>50.7322 * CHOOSE(CONTROL!$C$9, $C$13, 100%, $E$13) + CHOOSE(CONTROL!$C$28, 0, 0)</f>
        <v>50.732199999999999</v>
      </c>
      <c r="E581" s="4">
        <f>279.227715318181 * CHOOSE(CONTROL!$C$9, $C$13, 100%, $E$13) + CHOOSE(CONTROL!$C$28, 0, 0)</f>
        <v>279.22771531818103</v>
      </c>
    </row>
    <row r="582" spans="1:5" ht="15">
      <c r="A582" s="13">
        <v>59230</v>
      </c>
      <c r="B582" s="4">
        <f>50.0447 * CHOOSE(CONTROL!$C$9, $C$13, 100%, $E$13) + CHOOSE(CONTROL!$C$28, 0.0003, 0)</f>
        <v>50.045000000000002</v>
      </c>
      <c r="C582" s="4">
        <f>49.7322 * CHOOSE(CONTROL!$C$9, $C$13, 100%, $E$13) + CHOOSE(CONTROL!$C$28, 0.0003, 0)</f>
        <v>49.732500000000002</v>
      </c>
      <c r="D582" s="4">
        <f>52.4937 * CHOOSE(CONTROL!$C$9, $C$13, 100%, $E$13) + CHOOSE(CONTROL!$C$28, 0, 0)</f>
        <v>52.493699999999997</v>
      </c>
      <c r="E582" s="4">
        <f>285.857681690974 * CHOOSE(CONTROL!$C$9, $C$13, 100%, $E$13) + CHOOSE(CONTROL!$C$28, 0, 0)</f>
        <v>285.857681690974</v>
      </c>
    </row>
    <row r="583" spans="1:5" ht="15">
      <c r="A583" s="13">
        <v>59261</v>
      </c>
      <c r="B583" s="4">
        <f>52.9786 * CHOOSE(CONTROL!$C$9, $C$13, 100%, $E$13) + CHOOSE(CONTROL!$C$28, 0.0003, 0)</f>
        <v>52.978900000000003</v>
      </c>
      <c r="C583" s="4">
        <f>52.6661 * CHOOSE(CONTROL!$C$9, $C$13, 100%, $E$13) + CHOOSE(CONTROL!$C$28, 0.0003, 0)</f>
        <v>52.666400000000003</v>
      </c>
      <c r="D583" s="4">
        <f>55.2512 * CHOOSE(CONTROL!$C$9, $C$13, 100%, $E$13) + CHOOSE(CONTROL!$C$28, 0, 0)</f>
        <v>55.251199999999997</v>
      </c>
      <c r="E583" s="4">
        <f>303.268325723739 * CHOOSE(CONTROL!$C$9, $C$13, 100%, $E$13) + CHOOSE(CONTROL!$C$28, 0, 0)</f>
        <v>303.268325723739</v>
      </c>
    </row>
    <row r="584" spans="1:5" ht="15">
      <c r="A584" s="13">
        <v>59291</v>
      </c>
      <c r="B584" s="4">
        <f>55.0631 * CHOOSE(CONTROL!$C$9, $C$13, 100%, $E$13) + CHOOSE(CONTROL!$C$28, 0.0003, 0)</f>
        <v>55.063400000000001</v>
      </c>
      <c r="C584" s="4">
        <f>54.7506 * CHOOSE(CONTROL!$C$9, $C$13, 100%, $E$13) + CHOOSE(CONTROL!$C$28, 0.0003, 0)</f>
        <v>54.750900000000001</v>
      </c>
      <c r="D584" s="4">
        <f>56.8396 * CHOOSE(CONTROL!$C$9, $C$13, 100%, $E$13) + CHOOSE(CONTROL!$C$28, 0, 0)</f>
        <v>56.839599999999997</v>
      </c>
      <c r="E584" s="4">
        <f>315.638820336358 * CHOOSE(CONTROL!$C$9, $C$13, 100%, $E$13) + CHOOSE(CONTROL!$C$28, 0, 0)</f>
        <v>315.63882033635798</v>
      </c>
    </row>
    <row r="585" spans="1:5" ht="15">
      <c r="A585" s="13">
        <v>59322</v>
      </c>
      <c r="B585" s="4">
        <f>56.3367 * CHOOSE(CONTROL!$C$9, $C$13, 100%, $E$13) + CHOOSE(CONTROL!$C$28, 0.0202, 0)</f>
        <v>56.356900000000003</v>
      </c>
      <c r="C585" s="4">
        <f>56.0242 * CHOOSE(CONTROL!$C$9, $C$13, 100%, $E$13) + CHOOSE(CONTROL!$C$28, 0.0202, 0)</f>
        <v>56.044400000000003</v>
      </c>
      <c r="D585" s="4">
        <f>56.212 * CHOOSE(CONTROL!$C$9, $C$13, 100%, $E$13) + CHOOSE(CONTROL!$C$28, 0, 0)</f>
        <v>56.212000000000003</v>
      </c>
      <c r="E585" s="4">
        <f>323.196896065291 * CHOOSE(CONTROL!$C$9, $C$13, 100%, $E$13) + CHOOSE(CONTROL!$C$28, 0, 0)</f>
        <v>323.19689606529101</v>
      </c>
    </row>
    <row r="586" spans="1:5" ht="15">
      <c r="A586" s="13">
        <v>59352</v>
      </c>
      <c r="B586" s="4">
        <f>56.509 * CHOOSE(CONTROL!$C$9, $C$13, 100%, $E$13) + CHOOSE(CONTROL!$C$28, 0.0202, 0)</f>
        <v>56.529200000000003</v>
      </c>
      <c r="C586" s="4">
        <f>56.1965 * CHOOSE(CONTROL!$C$9, $C$13, 100%, $E$13) + CHOOSE(CONTROL!$C$28, 0.0202, 0)</f>
        <v>56.216700000000003</v>
      </c>
      <c r="D586" s="4">
        <f>56.7231 * CHOOSE(CONTROL!$C$9, $C$13, 100%, $E$13) + CHOOSE(CONTROL!$C$28, 0, 0)</f>
        <v>56.723100000000002</v>
      </c>
      <c r="E586" s="4">
        <f>324.219535078074 * CHOOSE(CONTROL!$C$9, $C$13, 100%, $E$13) + CHOOSE(CONTROL!$C$28, 0, 0)</f>
        <v>324.21953507807399</v>
      </c>
    </row>
    <row r="587" spans="1:5" ht="15">
      <c r="A587" s="13">
        <v>59383</v>
      </c>
      <c r="B587" s="4">
        <f>56.4917 * CHOOSE(CONTROL!$C$9, $C$13, 100%, $E$13) + CHOOSE(CONTROL!$C$28, 0.0202, 0)</f>
        <v>56.511900000000004</v>
      </c>
      <c r="C587" s="4">
        <f>56.1792 * CHOOSE(CONTROL!$C$9, $C$13, 100%, $E$13) + CHOOSE(CONTROL!$C$28, 0.0202, 0)</f>
        <v>56.199400000000004</v>
      </c>
      <c r="D587" s="4">
        <f>57.6455 * CHOOSE(CONTROL!$C$9, $C$13, 100%, $E$13) + CHOOSE(CONTROL!$C$28, 0, 0)</f>
        <v>57.645499999999998</v>
      </c>
      <c r="E587" s="4">
        <f>324.116411816281 * CHOOSE(CONTROL!$C$9, $C$13, 100%, $E$13) + CHOOSE(CONTROL!$C$28, 0, 0)</f>
        <v>324.11641181628102</v>
      </c>
    </row>
    <row r="588" spans="1:5" ht="15">
      <c r="A588" s="13">
        <v>59414</v>
      </c>
      <c r="B588" s="4">
        <f>57.7993 * CHOOSE(CONTROL!$C$9, $C$13, 100%, $E$13) + CHOOSE(CONTROL!$C$28, 0.0202, 0)</f>
        <v>57.819500000000005</v>
      </c>
      <c r="C588" s="4">
        <f>57.4868 * CHOOSE(CONTROL!$C$9, $C$13, 100%, $E$13) + CHOOSE(CONTROL!$C$28, 0.0202, 0)</f>
        <v>57.507000000000005</v>
      </c>
      <c r="D588" s="4">
        <f>57.0364 * CHOOSE(CONTROL!$C$9, $C$13, 100%, $E$13) + CHOOSE(CONTROL!$C$28, 0, 0)</f>
        <v>57.0364</v>
      </c>
      <c r="E588" s="4">
        <f>331.876437266225 * CHOOSE(CONTROL!$C$9, $C$13, 100%, $E$13) + CHOOSE(CONTROL!$C$28, 0, 0)</f>
        <v>331.87643726622503</v>
      </c>
    </row>
    <row r="589" spans="1:5" ht="15">
      <c r="A589" s="13">
        <v>59444</v>
      </c>
      <c r="B589" s="4">
        <f>55.5707 * CHOOSE(CONTROL!$C$9, $C$13, 100%, $E$13) + CHOOSE(CONTROL!$C$28, 0.0202, 0)</f>
        <v>55.590900000000005</v>
      </c>
      <c r="C589" s="4">
        <f>55.2582 * CHOOSE(CONTROL!$C$9, $C$13, 100%, $E$13) + CHOOSE(CONTROL!$C$28, 0.0202, 0)</f>
        <v>55.278400000000005</v>
      </c>
      <c r="D589" s="4">
        <f>56.7486 * CHOOSE(CONTROL!$C$9, $C$13, 100%, $E$13) + CHOOSE(CONTROL!$C$28, 0, 0)</f>
        <v>56.748600000000003</v>
      </c>
      <c r="E589" s="4">
        <f>318.650878941237 * CHOOSE(CONTROL!$C$9, $C$13, 100%, $E$13) + CHOOSE(CONTROL!$C$28, 0, 0)</f>
        <v>318.65087894123701</v>
      </c>
    </row>
    <row r="590" spans="1:5" ht="15">
      <c r="A590" s="13">
        <v>59475</v>
      </c>
      <c r="B590" s="4">
        <f>53.7866 * CHOOSE(CONTROL!$C$9, $C$13, 100%, $E$13) + CHOOSE(CONTROL!$C$28, 0.0003, 0)</f>
        <v>53.786900000000003</v>
      </c>
      <c r="C590" s="4">
        <f>53.4741 * CHOOSE(CONTROL!$C$9, $C$13, 100%, $E$13) + CHOOSE(CONTROL!$C$28, 0.0003, 0)</f>
        <v>53.474400000000003</v>
      </c>
      <c r="D590" s="4">
        <f>55.978 * CHOOSE(CONTROL!$C$9, $C$13, 100%, $E$13) + CHOOSE(CONTROL!$C$28, 0, 0)</f>
        <v>55.978000000000002</v>
      </c>
      <c r="E590" s="4">
        <f>308.063557397127 * CHOOSE(CONTROL!$C$9, $C$13, 100%, $E$13) + CHOOSE(CONTROL!$C$28, 0, 0)</f>
        <v>308.063557397127</v>
      </c>
    </row>
    <row r="591" spans="1:5" ht="15">
      <c r="A591" s="13">
        <v>59505</v>
      </c>
      <c r="B591" s="4">
        <f>52.6375 * CHOOSE(CONTROL!$C$9, $C$13, 100%, $E$13) + CHOOSE(CONTROL!$C$28, 0.0003, 0)</f>
        <v>52.637800000000006</v>
      </c>
      <c r="C591" s="4">
        <f>52.325 * CHOOSE(CONTROL!$C$9, $C$13, 100%, $E$13) + CHOOSE(CONTROL!$C$28, 0.0003, 0)</f>
        <v>52.325300000000006</v>
      </c>
      <c r="D591" s="4">
        <f>55.713 * CHOOSE(CONTROL!$C$9, $C$13, 100%, $E$13) + CHOOSE(CONTROL!$C$28, 0, 0)</f>
        <v>55.713000000000001</v>
      </c>
      <c r="E591" s="4">
        <f>301.244531711046 * CHOOSE(CONTROL!$C$9, $C$13, 100%, $E$13) + CHOOSE(CONTROL!$C$28, 0, 0)</f>
        <v>301.24453171104602</v>
      </c>
    </row>
    <row r="592" spans="1:5" ht="15">
      <c r="A592" s="13">
        <v>59536</v>
      </c>
      <c r="B592" s="4">
        <f>51.8425 * CHOOSE(CONTROL!$C$9, $C$13, 100%, $E$13) + CHOOSE(CONTROL!$C$28, 0.0003, 0)</f>
        <v>51.842800000000004</v>
      </c>
      <c r="C592" s="4">
        <f>51.53 * CHOOSE(CONTROL!$C$9, $C$13, 100%, $E$13) + CHOOSE(CONTROL!$C$28, 0.0003, 0)</f>
        <v>51.530300000000004</v>
      </c>
      <c r="D592" s="4">
        <f>53.7626 * CHOOSE(CONTROL!$C$9, $C$13, 100%, $E$13) + CHOOSE(CONTROL!$C$28, 0, 0)</f>
        <v>53.762599999999999</v>
      </c>
      <c r="E592" s="4">
        <f>296.526642484004 * CHOOSE(CONTROL!$C$9, $C$13, 100%, $E$13) + CHOOSE(CONTROL!$C$28, 0, 0)</f>
        <v>296.52664248400401</v>
      </c>
    </row>
    <row r="593" spans="1:5" ht="15">
      <c r="A593" s="13">
        <v>59567</v>
      </c>
      <c r="B593" s="4">
        <f>50.5508 * CHOOSE(CONTROL!$C$9, $C$13, 100%, $E$13) + CHOOSE(CONTROL!$C$28, 0.0003, 0)</f>
        <v>50.551100000000005</v>
      </c>
      <c r="C593" s="4">
        <f>50.2383 * CHOOSE(CONTROL!$C$9, $C$13, 100%, $E$13) + CHOOSE(CONTROL!$C$28, 0.0003, 0)</f>
        <v>50.238600000000005</v>
      </c>
      <c r="D593" s="4">
        <f>51.97 * CHOOSE(CONTROL!$C$9, $C$13, 100%, $E$13) + CHOOSE(CONTROL!$C$28, 0, 0)</f>
        <v>51.97</v>
      </c>
      <c r="E593" s="4">
        <f>288.023388350704 * CHOOSE(CONTROL!$C$9, $C$13, 100%, $E$13) + CHOOSE(CONTROL!$C$28, 0, 0)</f>
        <v>288.02338835070401</v>
      </c>
    </row>
    <row r="594" spans="1:5" ht="15">
      <c r="A594" s="13">
        <v>59595</v>
      </c>
      <c r="B594" s="4">
        <f>51.7066 * CHOOSE(CONTROL!$C$9, $C$13, 100%, $E$13) + CHOOSE(CONTROL!$C$28, 0.0003, 0)</f>
        <v>51.706900000000005</v>
      </c>
      <c r="C594" s="4">
        <f>51.3941 * CHOOSE(CONTROL!$C$9, $C$13, 100%, $E$13) + CHOOSE(CONTROL!$C$28, 0.0003, 0)</f>
        <v>51.394400000000005</v>
      </c>
      <c r="D594" s="4">
        <f>53.7752 * CHOOSE(CONTROL!$C$9, $C$13, 100%, $E$13) + CHOOSE(CONTROL!$C$28, 0, 0)</f>
        <v>53.775199999999998</v>
      </c>
      <c r="E594" s="4">
        <f>294.86219866424 * CHOOSE(CONTROL!$C$9, $C$13, 100%, $E$13) + CHOOSE(CONTROL!$C$28, 0, 0)</f>
        <v>294.86219866424</v>
      </c>
    </row>
    <row r="595" spans="1:5" ht="15">
      <c r="A595" s="13">
        <v>59626</v>
      </c>
      <c r="B595" s="4">
        <f>54.7416 * CHOOSE(CONTROL!$C$9, $C$13, 100%, $E$13) + CHOOSE(CONTROL!$C$28, 0.0003, 0)</f>
        <v>54.741900000000001</v>
      </c>
      <c r="C595" s="4">
        <f>54.4291 * CHOOSE(CONTROL!$C$9, $C$13, 100%, $E$13) + CHOOSE(CONTROL!$C$28, 0.0003, 0)</f>
        <v>54.429400000000001</v>
      </c>
      <c r="D595" s="4">
        <f>56.601 * CHOOSE(CONTROL!$C$9, $C$13, 100%, $E$13) + CHOOSE(CONTROL!$C$28, 0, 0)</f>
        <v>56.600999999999999</v>
      </c>
      <c r="E595" s="4">
        <f>312.821277984037 * CHOOSE(CONTROL!$C$9, $C$13, 100%, $E$13) + CHOOSE(CONTROL!$C$28, 0, 0)</f>
        <v>312.82127798403701</v>
      </c>
    </row>
    <row r="596" spans="1:5" ht="15">
      <c r="A596" s="13">
        <v>59656</v>
      </c>
      <c r="B596" s="4">
        <f>56.8981 * CHOOSE(CONTROL!$C$9, $C$13, 100%, $E$13) + CHOOSE(CONTROL!$C$28, 0.0003, 0)</f>
        <v>56.898400000000002</v>
      </c>
      <c r="C596" s="4">
        <f>56.5856 * CHOOSE(CONTROL!$C$9, $C$13, 100%, $E$13) + CHOOSE(CONTROL!$C$28, 0.0003, 0)</f>
        <v>56.585900000000002</v>
      </c>
      <c r="D596" s="4">
        <f>58.2288 * CHOOSE(CONTROL!$C$9, $C$13, 100%, $E$13) + CHOOSE(CONTROL!$C$28, 0, 0)</f>
        <v>58.2288</v>
      </c>
      <c r="E596" s="4">
        <f>325.581443176954 * CHOOSE(CONTROL!$C$9, $C$13, 100%, $E$13) + CHOOSE(CONTROL!$C$28, 0, 0)</f>
        <v>325.581443176954</v>
      </c>
    </row>
    <row r="597" spans="1:5" ht="15">
      <c r="A597" s="13">
        <v>59687</v>
      </c>
      <c r="B597" s="4">
        <f>58.2156 * CHOOSE(CONTROL!$C$9, $C$13, 100%, $E$13) + CHOOSE(CONTROL!$C$28, 0.0202, 0)</f>
        <v>58.235800000000005</v>
      </c>
      <c r="C597" s="4">
        <f>57.9031 * CHOOSE(CONTROL!$C$9, $C$13, 100%, $E$13) + CHOOSE(CONTROL!$C$28, 0.0202, 0)</f>
        <v>57.923300000000005</v>
      </c>
      <c r="D597" s="4">
        <f>57.5856 * CHOOSE(CONTROL!$C$9, $C$13, 100%, $E$13) + CHOOSE(CONTROL!$C$28, 0, 0)</f>
        <v>57.585599999999999</v>
      </c>
      <c r="E597" s="4">
        <f>333.377598291348 * CHOOSE(CONTROL!$C$9, $C$13, 100%, $E$13) + CHOOSE(CONTROL!$C$28, 0, 0)</f>
        <v>333.37759829134802</v>
      </c>
    </row>
    <row r="598" spans="1:5" ht="15">
      <c r="A598" s="13">
        <v>59717</v>
      </c>
      <c r="B598" s="4">
        <f>58.3939 * CHOOSE(CONTROL!$C$9, $C$13, 100%, $E$13) + CHOOSE(CONTROL!$C$28, 0.0202, 0)</f>
        <v>58.414100000000005</v>
      </c>
      <c r="C598" s="4">
        <f>58.0814 * CHOOSE(CONTROL!$C$9, $C$13, 100%, $E$13) + CHOOSE(CONTROL!$C$28, 0.0202, 0)</f>
        <v>58.101600000000005</v>
      </c>
      <c r="D598" s="4">
        <f>58.1095 * CHOOSE(CONTROL!$C$9, $C$13, 100%, $E$13) + CHOOSE(CONTROL!$C$28, 0, 0)</f>
        <v>58.109499999999997</v>
      </c>
      <c r="E598" s="4">
        <f>334.432450433034 * CHOOSE(CONTROL!$C$9, $C$13, 100%, $E$13) + CHOOSE(CONTROL!$C$28, 0, 0)</f>
        <v>334.43245043303398</v>
      </c>
    </row>
    <row r="599" spans="1:5" ht="15">
      <c r="A599" s="13">
        <v>59748</v>
      </c>
      <c r="B599" s="4">
        <f>58.3759 * CHOOSE(CONTROL!$C$9, $C$13, 100%, $E$13) + CHOOSE(CONTROL!$C$28, 0.0202, 0)</f>
        <v>58.396100000000004</v>
      </c>
      <c r="C599" s="4">
        <f>58.0634 * CHOOSE(CONTROL!$C$9, $C$13, 100%, $E$13) + CHOOSE(CONTROL!$C$28, 0.0202, 0)</f>
        <v>58.083600000000004</v>
      </c>
      <c r="D599" s="4">
        <f>59.0547 * CHOOSE(CONTROL!$C$9, $C$13, 100%, $E$13) + CHOOSE(CONTROL!$C$28, 0, 0)</f>
        <v>59.054699999999997</v>
      </c>
      <c r="E599" s="4">
        <f>334.326078788494 * CHOOSE(CONTROL!$C$9, $C$13, 100%, $E$13) + CHOOSE(CONTROL!$C$28, 0, 0)</f>
        <v>334.32607878849399</v>
      </c>
    </row>
    <row r="600" spans="1:5" ht="15">
      <c r="A600" s="13">
        <v>59779</v>
      </c>
      <c r="B600" s="4">
        <f>59.7287 * CHOOSE(CONTROL!$C$9, $C$13, 100%, $E$13) + CHOOSE(CONTROL!$C$28, 0.0202, 0)</f>
        <v>59.748900000000006</v>
      </c>
      <c r="C600" s="4">
        <f>59.4162 * CHOOSE(CONTROL!$C$9, $C$13, 100%, $E$13) + CHOOSE(CONTROL!$C$28, 0.0202, 0)</f>
        <v>59.436400000000006</v>
      </c>
      <c r="D600" s="4">
        <f>58.4305 * CHOOSE(CONTROL!$C$9, $C$13, 100%, $E$13) + CHOOSE(CONTROL!$C$28, 0, 0)</f>
        <v>58.430500000000002</v>
      </c>
      <c r="E600" s="4">
        <f>342.330545040111 * CHOOSE(CONTROL!$C$9, $C$13, 100%, $E$13) + CHOOSE(CONTROL!$C$28, 0, 0)</f>
        <v>342.33054504011102</v>
      </c>
    </row>
    <row r="601" spans="1:5" ht="15">
      <c r="A601" s="13">
        <v>59809</v>
      </c>
      <c r="B601" s="4">
        <f>57.4232 * CHOOSE(CONTROL!$C$9, $C$13, 100%, $E$13) + CHOOSE(CONTROL!$C$28, 0.0202, 0)</f>
        <v>57.443400000000004</v>
      </c>
      <c r="C601" s="4">
        <f>57.1107 * CHOOSE(CONTROL!$C$9, $C$13, 100%, $E$13) + CHOOSE(CONTROL!$C$28, 0.0202, 0)</f>
        <v>57.130900000000004</v>
      </c>
      <c r="D601" s="4">
        <f>58.1355 * CHOOSE(CONTROL!$C$9, $C$13, 100%, $E$13) + CHOOSE(CONTROL!$C$28, 0, 0)</f>
        <v>58.1355</v>
      </c>
      <c r="E601" s="4">
        <f>328.688381627886 * CHOOSE(CONTROL!$C$9, $C$13, 100%, $E$13) + CHOOSE(CONTROL!$C$28, 0, 0)</f>
        <v>328.68838162788597</v>
      </c>
    </row>
    <row r="602" spans="1:5" ht="15">
      <c r="A602" s="13">
        <v>59840</v>
      </c>
      <c r="B602" s="4">
        <f>55.5776 * CHOOSE(CONTROL!$C$9, $C$13, 100%, $E$13) + CHOOSE(CONTROL!$C$28, 0.0003, 0)</f>
        <v>55.5779</v>
      </c>
      <c r="C602" s="4">
        <f>55.2651 * CHOOSE(CONTROL!$C$9, $C$13, 100%, $E$13) + CHOOSE(CONTROL!$C$28, 0.0003, 0)</f>
        <v>55.2654</v>
      </c>
      <c r="D602" s="4">
        <f>57.3458 * CHOOSE(CONTROL!$C$9, $C$13, 100%, $E$13) + CHOOSE(CONTROL!$C$28, 0, 0)</f>
        <v>57.345799999999997</v>
      </c>
      <c r="E602" s="4">
        <f>317.767559455137 * CHOOSE(CONTROL!$C$9, $C$13, 100%, $E$13) + CHOOSE(CONTROL!$C$28, 0, 0)</f>
        <v>317.76755945513702</v>
      </c>
    </row>
    <row r="603" spans="1:5" ht="15">
      <c r="A603" s="13">
        <v>59870</v>
      </c>
      <c r="B603" s="4">
        <f>54.3888 * CHOOSE(CONTROL!$C$9, $C$13, 100%, $E$13) + CHOOSE(CONTROL!$C$28, 0.0003, 0)</f>
        <v>54.389100000000006</v>
      </c>
      <c r="C603" s="4">
        <f>54.0763 * CHOOSE(CONTROL!$C$9, $C$13, 100%, $E$13) + CHOOSE(CONTROL!$C$28, 0.0003, 0)</f>
        <v>54.076600000000006</v>
      </c>
      <c r="D603" s="4">
        <f>57.0743 * CHOOSE(CONTROL!$C$9, $C$13, 100%, $E$13) + CHOOSE(CONTROL!$C$28, 0, 0)</f>
        <v>57.074300000000001</v>
      </c>
      <c r="E603" s="4">
        <f>310.733734459944 * CHOOSE(CONTROL!$C$9, $C$13, 100%, $E$13) + CHOOSE(CONTROL!$C$28, 0, 0)</f>
        <v>310.733734459944</v>
      </c>
    </row>
    <row r="604" spans="1:5" ht="15">
      <c r="A604" s="13">
        <v>59901</v>
      </c>
      <c r="B604" s="4">
        <f>53.5664 * CHOOSE(CONTROL!$C$9, $C$13, 100%, $E$13) + CHOOSE(CONTROL!$C$28, 0.0003, 0)</f>
        <v>53.566700000000004</v>
      </c>
      <c r="C604" s="4">
        <f>53.2539 * CHOOSE(CONTROL!$C$9, $C$13, 100%, $E$13) + CHOOSE(CONTROL!$C$28, 0.0003, 0)</f>
        <v>53.254200000000004</v>
      </c>
      <c r="D604" s="4">
        <f>55.0755 * CHOOSE(CONTROL!$C$9, $C$13, 100%, $E$13) + CHOOSE(CONTROL!$C$28, 0, 0)</f>
        <v>55.075499999999998</v>
      </c>
      <c r="E604" s="4">
        <f>305.86723172225 * CHOOSE(CONTROL!$C$9, $C$13, 100%, $E$13) + CHOOSE(CONTROL!$C$28, 0, 0)</f>
        <v>305.86723172224998</v>
      </c>
    </row>
    <row r="605" spans="1:5" ht="15">
      <c r="A605" s="13">
        <v>59932</v>
      </c>
      <c r="B605" s="4">
        <f>52.2301 * CHOOSE(CONTROL!$C$9, $C$13, 100%, $E$13) + CHOOSE(CONTROL!$C$28, 0.0003, 0)</f>
        <v>52.230400000000003</v>
      </c>
      <c r="C605" s="4">
        <f>51.9176 * CHOOSE(CONTROL!$C$9, $C$13, 100%, $E$13) + CHOOSE(CONTROL!$C$28, 0.0003, 0)</f>
        <v>51.917900000000003</v>
      </c>
      <c r="D605" s="4">
        <f>53.2384 * CHOOSE(CONTROL!$C$9, $C$13, 100%, $E$13) + CHOOSE(CONTROL!$C$28, 0, 0)</f>
        <v>53.238399999999999</v>
      </c>
      <c r="E605" s="4">
        <f>297.096125083751 * CHOOSE(CONTROL!$C$9, $C$13, 100%, $E$13) + CHOOSE(CONTROL!$C$28, 0, 0)</f>
        <v>297.09612508375102</v>
      </c>
    </row>
    <row r="606" spans="1:5" ht="15">
      <c r="A606" s="13">
        <v>59961</v>
      </c>
      <c r="B606" s="4">
        <f>53.4258 * CHOOSE(CONTROL!$C$9, $C$13, 100%, $E$13) + CHOOSE(CONTROL!$C$28, 0.0003, 0)</f>
        <v>53.426100000000005</v>
      </c>
      <c r="C606" s="4">
        <f>53.1133 * CHOOSE(CONTROL!$C$9, $C$13, 100%, $E$13) + CHOOSE(CONTROL!$C$28, 0.0003, 0)</f>
        <v>53.113600000000005</v>
      </c>
      <c r="D606" s="4">
        <f>55.0884 * CHOOSE(CONTROL!$C$9, $C$13, 100%, $E$13) + CHOOSE(CONTROL!$C$28, 0, 0)</f>
        <v>55.0884</v>
      </c>
      <c r="E606" s="4">
        <f>304.150357922163 * CHOOSE(CONTROL!$C$9, $C$13, 100%, $E$13) + CHOOSE(CONTROL!$C$28, 0, 0)</f>
        <v>304.15035792216298</v>
      </c>
    </row>
    <row r="607" spans="1:5" ht="15">
      <c r="A607" s="13">
        <v>59992</v>
      </c>
      <c r="B607" s="4">
        <f>56.5655 * CHOOSE(CONTROL!$C$9, $C$13, 100%, $E$13) + CHOOSE(CONTROL!$C$28, 0.0003, 0)</f>
        <v>56.565800000000003</v>
      </c>
      <c r="C607" s="4">
        <f>56.253 * CHOOSE(CONTROL!$C$9, $C$13, 100%, $E$13) + CHOOSE(CONTROL!$C$28, 0.0003, 0)</f>
        <v>56.253300000000003</v>
      </c>
      <c r="D607" s="4">
        <f>57.9843 * CHOOSE(CONTROL!$C$9, $C$13, 100%, $E$13) + CHOOSE(CONTROL!$C$28, 0, 0)</f>
        <v>57.984299999999998</v>
      </c>
      <c r="E607" s="4">
        <f>322.675148240534 * CHOOSE(CONTROL!$C$9, $C$13, 100%, $E$13) + CHOOSE(CONTROL!$C$28, 0, 0)</f>
        <v>322.67514824053399</v>
      </c>
    </row>
    <row r="608" spans="1:5" ht="15">
      <c r="A608" s="13">
        <v>60022</v>
      </c>
      <c r="B608" s="4">
        <f>58.7964 * CHOOSE(CONTROL!$C$9, $C$13, 100%, $E$13) + CHOOSE(CONTROL!$C$28, 0.0003, 0)</f>
        <v>58.796700000000001</v>
      </c>
      <c r="C608" s="4">
        <f>58.4839 * CHOOSE(CONTROL!$C$9, $C$13, 100%, $E$13) + CHOOSE(CONTROL!$C$28, 0.0003, 0)</f>
        <v>58.484200000000001</v>
      </c>
      <c r="D608" s="4">
        <f>59.6525 * CHOOSE(CONTROL!$C$9, $C$13, 100%, $E$13) + CHOOSE(CONTROL!$C$28, 0, 0)</f>
        <v>59.652500000000003</v>
      </c>
      <c r="E608" s="4">
        <f>335.837258637028 * CHOOSE(CONTROL!$C$9, $C$13, 100%, $E$13) + CHOOSE(CONTROL!$C$28, 0, 0)</f>
        <v>335.83725863702801</v>
      </c>
    </row>
    <row r="609" spans="1:5" ht="15">
      <c r="A609" s="13">
        <v>60053</v>
      </c>
      <c r="B609" s="4">
        <f>60.1594 * CHOOSE(CONTROL!$C$9, $C$13, 100%, $E$13) + CHOOSE(CONTROL!$C$28, 0.0202, 0)</f>
        <v>60.179600000000001</v>
      </c>
      <c r="C609" s="4">
        <f>59.8469 * CHOOSE(CONTROL!$C$9, $C$13, 100%, $E$13) + CHOOSE(CONTROL!$C$28, 0.0202, 0)</f>
        <v>59.867100000000001</v>
      </c>
      <c r="D609" s="4">
        <f>58.9933 * CHOOSE(CONTROL!$C$9, $C$13, 100%, $E$13) + CHOOSE(CONTROL!$C$28, 0, 0)</f>
        <v>58.993299999999998</v>
      </c>
      <c r="E609" s="4">
        <f>343.878992637525 * CHOOSE(CONTROL!$C$9, $C$13, 100%, $E$13) + CHOOSE(CONTROL!$C$28, 0, 0)</f>
        <v>343.87899263752502</v>
      </c>
    </row>
    <row r="610" spans="1:5" ht="15">
      <c r="A610" s="13">
        <v>60083</v>
      </c>
      <c r="B610" s="4">
        <f>60.3438 * CHOOSE(CONTROL!$C$9, $C$13, 100%, $E$13) + CHOOSE(CONTROL!$C$28, 0.0202, 0)</f>
        <v>60.364000000000004</v>
      </c>
      <c r="C610" s="4">
        <f>60.0313 * CHOOSE(CONTROL!$C$9, $C$13, 100%, $E$13) + CHOOSE(CONTROL!$C$28, 0.0202, 0)</f>
        <v>60.051500000000004</v>
      </c>
      <c r="D610" s="4">
        <f>59.5302 * CHOOSE(CONTROL!$C$9, $C$13, 100%, $E$13) + CHOOSE(CONTROL!$C$28, 0, 0)</f>
        <v>59.530200000000001</v>
      </c>
      <c r="E610" s="4">
        <f>344.967072621674 * CHOOSE(CONTROL!$C$9, $C$13, 100%, $E$13) + CHOOSE(CONTROL!$C$28, 0, 0)</f>
        <v>344.96707262167399</v>
      </c>
    </row>
    <row r="611" spans="1:5" ht="15">
      <c r="A611" s="13">
        <v>60114</v>
      </c>
      <c r="B611" s="4">
        <f>60.3252 * CHOOSE(CONTROL!$C$9, $C$13, 100%, $E$13) + CHOOSE(CONTROL!$C$28, 0.0202, 0)</f>
        <v>60.345400000000005</v>
      </c>
      <c r="C611" s="4">
        <f>60.0127 * CHOOSE(CONTROL!$C$9, $C$13, 100%, $E$13) + CHOOSE(CONTROL!$C$28, 0.0202, 0)</f>
        <v>60.032900000000005</v>
      </c>
      <c r="D611" s="4">
        <f>60.4988 * CHOOSE(CONTROL!$C$9, $C$13, 100%, $E$13) + CHOOSE(CONTROL!$C$28, 0, 0)</f>
        <v>60.498800000000003</v>
      </c>
      <c r="E611" s="4">
        <f>344.857350270331 * CHOOSE(CONTROL!$C$9, $C$13, 100%, $E$13) + CHOOSE(CONTROL!$C$28, 0, 0)</f>
        <v>344.85735027033098</v>
      </c>
    </row>
    <row r="612" spans="1:5" ht="15">
      <c r="A612" s="13">
        <v>60145</v>
      </c>
      <c r="B612" s="4">
        <f>61.7246 * CHOOSE(CONTROL!$C$9, $C$13, 100%, $E$13) + CHOOSE(CONTROL!$C$28, 0.0202, 0)</f>
        <v>61.744800000000005</v>
      </c>
      <c r="C612" s="4">
        <f>61.4121 * CHOOSE(CONTROL!$C$9, $C$13, 100%, $E$13) + CHOOSE(CONTROL!$C$28, 0.0202, 0)</f>
        <v>61.432300000000005</v>
      </c>
      <c r="D612" s="4">
        <f>59.8591 * CHOOSE(CONTROL!$C$9, $C$13, 100%, $E$13) + CHOOSE(CONTROL!$C$28, 0, 0)</f>
        <v>59.859099999999998</v>
      </c>
      <c r="E612" s="4">
        <f>353.113957208875 * CHOOSE(CONTROL!$C$9, $C$13, 100%, $E$13) + CHOOSE(CONTROL!$C$28, 0, 0)</f>
        <v>353.11395720887498</v>
      </c>
    </row>
    <row r="613" spans="1:5" ht="15">
      <c r="A613" s="13">
        <v>60175</v>
      </c>
      <c r="B613" s="4">
        <f>59.3396 * CHOOSE(CONTROL!$C$9, $C$13, 100%, $E$13) + CHOOSE(CONTROL!$C$28, 0.0202, 0)</f>
        <v>59.3598</v>
      </c>
      <c r="C613" s="4">
        <f>59.0271 * CHOOSE(CONTROL!$C$9, $C$13, 100%, $E$13) + CHOOSE(CONTROL!$C$28, 0.0202, 0)</f>
        <v>59.0473</v>
      </c>
      <c r="D613" s="4">
        <f>59.5569 * CHOOSE(CONTROL!$C$9, $C$13, 100%, $E$13) + CHOOSE(CONTROL!$C$28, 0, 0)</f>
        <v>59.556899999999999</v>
      </c>
      <c r="E613" s="4">
        <f>339.042065649165 * CHOOSE(CONTROL!$C$9, $C$13, 100%, $E$13) + CHOOSE(CONTROL!$C$28, 0, 0)</f>
        <v>339.04206564916501</v>
      </c>
    </row>
    <row r="614" spans="1:5" ht="15">
      <c r="A614" s="13">
        <v>60206</v>
      </c>
      <c r="B614" s="4">
        <f>57.4303 * CHOOSE(CONTROL!$C$9, $C$13, 100%, $E$13) + CHOOSE(CONTROL!$C$28, 0.0003, 0)</f>
        <v>57.430600000000005</v>
      </c>
      <c r="C614" s="4">
        <f>57.1178 * CHOOSE(CONTROL!$C$9, $C$13, 100%, $E$13) + CHOOSE(CONTROL!$C$28, 0.0003, 0)</f>
        <v>57.118100000000005</v>
      </c>
      <c r="D614" s="4">
        <f>58.7476 * CHOOSE(CONTROL!$C$9, $C$13, 100%, $E$13) + CHOOSE(CONTROL!$C$28, 0, 0)</f>
        <v>58.747599999999998</v>
      </c>
      <c r="E614" s="4">
        <f>327.777237577973 * CHOOSE(CONTROL!$C$9, $C$13, 100%, $E$13) + CHOOSE(CONTROL!$C$28, 0, 0)</f>
        <v>327.77723757797298</v>
      </c>
    </row>
    <row r="615" spans="1:5" ht="15">
      <c r="A615" s="13">
        <v>60236</v>
      </c>
      <c r="B615" s="4">
        <f>56.2006 * CHOOSE(CONTROL!$C$9, $C$13, 100%, $E$13) + CHOOSE(CONTROL!$C$28, 0.0003, 0)</f>
        <v>56.200900000000004</v>
      </c>
      <c r="C615" s="4">
        <f>55.8881 * CHOOSE(CONTROL!$C$9, $C$13, 100%, $E$13) + CHOOSE(CONTROL!$C$28, 0.0003, 0)</f>
        <v>55.888400000000004</v>
      </c>
      <c r="D615" s="4">
        <f>58.4694 * CHOOSE(CONTROL!$C$9, $C$13, 100%, $E$13) + CHOOSE(CONTROL!$C$28, 0, 0)</f>
        <v>58.4694</v>
      </c>
      <c r="E615" s="4">
        <f>320.521847095433 * CHOOSE(CONTROL!$C$9, $C$13, 100%, $E$13) + CHOOSE(CONTROL!$C$28, 0, 0)</f>
        <v>320.52184709543297</v>
      </c>
    </row>
    <row r="616" spans="1:5" ht="15">
      <c r="A616" s="13">
        <v>60267</v>
      </c>
      <c r="B616" s="4">
        <f>55.3498 * CHOOSE(CONTROL!$C$9, $C$13, 100%, $E$13) + CHOOSE(CONTROL!$C$28, 0.0003, 0)</f>
        <v>55.350100000000005</v>
      </c>
      <c r="C616" s="4">
        <f>55.0373 * CHOOSE(CONTROL!$C$9, $C$13, 100%, $E$13) + CHOOSE(CONTROL!$C$28, 0.0003, 0)</f>
        <v>55.037600000000005</v>
      </c>
      <c r="D616" s="4">
        <f>56.421 * CHOOSE(CONTROL!$C$9, $C$13, 100%, $E$13) + CHOOSE(CONTROL!$C$28, 0, 0)</f>
        <v>56.420999999999999</v>
      </c>
      <c r="E616" s="4">
        <f>315.502049521501 * CHOOSE(CONTROL!$C$9, $C$13, 100%, $E$13) + CHOOSE(CONTROL!$C$28, 0, 0)</f>
        <v>315.50204952150102</v>
      </c>
    </row>
    <row r="617" spans="1:5" ht="15">
      <c r="A617" s="13">
        <v>60298</v>
      </c>
      <c r="B617" s="4">
        <f>53.9674 * CHOOSE(CONTROL!$C$9, $C$13, 100%, $E$13) + CHOOSE(CONTROL!$C$28, 0.0003, 0)</f>
        <v>53.967700000000001</v>
      </c>
      <c r="C617" s="4">
        <f>53.6549 * CHOOSE(CONTROL!$C$9, $C$13, 100%, $E$13) + CHOOSE(CONTROL!$C$28, 0.0003, 0)</f>
        <v>53.655200000000001</v>
      </c>
      <c r="D617" s="4">
        <f>54.5383 * CHOOSE(CONTROL!$C$9, $C$13, 100%, $E$13) + CHOOSE(CONTROL!$C$28, 0, 0)</f>
        <v>54.5383</v>
      </c>
      <c r="E617" s="4">
        <f>306.454653023889 * CHOOSE(CONTROL!$C$9, $C$13, 100%, $E$13) + CHOOSE(CONTROL!$C$28, 0, 0)</f>
        <v>306.45465302388902</v>
      </c>
    </row>
    <row r="618" spans="1:5" ht="15">
      <c r="A618" s="13">
        <v>60326</v>
      </c>
      <c r="B618" s="4">
        <f>55.2043 * CHOOSE(CONTROL!$C$9, $C$13, 100%, $E$13) + CHOOSE(CONTROL!$C$28, 0.0003, 0)</f>
        <v>55.204600000000006</v>
      </c>
      <c r="C618" s="4">
        <f>54.8918 * CHOOSE(CONTROL!$C$9, $C$13, 100%, $E$13) + CHOOSE(CONTROL!$C$28, 0.0003, 0)</f>
        <v>54.892100000000006</v>
      </c>
      <c r="D618" s="4">
        <f>56.4342 * CHOOSE(CONTROL!$C$9, $C$13, 100%, $E$13) + CHOOSE(CONTROL!$C$28, 0, 0)</f>
        <v>56.434199999999997</v>
      </c>
      <c r="E618" s="4">
        <f>313.731094196711 * CHOOSE(CONTROL!$C$9, $C$13, 100%, $E$13) + CHOOSE(CONTROL!$C$28, 0, 0)</f>
        <v>313.73109419671101</v>
      </c>
    </row>
    <row r="619" spans="1:5" ht="15">
      <c r="A619" s="13">
        <v>60357</v>
      </c>
      <c r="B619" s="4">
        <f>58.4524 * CHOOSE(CONTROL!$C$9, $C$13, 100%, $E$13) + CHOOSE(CONTROL!$C$28, 0.0003, 0)</f>
        <v>58.4527</v>
      </c>
      <c r="C619" s="4">
        <f>58.1399 * CHOOSE(CONTROL!$C$9, $C$13, 100%, $E$13) + CHOOSE(CONTROL!$C$28, 0.0003, 0)</f>
        <v>58.1402</v>
      </c>
      <c r="D619" s="4">
        <f>59.4019 * CHOOSE(CONTROL!$C$9, $C$13, 100%, $E$13) + CHOOSE(CONTROL!$C$28, 0, 0)</f>
        <v>59.401899999999998</v>
      </c>
      <c r="E619" s="4">
        <f>332.839415410111 * CHOOSE(CONTROL!$C$9, $C$13, 100%, $E$13) + CHOOSE(CONTROL!$C$28, 0, 0)</f>
        <v>332.83941541011097</v>
      </c>
    </row>
    <row r="620" spans="1:5" ht="15">
      <c r="A620" s="13">
        <v>60387</v>
      </c>
      <c r="B620" s="4">
        <f>60.7602 * CHOOSE(CONTROL!$C$9, $C$13, 100%, $E$13) + CHOOSE(CONTROL!$C$28, 0.0003, 0)</f>
        <v>60.7605</v>
      </c>
      <c r="C620" s="4">
        <f>60.4477 * CHOOSE(CONTROL!$C$9, $C$13, 100%, $E$13) + CHOOSE(CONTROL!$C$28, 0.0003, 0)</f>
        <v>60.448</v>
      </c>
      <c r="D620" s="4">
        <f>61.1115 * CHOOSE(CONTROL!$C$9, $C$13, 100%, $E$13) + CHOOSE(CONTROL!$C$28, 0, 0)</f>
        <v>61.111499999999999</v>
      </c>
      <c r="E620" s="4">
        <f>346.416132284094 * CHOOSE(CONTROL!$C$9, $C$13, 100%, $E$13) + CHOOSE(CONTROL!$C$28, 0, 0)</f>
        <v>346.41613228409398</v>
      </c>
    </row>
    <row r="621" spans="1:5" ht="15">
      <c r="A621" s="13">
        <v>60418</v>
      </c>
      <c r="B621" s="4">
        <f>62.1702 * CHOOSE(CONTROL!$C$9, $C$13, 100%, $E$13) + CHOOSE(CONTROL!$C$28, 0.0202, 0)</f>
        <v>62.190400000000004</v>
      </c>
      <c r="C621" s="4">
        <f>61.8577 * CHOOSE(CONTROL!$C$9, $C$13, 100%, $E$13) + CHOOSE(CONTROL!$C$28, 0.0202, 0)</f>
        <v>61.877900000000004</v>
      </c>
      <c r="D621" s="4">
        <f>60.436 * CHOOSE(CONTROL!$C$9, $C$13, 100%, $E$13) + CHOOSE(CONTROL!$C$28, 0, 0)</f>
        <v>60.436</v>
      </c>
      <c r="E621" s="4">
        <f>354.711180905607 * CHOOSE(CONTROL!$C$9, $C$13, 100%, $E$13) + CHOOSE(CONTROL!$C$28, 0, 0)</f>
        <v>354.71118090560702</v>
      </c>
    </row>
    <row r="622" spans="1:5" ht="15">
      <c r="A622" s="13">
        <v>60448</v>
      </c>
      <c r="B622" s="4">
        <f>62.361 * CHOOSE(CONTROL!$C$9, $C$13, 100%, $E$13) + CHOOSE(CONTROL!$C$28, 0.0202, 0)</f>
        <v>62.3812</v>
      </c>
      <c r="C622" s="4">
        <f>62.0485 * CHOOSE(CONTROL!$C$9, $C$13, 100%, $E$13) + CHOOSE(CONTROL!$C$28, 0.0202, 0)</f>
        <v>62.0687</v>
      </c>
      <c r="D622" s="4">
        <f>60.9861 * CHOOSE(CONTROL!$C$9, $C$13, 100%, $E$13) + CHOOSE(CONTROL!$C$28, 0, 0)</f>
        <v>60.9861</v>
      </c>
      <c r="E622" s="4">
        <f>355.833535409257 * CHOOSE(CONTROL!$C$9, $C$13, 100%, $E$13) + CHOOSE(CONTROL!$C$28, 0, 0)</f>
        <v>355.83353540925702</v>
      </c>
    </row>
    <row r="623" spans="1:5" ht="15">
      <c r="A623" s="13">
        <v>60479</v>
      </c>
      <c r="B623" s="4">
        <f>62.3418 * CHOOSE(CONTROL!$C$9, $C$13, 100%, $E$13) + CHOOSE(CONTROL!$C$28, 0.0202, 0)</f>
        <v>62.362000000000002</v>
      </c>
      <c r="C623" s="4">
        <f>62.0293 * CHOOSE(CONTROL!$C$9, $C$13, 100%, $E$13) + CHOOSE(CONTROL!$C$28, 0.0202, 0)</f>
        <v>62.049500000000002</v>
      </c>
      <c r="D623" s="4">
        <f>61.9788 * CHOOSE(CONTROL!$C$9, $C$13, 100%, $E$13) + CHOOSE(CONTROL!$C$28, 0, 0)</f>
        <v>61.9788</v>
      </c>
      <c r="E623" s="4">
        <f>355.720356803847 * CHOOSE(CONTROL!$C$9, $C$13, 100%, $E$13) + CHOOSE(CONTROL!$C$28, 0, 0)</f>
        <v>355.72035680384698</v>
      </c>
    </row>
    <row r="624" spans="1:5" ht="15">
      <c r="A624" s="13">
        <v>60510</v>
      </c>
      <c r="B624" s="4">
        <f>63.7895 * CHOOSE(CONTROL!$C$9, $C$13, 100%, $E$13) + CHOOSE(CONTROL!$C$28, 0.0202, 0)</f>
        <v>63.809699999999999</v>
      </c>
      <c r="C624" s="4">
        <f>63.477 * CHOOSE(CONTROL!$C$9, $C$13, 100%, $E$13) + CHOOSE(CONTROL!$C$28, 0.0202, 0)</f>
        <v>63.497199999999999</v>
      </c>
      <c r="D624" s="4">
        <f>61.3232 * CHOOSE(CONTROL!$C$9, $C$13, 100%, $E$13) + CHOOSE(CONTROL!$C$28, 0, 0)</f>
        <v>61.3232</v>
      </c>
      <c r="E624" s="4">
        <f>364.237046860955 * CHOOSE(CONTROL!$C$9, $C$13, 100%, $E$13) + CHOOSE(CONTROL!$C$28, 0, 0)</f>
        <v>364.23704686095499</v>
      </c>
    </row>
    <row r="625" spans="1:5" ht="15">
      <c r="A625" s="13">
        <v>60540</v>
      </c>
      <c r="B625" s="4">
        <f>61.3221 * CHOOSE(CONTROL!$C$9, $C$13, 100%, $E$13) + CHOOSE(CONTROL!$C$28, 0.0202, 0)</f>
        <v>61.342300000000002</v>
      </c>
      <c r="C625" s="4">
        <f>61.0096 * CHOOSE(CONTROL!$C$9, $C$13, 100%, $E$13) + CHOOSE(CONTROL!$C$28, 0.0202, 0)</f>
        <v>61.029800000000002</v>
      </c>
      <c r="D625" s="4">
        <f>61.0135 * CHOOSE(CONTROL!$C$9, $C$13, 100%, $E$13) + CHOOSE(CONTROL!$C$28, 0, 0)</f>
        <v>61.013500000000001</v>
      </c>
      <c r="E625" s="4">
        <f>349.721890717113 * CHOOSE(CONTROL!$C$9, $C$13, 100%, $E$13) + CHOOSE(CONTROL!$C$28, 0, 0)</f>
        <v>349.72189071711301</v>
      </c>
    </row>
    <row r="626" spans="1:5" ht="15">
      <c r="A626" s="13">
        <v>60571</v>
      </c>
      <c r="B626" s="4">
        <f>59.347 * CHOOSE(CONTROL!$C$9, $C$13, 100%, $E$13) + CHOOSE(CONTROL!$C$28, 0.0003, 0)</f>
        <v>59.347300000000004</v>
      </c>
      <c r="C626" s="4">
        <f>59.0345 * CHOOSE(CONTROL!$C$9, $C$13, 100%, $E$13) + CHOOSE(CONTROL!$C$28, 0.0003, 0)</f>
        <v>59.034800000000004</v>
      </c>
      <c r="D626" s="4">
        <f>60.1841 * CHOOSE(CONTROL!$C$9, $C$13, 100%, $E$13) + CHOOSE(CONTROL!$C$28, 0, 0)</f>
        <v>60.184100000000001</v>
      </c>
      <c r="E626" s="4">
        <f>338.10222056168 * CHOOSE(CONTROL!$C$9, $C$13, 100%, $E$13) + CHOOSE(CONTROL!$C$28, 0, 0)</f>
        <v>338.10222056167999</v>
      </c>
    </row>
    <row r="627" spans="1:5" ht="15">
      <c r="A627" s="13">
        <v>60601</v>
      </c>
      <c r="B627" s="4">
        <f>58.0748 * CHOOSE(CONTROL!$C$9, $C$13, 100%, $E$13) + CHOOSE(CONTROL!$C$28, 0.0003, 0)</f>
        <v>58.075100000000006</v>
      </c>
      <c r="C627" s="4">
        <f>57.7623 * CHOOSE(CONTROL!$C$9, $C$13, 100%, $E$13) + CHOOSE(CONTROL!$C$28, 0.0003, 0)</f>
        <v>57.762600000000006</v>
      </c>
      <c r="D627" s="4">
        <f>59.899 * CHOOSE(CONTROL!$C$9, $C$13, 100%, $E$13) + CHOOSE(CONTROL!$C$28, 0, 0)</f>
        <v>59.899000000000001</v>
      </c>
      <c r="E627" s="4">
        <f>330.618285278939 * CHOOSE(CONTROL!$C$9, $C$13, 100%, $E$13) + CHOOSE(CONTROL!$C$28, 0, 0)</f>
        <v>330.61828527893903</v>
      </c>
    </row>
    <row r="628" spans="1:5" ht="15">
      <c r="A628" s="13">
        <v>60632</v>
      </c>
      <c r="B628" s="4">
        <f>57.1946 * CHOOSE(CONTROL!$C$9, $C$13, 100%, $E$13) + CHOOSE(CONTROL!$C$28, 0.0003, 0)</f>
        <v>57.194900000000004</v>
      </c>
      <c r="C628" s="4">
        <f>56.8821 * CHOOSE(CONTROL!$C$9, $C$13, 100%, $E$13) + CHOOSE(CONTROL!$C$28, 0.0003, 0)</f>
        <v>56.882400000000004</v>
      </c>
      <c r="D628" s="4">
        <f>57.7998 * CHOOSE(CONTROL!$C$9, $C$13, 100%, $E$13) + CHOOSE(CONTROL!$C$28, 0, 0)</f>
        <v>57.799799999999998</v>
      </c>
      <c r="E628" s="4">
        <f>325.440364081428 * CHOOSE(CONTROL!$C$9, $C$13, 100%, $E$13) + CHOOSE(CONTROL!$C$28, 0, 0)</f>
        <v>325.44036408142802</v>
      </c>
    </row>
    <row r="629" spans="1:5" ht="15">
      <c r="A629" s="13">
        <v>60663</v>
      </c>
      <c r="B629" s="4">
        <f>55.7646 * CHOOSE(CONTROL!$C$9, $C$13, 100%, $E$13) + CHOOSE(CONTROL!$C$28, 0.0003, 0)</f>
        <v>55.764900000000004</v>
      </c>
      <c r="C629" s="4">
        <f>55.4521 * CHOOSE(CONTROL!$C$9, $C$13, 100%, $E$13) + CHOOSE(CONTROL!$C$28, 0.0003, 0)</f>
        <v>55.452400000000004</v>
      </c>
      <c r="D629" s="4">
        <f>55.8705 * CHOOSE(CONTROL!$C$9, $C$13, 100%, $E$13) + CHOOSE(CONTROL!$C$28, 0, 0)</f>
        <v>55.8705</v>
      </c>
      <c r="E629" s="4">
        <f>316.107974594142 * CHOOSE(CONTROL!$C$9, $C$13, 100%, $E$13) + CHOOSE(CONTROL!$C$28, 0, 0)</f>
        <v>316.10797459414198</v>
      </c>
    </row>
    <row r="630" spans="1:5" ht="15">
      <c r="A630" s="13">
        <v>60691</v>
      </c>
      <c r="B630" s="4">
        <f>57.0441 * CHOOSE(CONTROL!$C$9, $C$13, 100%, $E$13) + CHOOSE(CONTROL!$C$28, 0.0003, 0)</f>
        <v>57.044400000000003</v>
      </c>
      <c r="C630" s="4">
        <f>56.7316 * CHOOSE(CONTROL!$C$9, $C$13, 100%, $E$13) + CHOOSE(CONTROL!$C$28, 0.0003, 0)</f>
        <v>56.731900000000003</v>
      </c>
      <c r="D630" s="4">
        <f>57.8133 * CHOOSE(CONTROL!$C$9, $C$13, 100%, $E$13) + CHOOSE(CONTROL!$C$28, 0, 0)</f>
        <v>57.813299999999998</v>
      </c>
      <c r="E630" s="4">
        <f>323.613623663908 * CHOOSE(CONTROL!$C$9, $C$13, 100%, $E$13) + CHOOSE(CONTROL!$C$28, 0, 0)</f>
        <v>323.61362366390802</v>
      </c>
    </row>
    <row r="631" spans="1:5" ht="15">
      <c r="A631" s="13">
        <v>60722</v>
      </c>
      <c r="B631" s="4">
        <f>60.4043 * CHOOSE(CONTROL!$C$9, $C$13, 100%, $E$13) + CHOOSE(CONTROL!$C$28, 0.0003, 0)</f>
        <v>60.404600000000002</v>
      </c>
      <c r="C631" s="4">
        <f>60.0918 * CHOOSE(CONTROL!$C$9, $C$13, 100%, $E$13) + CHOOSE(CONTROL!$C$28, 0.0003, 0)</f>
        <v>60.092100000000002</v>
      </c>
      <c r="D631" s="4">
        <f>60.8547 * CHOOSE(CONTROL!$C$9, $C$13, 100%, $E$13) + CHOOSE(CONTROL!$C$28, 0, 0)</f>
        <v>60.854700000000001</v>
      </c>
      <c r="E631" s="4">
        <f>343.32385699553 * CHOOSE(CONTROL!$C$9, $C$13, 100%, $E$13) + CHOOSE(CONTROL!$C$28, 0, 0)</f>
        <v>343.32385699552998</v>
      </c>
    </row>
    <row r="632" spans="1:5" ht="15">
      <c r="A632" s="13">
        <v>60752</v>
      </c>
      <c r="B632" s="4">
        <f>62.7917 * CHOOSE(CONTROL!$C$9, $C$13, 100%, $E$13) + CHOOSE(CONTROL!$C$28, 0.0003, 0)</f>
        <v>62.792000000000002</v>
      </c>
      <c r="C632" s="4">
        <f>62.4792 * CHOOSE(CONTROL!$C$9, $C$13, 100%, $E$13) + CHOOSE(CONTROL!$C$28, 0.0003, 0)</f>
        <v>62.479500000000002</v>
      </c>
      <c r="D632" s="4">
        <f>62.6066 * CHOOSE(CONTROL!$C$9, $C$13, 100%, $E$13) + CHOOSE(CONTROL!$C$28, 0, 0)</f>
        <v>62.6066</v>
      </c>
      <c r="E632" s="4">
        <f>357.328240451043 * CHOOSE(CONTROL!$C$9, $C$13, 100%, $E$13) + CHOOSE(CONTROL!$C$28, 0, 0)</f>
        <v>357.32824045104297</v>
      </c>
    </row>
    <row r="633" spans="1:5" ht="15">
      <c r="A633" s="13">
        <v>60783</v>
      </c>
      <c r="B633" s="4">
        <f>64.2504 * CHOOSE(CONTROL!$C$9, $C$13, 100%, $E$13) + CHOOSE(CONTROL!$C$28, 0.0202, 0)</f>
        <v>64.270600000000002</v>
      </c>
      <c r="C633" s="4">
        <f>63.9379 * CHOOSE(CONTROL!$C$9, $C$13, 100%, $E$13) + CHOOSE(CONTROL!$C$28, 0.0202, 0)</f>
        <v>63.958100000000002</v>
      </c>
      <c r="D633" s="4">
        <f>61.9144 * CHOOSE(CONTROL!$C$9, $C$13, 100%, $E$13) + CHOOSE(CONTROL!$C$28, 0, 0)</f>
        <v>61.914400000000001</v>
      </c>
      <c r="E633" s="4">
        <f>365.884583104134 * CHOOSE(CONTROL!$C$9, $C$13, 100%, $E$13) + CHOOSE(CONTROL!$C$28, 0, 0)</f>
        <v>365.88458310413398</v>
      </c>
    </row>
    <row r="634" spans="1:5" ht="15">
      <c r="A634" s="13">
        <v>60813</v>
      </c>
      <c r="B634" s="4">
        <f>64.4478 * CHOOSE(CONTROL!$C$9, $C$13, 100%, $E$13) + CHOOSE(CONTROL!$C$28, 0.0202, 0)</f>
        <v>64.468000000000004</v>
      </c>
      <c r="C634" s="4">
        <f>64.1353 * CHOOSE(CONTROL!$C$9, $C$13, 100%, $E$13) + CHOOSE(CONTROL!$C$28, 0.0202, 0)</f>
        <v>64.155500000000004</v>
      </c>
      <c r="D634" s="4">
        <f>62.4782 * CHOOSE(CONTROL!$C$9, $C$13, 100%, $E$13) + CHOOSE(CONTROL!$C$28, 0, 0)</f>
        <v>62.478200000000001</v>
      </c>
      <c r="E634" s="4">
        <f>367.042291774649 * CHOOSE(CONTROL!$C$9, $C$13, 100%, $E$13) + CHOOSE(CONTROL!$C$28, 0, 0)</f>
        <v>367.04229177464902</v>
      </c>
    </row>
    <row r="635" spans="1:5" ht="15">
      <c r="A635" s="13">
        <v>60844</v>
      </c>
      <c r="B635" s="4">
        <f>64.4279 * CHOOSE(CONTROL!$C$9, $C$13, 100%, $E$13) + CHOOSE(CONTROL!$C$28, 0.0202, 0)</f>
        <v>64.448099999999997</v>
      </c>
      <c r="C635" s="4">
        <f>64.1154 * CHOOSE(CONTROL!$C$9, $C$13, 100%, $E$13) + CHOOSE(CONTROL!$C$28, 0.0202, 0)</f>
        <v>64.135599999999997</v>
      </c>
      <c r="D635" s="4">
        <f>63.4955 * CHOOSE(CONTROL!$C$9, $C$13, 100%, $E$13) + CHOOSE(CONTROL!$C$28, 0, 0)</f>
        <v>63.4955</v>
      </c>
      <c r="E635" s="4">
        <f>366.925548043168 * CHOOSE(CONTROL!$C$9, $C$13, 100%, $E$13) + CHOOSE(CONTROL!$C$28, 0, 0)</f>
        <v>366.92554804316802</v>
      </c>
    </row>
    <row r="636" spans="1:5" ht="15">
      <c r="A636" s="13">
        <v>60875</v>
      </c>
      <c r="B636" s="4">
        <f>65.9255 * CHOOSE(CONTROL!$C$9, $C$13, 100%, $E$13) + CHOOSE(CONTROL!$C$28, 0.0202, 0)</f>
        <v>65.945700000000002</v>
      </c>
      <c r="C636" s="4">
        <f>65.613 * CHOOSE(CONTROL!$C$9, $C$13, 100%, $E$13) + CHOOSE(CONTROL!$C$28, 0.0202, 0)</f>
        <v>65.633200000000002</v>
      </c>
      <c r="D636" s="4">
        <f>62.8236 * CHOOSE(CONTROL!$C$9, $C$13, 100%, $E$13) + CHOOSE(CONTROL!$C$28, 0, 0)</f>
        <v>62.823599999999999</v>
      </c>
      <c r="E636" s="4">
        <f>375.710513837075 * CHOOSE(CONTROL!$C$9, $C$13, 100%, $E$13) + CHOOSE(CONTROL!$C$28, 0, 0)</f>
        <v>375.71051383707498</v>
      </c>
    </row>
    <row r="637" spans="1:5" ht="15">
      <c r="A637" s="13">
        <v>60905</v>
      </c>
      <c r="B637" s="4">
        <f>63.373 * CHOOSE(CONTROL!$C$9, $C$13, 100%, $E$13) + CHOOSE(CONTROL!$C$28, 0.0202, 0)</f>
        <v>63.3932</v>
      </c>
      <c r="C637" s="4">
        <f>63.0605 * CHOOSE(CONTROL!$C$9, $C$13, 100%, $E$13) + CHOOSE(CONTROL!$C$28, 0.0202, 0)</f>
        <v>63.0807</v>
      </c>
      <c r="D637" s="4">
        <f>62.5062 * CHOOSE(CONTROL!$C$9, $C$13, 100%, $E$13) + CHOOSE(CONTROL!$C$28, 0, 0)</f>
        <v>62.5062</v>
      </c>
      <c r="E637" s="4">
        <f>360.738130274702 * CHOOSE(CONTROL!$C$9, $C$13, 100%, $E$13) + CHOOSE(CONTROL!$C$28, 0, 0)</f>
        <v>360.73813027470197</v>
      </c>
    </row>
    <row r="638" spans="1:5" ht="15">
      <c r="A638" s="13">
        <v>60936</v>
      </c>
      <c r="B638" s="4">
        <f>61.3297 * CHOOSE(CONTROL!$C$9, $C$13, 100%, $E$13) + CHOOSE(CONTROL!$C$28, 0.0003, 0)</f>
        <v>61.330000000000005</v>
      </c>
      <c r="C638" s="4">
        <f>61.0172 * CHOOSE(CONTROL!$C$9, $C$13, 100%, $E$13) + CHOOSE(CONTROL!$C$28, 0.0003, 0)</f>
        <v>61.017500000000005</v>
      </c>
      <c r="D638" s="4">
        <f>61.6563 * CHOOSE(CONTROL!$C$9, $C$13, 100%, $E$13) + CHOOSE(CONTROL!$C$28, 0, 0)</f>
        <v>61.656300000000002</v>
      </c>
      <c r="E638" s="4">
        <f>348.752440509372 * CHOOSE(CONTROL!$C$9, $C$13, 100%, $E$13) + CHOOSE(CONTROL!$C$28, 0, 0)</f>
        <v>348.75244050937198</v>
      </c>
    </row>
    <row r="639" spans="1:5" ht="15">
      <c r="A639" s="13">
        <v>60966</v>
      </c>
      <c r="B639" s="4">
        <f>60.0137 * CHOOSE(CONTROL!$C$9, $C$13, 100%, $E$13) + CHOOSE(CONTROL!$C$28, 0.0003, 0)</f>
        <v>60.014000000000003</v>
      </c>
      <c r="C639" s="4">
        <f>59.7012 * CHOOSE(CONTROL!$C$9, $C$13, 100%, $E$13) + CHOOSE(CONTROL!$C$28, 0.0003, 0)</f>
        <v>59.701500000000003</v>
      </c>
      <c r="D639" s="4">
        <f>61.3641 * CHOOSE(CONTROL!$C$9, $C$13, 100%, $E$13) + CHOOSE(CONTROL!$C$28, 0, 0)</f>
        <v>61.364100000000001</v>
      </c>
      <c r="E639" s="4">
        <f>341.032761265225 * CHOOSE(CONTROL!$C$9, $C$13, 100%, $E$13) + CHOOSE(CONTROL!$C$28, 0, 0)</f>
        <v>341.03276126522502</v>
      </c>
    </row>
    <row r="640" spans="1:5" ht="15">
      <c r="A640" s="13">
        <v>60997</v>
      </c>
      <c r="B640" s="4">
        <f>59.1032 * CHOOSE(CONTROL!$C$9, $C$13, 100%, $E$13) + CHOOSE(CONTROL!$C$28, 0.0003, 0)</f>
        <v>59.103500000000004</v>
      </c>
      <c r="C640" s="4">
        <f>58.7907 * CHOOSE(CONTROL!$C$9, $C$13, 100%, $E$13) + CHOOSE(CONTROL!$C$28, 0.0003, 0)</f>
        <v>58.791000000000004</v>
      </c>
      <c r="D640" s="4">
        <f>59.2128 * CHOOSE(CONTROL!$C$9, $C$13, 100%, $E$13) + CHOOSE(CONTROL!$C$28, 0, 0)</f>
        <v>59.212800000000001</v>
      </c>
      <c r="E640" s="4">
        <f>335.691735549993 * CHOOSE(CONTROL!$C$9, $C$13, 100%, $E$13) + CHOOSE(CONTROL!$C$28, 0, 0)</f>
        <v>335.69173554999298</v>
      </c>
    </row>
    <row r="641" spans="1:5" ht="15">
      <c r="A641" s="13">
        <v>61028</v>
      </c>
      <c r="B641" s="4">
        <f>57.6238 * CHOOSE(CONTROL!$C$9, $C$13, 100%, $E$13) + CHOOSE(CONTROL!$C$28, 0.0003, 0)</f>
        <v>57.624100000000006</v>
      </c>
      <c r="C641" s="4">
        <f>57.3113 * CHOOSE(CONTROL!$C$9, $C$13, 100%, $E$13) + CHOOSE(CONTROL!$C$28, 0.0003, 0)</f>
        <v>57.311600000000006</v>
      </c>
      <c r="D641" s="4">
        <f>57.2357 * CHOOSE(CONTROL!$C$9, $C$13, 100%, $E$13) + CHOOSE(CONTROL!$C$28, 0, 0)</f>
        <v>57.235700000000001</v>
      </c>
      <c r="E641" s="4">
        <f>326.065375793857 * CHOOSE(CONTROL!$C$9, $C$13, 100%, $E$13) + CHOOSE(CONTROL!$C$28, 0, 0)</f>
        <v>326.06537579385702</v>
      </c>
    </row>
    <row r="642" spans="1:5" ht="15">
      <c r="A642" s="13">
        <v>61056</v>
      </c>
      <c r="B642" s="4">
        <f>58.9474 * CHOOSE(CONTROL!$C$9, $C$13, 100%, $E$13) + CHOOSE(CONTROL!$C$28, 0.0003, 0)</f>
        <v>58.947700000000005</v>
      </c>
      <c r="C642" s="4">
        <f>58.6349 * CHOOSE(CONTROL!$C$9, $C$13, 100%, $E$13) + CHOOSE(CONTROL!$C$28, 0.0003, 0)</f>
        <v>58.635200000000005</v>
      </c>
      <c r="D642" s="4">
        <f>59.2267 * CHOOSE(CONTROL!$C$9, $C$13, 100%, $E$13) + CHOOSE(CONTROL!$C$28, 0, 0)</f>
        <v>59.226700000000001</v>
      </c>
      <c r="E642" s="4">
        <f>333.807452809321 * CHOOSE(CONTROL!$C$9, $C$13, 100%, $E$13) + CHOOSE(CONTROL!$C$28, 0, 0)</f>
        <v>333.80745280932098</v>
      </c>
    </row>
    <row r="643" spans="1:5" ht="15">
      <c r="A643" s="13">
        <v>61087</v>
      </c>
      <c r="B643" s="4">
        <f>62.4235 * CHOOSE(CONTROL!$C$9, $C$13, 100%, $E$13) + CHOOSE(CONTROL!$C$28, 0.0003, 0)</f>
        <v>62.4238</v>
      </c>
      <c r="C643" s="4">
        <f>62.111 * CHOOSE(CONTROL!$C$9, $C$13, 100%, $E$13) + CHOOSE(CONTROL!$C$28, 0.0003, 0)</f>
        <v>62.1113</v>
      </c>
      <c r="D643" s="4">
        <f>62.3435 * CHOOSE(CONTROL!$C$9, $C$13, 100%, $E$13) + CHOOSE(CONTROL!$C$28, 0, 0)</f>
        <v>62.343499999999999</v>
      </c>
      <c r="E643" s="4">
        <f>354.138558490889 * CHOOSE(CONTROL!$C$9, $C$13, 100%, $E$13) + CHOOSE(CONTROL!$C$28, 0, 0)</f>
        <v>354.13855849088901</v>
      </c>
    </row>
    <row r="644" spans="1:5" ht="15">
      <c r="A644" s="13">
        <v>61117</v>
      </c>
      <c r="B644" s="4">
        <f>64.8934 * CHOOSE(CONTROL!$C$9, $C$13, 100%, $E$13) + CHOOSE(CONTROL!$C$28, 0.0003, 0)</f>
        <v>64.893699999999995</v>
      </c>
      <c r="C644" s="4">
        <f>64.5809 * CHOOSE(CONTROL!$C$9, $C$13, 100%, $E$13) + CHOOSE(CONTROL!$C$28, 0.0003, 0)</f>
        <v>64.581199999999995</v>
      </c>
      <c r="D644" s="4">
        <f>64.1389 * CHOOSE(CONTROL!$C$9, $C$13, 100%, $E$13) + CHOOSE(CONTROL!$C$28, 0, 0)</f>
        <v>64.138900000000007</v>
      </c>
      <c r="E644" s="4">
        <f>368.584080025251 * CHOOSE(CONTROL!$C$9, $C$13, 100%, $E$13) + CHOOSE(CONTROL!$C$28, 0, 0)</f>
        <v>368.58408002525101</v>
      </c>
    </row>
    <row r="645" spans="1:5" ht="15">
      <c r="A645" s="13">
        <v>61148</v>
      </c>
      <c r="B645" s="4">
        <f>66.4023 * CHOOSE(CONTROL!$C$9, $C$13, 100%, $E$13) + CHOOSE(CONTROL!$C$28, 0.0202, 0)</f>
        <v>66.422499999999999</v>
      </c>
      <c r="C645" s="4">
        <f>66.0898 * CHOOSE(CONTROL!$C$9, $C$13, 100%, $E$13) + CHOOSE(CONTROL!$C$28, 0.0202, 0)</f>
        <v>66.11</v>
      </c>
      <c r="D645" s="4">
        <f>63.4294 * CHOOSE(CONTROL!$C$9, $C$13, 100%, $E$13) + CHOOSE(CONTROL!$C$28, 0, 0)</f>
        <v>63.429400000000001</v>
      </c>
      <c r="E645" s="4">
        <f>377.409947471914 * CHOOSE(CONTROL!$C$9, $C$13, 100%, $E$13) + CHOOSE(CONTROL!$C$28, 0, 0)</f>
        <v>377.40994747191399</v>
      </c>
    </row>
    <row r="646" spans="1:5" ht="15">
      <c r="A646" s="13">
        <v>61178</v>
      </c>
      <c r="B646" s="4">
        <f>66.6065 * CHOOSE(CONTROL!$C$9, $C$13, 100%, $E$13) + CHOOSE(CONTROL!$C$28, 0.0202, 0)</f>
        <v>66.6267</v>
      </c>
      <c r="C646" s="4">
        <f>66.294 * CHOOSE(CONTROL!$C$9, $C$13, 100%, $E$13) + CHOOSE(CONTROL!$C$28, 0.0202, 0)</f>
        <v>66.3142</v>
      </c>
      <c r="D646" s="4">
        <f>64.0072 * CHOOSE(CONTROL!$C$9, $C$13, 100%, $E$13) + CHOOSE(CONTROL!$C$28, 0, 0)</f>
        <v>64.007199999999997</v>
      </c>
      <c r="E646" s="4">
        <f>378.60412396555 * CHOOSE(CONTROL!$C$9, $C$13, 100%, $E$13) + CHOOSE(CONTROL!$C$28, 0, 0)</f>
        <v>378.60412396555</v>
      </c>
    </row>
    <row r="647" spans="1:5" ht="15">
      <c r="A647" s="13">
        <v>61209</v>
      </c>
      <c r="B647" s="4">
        <f>66.5859 * CHOOSE(CONTROL!$C$9, $C$13, 100%, $E$13) + CHOOSE(CONTROL!$C$28, 0.0202, 0)</f>
        <v>66.606099999999998</v>
      </c>
      <c r="C647" s="4">
        <f>66.2734 * CHOOSE(CONTROL!$C$9, $C$13, 100%, $E$13) + CHOOSE(CONTROL!$C$28, 0.0202, 0)</f>
        <v>66.293599999999998</v>
      </c>
      <c r="D647" s="4">
        <f>65.0498 * CHOOSE(CONTROL!$C$9, $C$13, 100%, $E$13) + CHOOSE(CONTROL!$C$28, 0, 0)</f>
        <v>65.049800000000005</v>
      </c>
      <c r="E647" s="4">
        <f>378.483702806528 * CHOOSE(CONTROL!$C$9, $C$13, 100%, $E$13) + CHOOSE(CONTROL!$C$28, 0, 0)</f>
        <v>378.48370280652802</v>
      </c>
    </row>
    <row r="648" spans="1:5" ht="15">
      <c r="A648" s="13">
        <v>61240</v>
      </c>
      <c r="B648" s="4">
        <f>68.1352 * CHOOSE(CONTROL!$C$9, $C$13, 100%, $E$13) + CHOOSE(CONTROL!$C$28, 0.0202, 0)</f>
        <v>68.1554</v>
      </c>
      <c r="C648" s="4">
        <f>67.8227 * CHOOSE(CONTROL!$C$9, $C$13, 100%, $E$13) + CHOOSE(CONTROL!$C$28, 0.0202, 0)</f>
        <v>67.8429</v>
      </c>
      <c r="D648" s="4">
        <f>64.3613 * CHOOSE(CONTROL!$C$9, $C$13, 100%, $E$13) + CHOOSE(CONTROL!$C$28, 0, 0)</f>
        <v>64.3613</v>
      </c>
      <c r="E648" s="4">
        <f>387.545395022943 * CHOOSE(CONTROL!$C$9, $C$13, 100%, $E$13) + CHOOSE(CONTROL!$C$28, 0, 0)</f>
        <v>387.54539502294301</v>
      </c>
    </row>
    <row r="649" spans="1:5" ht="15">
      <c r="A649" s="13">
        <v>61270</v>
      </c>
      <c r="B649" s="4">
        <f>65.4947 * CHOOSE(CONTROL!$C$9, $C$13, 100%, $E$13) + CHOOSE(CONTROL!$C$28, 0.0202, 0)</f>
        <v>65.514899999999997</v>
      </c>
      <c r="C649" s="4">
        <f>65.1822 * CHOOSE(CONTROL!$C$9, $C$13, 100%, $E$13) + CHOOSE(CONTROL!$C$28, 0.0202, 0)</f>
        <v>65.202399999999997</v>
      </c>
      <c r="D649" s="4">
        <f>64.036 * CHOOSE(CONTROL!$C$9, $C$13, 100%, $E$13) + CHOOSE(CONTROL!$C$28, 0, 0)</f>
        <v>64.036000000000001</v>
      </c>
      <c r="E649" s="4">
        <f>372.101381378356 * CHOOSE(CONTROL!$C$9, $C$13, 100%, $E$13) + CHOOSE(CONTROL!$C$28, 0, 0)</f>
        <v>372.101381378356</v>
      </c>
    </row>
    <row r="650" spans="1:5" ht="15">
      <c r="A650" s="13">
        <v>61301</v>
      </c>
      <c r="B650" s="4">
        <f>63.3809 * CHOOSE(CONTROL!$C$9, $C$13, 100%, $E$13) + CHOOSE(CONTROL!$C$28, 0.0003, 0)</f>
        <v>63.3812</v>
      </c>
      <c r="C650" s="4">
        <f>63.0684 * CHOOSE(CONTROL!$C$9, $C$13, 100%, $E$13) + CHOOSE(CONTROL!$C$28, 0.0003, 0)</f>
        <v>63.0687</v>
      </c>
      <c r="D650" s="4">
        <f>63.165 * CHOOSE(CONTROL!$C$9, $C$13, 100%, $E$13) + CHOOSE(CONTROL!$C$28, 0, 0)</f>
        <v>63.164999999999999</v>
      </c>
      <c r="E650" s="4">
        <f>359.738142385418 * CHOOSE(CONTROL!$C$9, $C$13, 100%, $E$13) + CHOOSE(CONTROL!$C$28, 0, 0)</f>
        <v>359.73814238541797</v>
      </c>
    </row>
    <row r="651" spans="1:5" ht="15">
      <c r="A651" s="13">
        <v>61331</v>
      </c>
      <c r="B651" s="4">
        <f>62.0195 * CHOOSE(CONTROL!$C$9, $C$13, 100%, $E$13) + CHOOSE(CONTROL!$C$28, 0.0003, 0)</f>
        <v>62.019800000000004</v>
      </c>
      <c r="C651" s="4">
        <f>61.707 * CHOOSE(CONTROL!$C$9, $C$13, 100%, $E$13) + CHOOSE(CONTROL!$C$28, 0.0003, 0)</f>
        <v>61.707300000000004</v>
      </c>
      <c r="D651" s="4">
        <f>62.8655 * CHOOSE(CONTROL!$C$9, $C$13, 100%, $E$13) + CHOOSE(CONTROL!$C$28, 0, 0)</f>
        <v>62.865499999999997</v>
      </c>
      <c r="E651" s="4">
        <f>351.77529324508 * CHOOSE(CONTROL!$C$9, $C$13, 100%, $E$13) + CHOOSE(CONTROL!$C$28, 0, 0)</f>
        <v>351.77529324507998</v>
      </c>
    </row>
    <row r="652" spans="1:5" ht="15">
      <c r="A652" s="13">
        <v>61362</v>
      </c>
      <c r="B652" s="4">
        <f>61.0775 * CHOOSE(CONTROL!$C$9, $C$13, 100%, $E$13) + CHOOSE(CONTROL!$C$28, 0.0003, 0)</f>
        <v>61.077800000000003</v>
      </c>
      <c r="C652" s="4">
        <f>60.765 * CHOOSE(CONTROL!$C$9, $C$13, 100%, $E$13) + CHOOSE(CONTROL!$C$28, 0.0003, 0)</f>
        <v>60.765300000000003</v>
      </c>
      <c r="D652" s="4">
        <f>60.6609 * CHOOSE(CONTROL!$C$9, $C$13, 100%, $E$13) + CHOOSE(CONTROL!$C$28, 0, 0)</f>
        <v>60.660899999999998</v>
      </c>
      <c r="E652" s="4">
        <f>346.266025219818 * CHOOSE(CONTROL!$C$9, $C$13, 100%, $E$13) + CHOOSE(CONTROL!$C$28, 0, 0)</f>
        <v>346.266025219818</v>
      </c>
    </row>
    <row r="653" spans="1:5" ht="15">
      <c r="A653" s="13">
        <v>61393</v>
      </c>
      <c r="B653" s="4">
        <f>59.5471 * CHOOSE(CONTROL!$C$9, $C$13, 100%, $E$13) + CHOOSE(CONTROL!$C$28, 0.0003, 0)</f>
        <v>59.547400000000003</v>
      </c>
      <c r="C653" s="4">
        <f>59.2346 * CHOOSE(CONTROL!$C$9, $C$13, 100%, $E$13) + CHOOSE(CONTROL!$C$28, 0.0003, 0)</f>
        <v>59.234900000000003</v>
      </c>
      <c r="D653" s="4">
        <f>58.6347 * CHOOSE(CONTROL!$C$9, $C$13, 100%, $E$13) + CHOOSE(CONTROL!$C$28, 0, 0)</f>
        <v>58.634700000000002</v>
      </c>
      <c r="E653" s="4">
        <f>336.336435131364 * CHOOSE(CONTROL!$C$9, $C$13, 100%, $E$13) + CHOOSE(CONTROL!$C$28, 0, 0)</f>
        <v>336.336435131364</v>
      </c>
    </row>
    <row r="654" spans="1:5" ht="15">
      <c r="A654" s="13">
        <v>61422</v>
      </c>
      <c r="B654" s="4">
        <f>60.9164 * CHOOSE(CONTROL!$C$9, $C$13, 100%, $E$13) + CHOOSE(CONTROL!$C$28, 0.0003, 0)</f>
        <v>60.916700000000006</v>
      </c>
      <c r="C654" s="4">
        <f>60.6039 * CHOOSE(CONTROL!$C$9, $C$13, 100%, $E$13) + CHOOSE(CONTROL!$C$28, 0.0003, 0)</f>
        <v>60.604200000000006</v>
      </c>
      <c r="D654" s="4">
        <f>60.6751 * CHOOSE(CONTROL!$C$9, $C$13, 100%, $E$13) + CHOOSE(CONTROL!$C$28, 0, 0)</f>
        <v>60.6751</v>
      </c>
      <c r="E654" s="4">
        <f>344.322387572815 * CHOOSE(CONTROL!$C$9, $C$13, 100%, $E$13) + CHOOSE(CONTROL!$C$28, 0, 0)</f>
        <v>344.32238757281499</v>
      </c>
    </row>
    <row r="655" spans="1:5" ht="15">
      <c r="A655" s="13">
        <v>61453</v>
      </c>
      <c r="B655" s="4">
        <f>64.5125 * CHOOSE(CONTROL!$C$9, $C$13, 100%, $E$13) + CHOOSE(CONTROL!$C$28, 0.0003, 0)</f>
        <v>64.512799999999999</v>
      </c>
      <c r="C655" s="4">
        <f>64.2 * CHOOSE(CONTROL!$C$9, $C$13, 100%, $E$13) + CHOOSE(CONTROL!$C$28, 0.0003, 0)</f>
        <v>64.200299999999999</v>
      </c>
      <c r="D655" s="4">
        <f>63.8692 * CHOOSE(CONTROL!$C$9, $C$13, 100%, $E$13) + CHOOSE(CONTROL!$C$28, 0, 0)</f>
        <v>63.869199999999999</v>
      </c>
      <c r="E655" s="4">
        <f>365.293923083352 * CHOOSE(CONTROL!$C$9, $C$13, 100%, $E$13) + CHOOSE(CONTROL!$C$28, 0, 0)</f>
        <v>365.29392308335201</v>
      </c>
    </row>
    <row r="656" spans="1:5" ht="15">
      <c r="A656" s="13">
        <v>61483</v>
      </c>
      <c r="B656" s="4">
        <f>67.0675 * CHOOSE(CONTROL!$C$9, $C$13, 100%, $E$13) + CHOOSE(CONTROL!$C$28, 0.0003, 0)</f>
        <v>67.067799999999991</v>
      </c>
      <c r="C656" s="4">
        <f>66.755 * CHOOSE(CONTROL!$C$9, $C$13, 100%, $E$13) + CHOOSE(CONTROL!$C$28, 0.0003, 0)</f>
        <v>66.755299999999991</v>
      </c>
      <c r="D656" s="4">
        <f>65.7091 * CHOOSE(CONTROL!$C$9, $C$13, 100%, $E$13) + CHOOSE(CONTROL!$C$28, 0, 0)</f>
        <v>65.709100000000007</v>
      </c>
      <c r="E656" s="4">
        <f>380.194478546047 * CHOOSE(CONTROL!$C$9, $C$13, 100%, $E$13) + CHOOSE(CONTROL!$C$28, 0, 0)</f>
        <v>380.19447854604698</v>
      </c>
    </row>
    <row r="657" spans="1:5" ht="15">
      <c r="A657" s="13">
        <v>61514</v>
      </c>
      <c r="B657" s="4">
        <f>68.6285 * CHOOSE(CONTROL!$C$9, $C$13, 100%, $E$13) + CHOOSE(CONTROL!$C$28, 0.0202, 0)</f>
        <v>68.648700000000005</v>
      </c>
      <c r="C657" s="4">
        <f>68.316 * CHOOSE(CONTROL!$C$9, $C$13, 100%, $E$13) + CHOOSE(CONTROL!$C$28, 0.0202, 0)</f>
        <v>68.336200000000005</v>
      </c>
      <c r="D657" s="4">
        <f>64.9821 * CHOOSE(CONTROL!$C$9, $C$13, 100%, $E$13) + CHOOSE(CONTROL!$C$28, 0, 0)</f>
        <v>64.982100000000003</v>
      </c>
      <c r="E657" s="4">
        <f>389.298360817279 * CHOOSE(CONTROL!$C$9, $C$13, 100%, $E$13) + CHOOSE(CONTROL!$C$28, 0, 0)</f>
        <v>389.29836081727899</v>
      </c>
    </row>
    <row r="658" spans="1:5" ht="15">
      <c r="A658" s="13">
        <v>61544</v>
      </c>
      <c r="B658" s="4">
        <f>68.8398 * CHOOSE(CONTROL!$C$9, $C$13, 100%, $E$13) + CHOOSE(CONTROL!$C$28, 0.0202, 0)</f>
        <v>68.86</v>
      </c>
      <c r="C658" s="4">
        <f>68.5273 * CHOOSE(CONTROL!$C$9, $C$13, 100%, $E$13) + CHOOSE(CONTROL!$C$28, 0.0202, 0)</f>
        <v>68.547499999999999</v>
      </c>
      <c r="D658" s="4">
        <f>65.5742 * CHOOSE(CONTROL!$C$9, $C$13, 100%, $E$13) + CHOOSE(CONTROL!$C$28, 0, 0)</f>
        <v>65.574200000000005</v>
      </c>
      <c r="E658" s="4">
        <f>390.530153870465 * CHOOSE(CONTROL!$C$9, $C$13, 100%, $E$13) + CHOOSE(CONTROL!$C$28, 0, 0)</f>
        <v>390.53015387046503</v>
      </c>
    </row>
    <row r="659" spans="1:5" ht="15">
      <c r="A659" s="13">
        <v>61575</v>
      </c>
      <c r="B659" s="4">
        <f>68.8185 * CHOOSE(CONTROL!$C$9, $C$13, 100%, $E$13) + CHOOSE(CONTROL!$C$28, 0.0202, 0)</f>
        <v>68.838700000000003</v>
      </c>
      <c r="C659" s="4">
        <f>68.506 * CHOOSE(CONTROL!$C$9, $C$13, 100%, $E$13) + CHOOSE(CONTROL!$C$28, 0.0202, 0)</f>
        <v>68.526200000000003</v>
      </c>
      <c r="D659" s="4">
        <f>66.6426 * CHOOSE(CONTROL!$C$9, $C$13, 100%, $E$13) + CHOOSE(CONTROL!$C$28, 0, 0)</f>
        <v>66.642600000000002</v>
      </c>
      <c r="E659" s="4">
        <f>390.405939444934 * CHOOSE(CONTROL!$C$9, $C$13, 100%, $E$13) + CHOOSE(CONTROL!$C$28, 0, 0)</f>
        <v>390.40593944493401</v>
      </c>
    </row>
    <row r="660" spans="1:5" ht="15">
      <c r="A660" s="13">
        <v>61606</v>
      </c>
      <c r="B660" s="4">
        <f>70.4212 * CHOOSE(CONTROL!$C$9, $C$13, 100%, $E$13) + CHOOSE(CONTROL!$C$28, 0.0202, 0)</f>
        <v>70.441400000000002</v>
      </c>
      <c r="C660" s="4">
        <f>70.1087 * CHOOSE(CONTROL!$C$9, $C$13, 100%, $E$13) + CHOOSE(CONTROL!$C$28, 0.0202, 0)</f>
        <v>70.128900000000002</v>
      </c>
      <c r="D660" s="4">
        <f>65.937 * CHOOSE(CONTROL!$C$9, $C$13, 100%, $E$13) + CHOOSE(CONTROL!$C$28, 0, 0)</f>
        <v>65.936999999999998</v>
      </c>
      <c r="E660" s="4">
        <f>399.753074966165 * CHOOSE(CONTROL!$C$9, $C$13, 100%, $E$13) + CHOOSE(CONTROL!$C$28, 0, 0)</f>
        <v>399.753074966165</v>
      </c>
    </row>
    <row r="661" spans="1:5" ht="15">
      <c r="A661" s="13">
        <v>61636</v>
      </c>
      <c r="B661" s="4">
        <f>67.6896 * CHOOSE(CONTROL!$C$9, $C$13, 100%, $E$13) + CHOOSE(CONTROL!$C$28, 0.0202, 0)</f>
        <v>67.709800000000001</v>
      </c>
      <c r="C661" s="4">
        <f>67.3771 * CHOOSE(CONTROL!$C$9, $C$13, 100%, $E$13) + CHOOSE(CONTROL!$C$28, 0.0202, 0)</f>
        <v>67.397300000000001</v>
      </c>
      <c r="D661" s="4">
        <f>65.6036 * CHOOSE(CONTROL!$C$9, $C$13, 100%, $E$13) + CHOOSE(CONTROL!$C$28, 0, 0)</f>
        <v>65.6036</v>
      </c>
      <c r="E661" s="4">
        <f>383.822574891774 * CHOOSE(CONTROL!$C$9, $C$13, 100%, $E$13) + CHOOSE(CONTROL!$C$28, 0, 0)</f>
        <v>383.82257489177402</v>
      </c>
    </row>
    <row r="662" spans="1:5" ht="15">
      <c r="A662" s="13">
        <v>61667</v>
      </c>
      <c r="B662" s="4">
        <f>65.5029 * CHOOSE(CONTROL!$C$9, $C$13, 100%, $E$13) + CHOOSE(CONTROL!$C$28, 0.0003, 0)</f>
        <v>65.503199999999993</v>
      </c>
      <c r="C662" s="4">
        <f>65.1904 * CHOOSE(CONTROL!$C$9, $C$13, 100%, $E$13) + CHOOSE(CONTROL!$C$28, 0.0003, 0)</f>
        <v>65.190699999999993</v>
      </c>
      <c r="D662" s="4">
        <f>64.711 * CHOOSE(CONTROL!$C$9, $C$13, 100%, $E$13) + CHOOSE(CONTROL!$C$28, 0, 0)</f>
        <v>64.710999999999999</v>
      </c>
      <c r="E662" s="4">
        <f>371.069893870558 * CHOOSE(CONTROL!$C$9, $C$13, 100%, $E$13) + CHOOSE(CONTROL!$C$28, 0, 0)</f>
        <v>371.06989387055802</v>
      </c>
    </row>
    <row r="663" spans="1:5" ht="15">
      <c r="A663" s="13">
        <v>61697</v>
      </c>
      <c r="B663" s="4">
        <f>64.0945 * CHOOSE(CONTROL!$C$9, $C$13, 100%, $E$13) + CHOOSE(CONTROL!$C$28, 0.0003, 0)</f>
        <v>64.094799999999992</v>
      </c>
      <c r="C663" s="4">
        <f>63.782 * CHOOSE(CONTROL!$C$9, $C$13, 100%, $E$13) + CHOOSE(CONTROL!$C$28, 0.0003, 0)</f>
        <v>63.782299999999999</v>
      </c>
      <c r="D663" s="4">
        <f>64.4042 * CHOOSE(CONTROL!$C$9, $C$13, 100%, $E$13) + CHOOSE(CONTROL!$C$28, 0, 0)</f>
        <v>64.404200000000003</v>
      </c>
      <c r="E663" s="4">
        <f>362.8562149823 * CHOOSE(CONTROL!$C$9, $C$13, 100%, $E$13) + CHOOSE(CONTROL!$C$28, 0, 0)</f>
        <v>362.8562149823</v>
      </c>
    </row>
    <row r="664" spans="1:5" ht="15">
      <c r="A664" s="13">
        <v>61728</v>
      </c>
      <c r="B664" s="4">
        <f>63.12 * CHOOSE(CONTROL!$C$9, $C$13, 100%, $E$13) + CHOOSE(CONTROL!$C$28, 0.0003, 0)</f>
        <v>63.1203</v>
      </c>
      <c r="C664" s="4">
        <f>62.8075 * CHOOSE(CONTROL!$C$9, $C$13, 100%, $E$13) + CHOOSE(CONTROL!$C$28, 0.0003, 0)</f>
        <v>62.8078</v>
      </c>
      <c r="D664" s="4">
        <f>62.1449 * CHOOSE(CONTROL!$C$9, $C$13, 100%, $E$13) + CHOOSE(CONTROL!$C$28, 0, 0)</f>
        <v>62.1449</v>
      </c>
      <c r="E664" s="4">
        <f>357.173405014242 * CHOOSE(CONTROL!$C$9, $C$13, 100%, $E$13) + CHOOSE(CONTROL!$C$28, 0, 0)</f>
        <v>357.17340501424201</v>
      </c>
    </row>
    <row r="665" spans="1:5" ht="15">
      <c r="A665" s="13">
        <v>61759</v>
      </c>
      <c r="B665" s="4">
        <f>61.5368 * CHOOSE(CONTROL!$C$9, $C$13, 100%, $E$13) + CHOOSE(CONTROL!$C$28, 0.0003, 0)</f>
        <v>61.537100000000002</v>
      </c>
      <c r="C665" s="4">
        <f>61.2243 * CHOOSE(CONTROL!$C$9, $C$13, 100%, $E$13) + CHOOSE(CONTROL!$C$28, 0.0003, 0)</f>
        <v>61.224600000000002</v>
      </c>
      <c r="D665" s="4">
        <f>60.0684 * CHOOSE(CONTROL!$C$9, $C$13, 100%, $E$13) + CHOOSE(CONTROL!$C$28, 0, 0)</f>
        <v>60.068399999999997</v>
      </c>
      <c r="E665" s="4">
        <f>346.931032838002 * CHOOSE(CONTROL!$C$9, $C$13, 100%, $E$13) + CHOOSE(CONTROL!$C$28, 0, 0)</f>
        <v>346.93103283800201</v>
      </c>
    </row>
    <row r="666" spans="1:5" ht="15">
      <c r="A666" s="13">
        <v>61787</v>
      </c>
      <c r="B666" s="4">
        <f>62.9534 * CHOOSE(CONTROL!$C$9, $C$13, 100%, $E$13) + CHOOSE(CONTROL!$C$28, 0.0003, 0)</f>
        <v>62.953700000000005</v>
      </c>
      <c r="C666" s="4">
        <f>62.6409 * CHOOSE(CONTROL!$C$9, $C$13, 100%, $E$13) + CHOOSE(CONTROL!$C$28, 0.0003, 0)</f>
        <v>62.641200000000005</v>
      </c>
      <c r="D666" s="4">
        <f>62.1594 * CHOOSE(CONTROL!$C$9, $C$13, 100%, $E$13) + CHOOSE(CONTROL!$C$28, 0, 0)</f>
        <v>62.159399999999998</v>
      </c>
      <c r="E666" s="4">
        <f>355.168542781358 * CHOOSE(CONTROL!$C$9, $C$13, 100%, $E$13) + CHOOSE(CONTROL!$C$28, 0, 0)</f>
        <v>355.16854278135798</v>
      </c>
    </row>
    <row r="667" spans="1:5" ht="15">
      <c r="A667" s="13">
        <v>61818</v>
      </c>
      <c r="B667" s="4">
        <f>66.6735 * CHOOSE(CONTROL!$C$9, $C$13, 100%, $E$13) + CHOOSE(CONTROL!$C$28, 0.0003, 0)</f>
        <v>66.6738</v>
      </c>
      <c r="C667" s="4">
        <f>66.361 * CHOOSE(CONTROL!$C$9, $C$13, 100%, $E$13) + CHOOSE(CONTROL!$C$28, 0.0003, 0)</f>
        <v>66.3613</v>
      </c>
      <c r="D667" s="4">
        <f>65.4328 * CHOOSE(CONTROL!$C$9, $C$13, 100%, $E$13) + CHOOSE(CONTROL!$C$28, 0, 0)</f>
        <v>65.4328</v>
      </c>
      <c r="E667" s="4">
        <f>376.800681660478 * CHOOSE(CONTROL!$C$9, $C$13, 100%, $E$13) + CHOOSE(CONTROL!$C$28, 0, 0)</f>
        <v>376.80068166047801</v>
      </c>
    </row>
    <row r="668" spans="1:5" ht="15">
      <c r="A668" s="13">
        <v>61848</v>
      </c>
      <c r="B668" s="4">
        <f>69.3166 * CHOOSE(CONTROL!$C$9, $C$13, 100%, $E$13) + CHOOSE(CONTROL!$C$28, 0.0003, 0)</f>
        <v>69.31689999999999</v>
      </c>
      <c r="C668" s="4">
        <f>69.0041 * CHOOSE(CONTROL!$C$9, $C$13, 100%, $E$13) + CHOOSE(CONTROL!$C$28, 0.0003, 0)</f>
        <v>69.00439999999999</v>
      </c>
      <c r="D668" s="4">
        <f>67.3183 * CHOOSE(CONTROL!$C$9, $C$13, 100%, $E$13) + CHOOSE(CONTROL!$C$28, 0, 0)</f>
        <v>67.318299999999994</v>
      </c>
      <c r="E668" s="4">
        <f>392.170604620247 * CHOOSE(CONTROL!$C$9, $C$13, 100%, $E$13) + CHOOSE(CONTROL!$C$28, 0, 0)</f>
        <v>392.17060462024699</v>
      </c>
    </row>
    <row r="669" spans="1:5" ht="15">
      <c r="A669" s="13">
        <v>61879</v>
      </c>
      <c r="B669" s="4">
        <f>70.9315 * CHOOSE(CONTROL!$C$9, $C$13, 100%, $E$13) + CHOOSE(CONTROL!$C$28, 0.0202, 0)</f>
        <v>70.951700000000002</v>
      </c>
      <c r="C669" s="4">
        <f>70.619 * CHOOSE(CONTROL!$C$9, $C$13, 100%, $E$13) + CHOOSE(CONTROL!$C$28, 0.0202, 0)</f>
        <v>70.639200000000002</v>
      </c>
      <c r="D669" s="4">
        <f>66.5732 * CHOOSE(CONTROL!$C$9, $C$13, 100%, $E$13) + CHOOSE(CONTROL!$C$28, 0, 0)</f>
        <v>66.5732</v>
      </c>
      <c r="E669" s="4">
        <f>401.561259183024 * CHOOSE(CONTROL!$C$9, $C$13, 100%, $E$13) + CHOOSE(CONTROL!$C$28, 0, 0)</f>
        <v>401.56125918302399</v>
      </c>
    </row>
    <row r="670" spans="1:5" ht="15">
      <c r="A670" s="13">
        <v>61909</v>
      </c>
      <c r="B670" s="4">
        <f>71.15 * CHOOSE(CONTROL!$C$9, $C$13, 100%, $E$13) + CHOOSE(CONTROL!$C$28, 0.0202, 0)</f>
        <v>71.170200000000008</v>
      </c>
      <c r="C670" s="4">
        <f>70.8375 * CHOOSE(CONTROL!$C$9, $C$13, 100%, $E$13) + CHOOSE(CONTROL!$C$28, 0.0202, 0)</f>
        <v>70.857700000000008</v>
      </c>
      <c r="D670" s="4">
        <f>67.18 * CHOOSE(CONTROL!$C$9, $C$13, 100%, $E$13) + CHOOSE(CONTROL!$C$28, 0, 0)</f>
        <v>67.180000000000007</v>
      </c>
      <c r="E670" s="4">
        <f>402.831853717385 * CHOOSE(CONTROL!$C$9, $C$13, 100%, $E$13) + CHOOSE(CONTROL!$C$28, 0, 0)</f>
        <v>402.831853717385</v>
      </c>
    </row>
    <row r="671" spans="1:5" ht="15">
      <c r="A671" s="13">
        <v>61940</v>
      </c>
      <c r="B671" s="4">
        <f>71.128 * CHOOSE(CONTROL!$C$9, $C$13, 100%, $E$13) + CHOOSE(CONTROL!$C$28, 0.0202, 0)</f>
        <v>71.148200000000003</v>
      </c>
      <c r="C671" s="4">
        <f>70.8155 * CHOOSE(CONTROL!$C$9, $C$13, 100%, $E$13) + CHOOSE(CONTROL!$C$28, 0.0202, 0)</f>
        <v>70.835700000000003</v>
      </c>
      <c r="D671" s="4">
        <f>68.2749 * CHOOSE(CONTROL!$C$9, $C$13, 100%, $E$13) + CHOOSE(CONTROL!$C$28, 0, 0)</f>
        <v>68.274900000000002</v>
      </c>
      <c r="E671" s="4">
        <f>402.703726537449 * CHOOSE(CONTROL!$C$9, $C$13, 100%, $E$13) + CHOOSE(CONTROL!$C$28, 0, 0)</f>
        <v>402.70372653744897</v>
      </c>
    </row>
    <row r="672" spans="1:5" ht="15">
      <c r="A672" s="13">
        <v>61971</v>
      </c>
      <c r="B672" s="4">
        <f>72.7861 * CHOOSE(CONTROL!$C$9, $C$13, 100%, $E$13) + CHOOSE(CONTROL!$C$28, 0.0202, 0)</f>
        <v>72.806300000000007</v>
      </c>
      <c r="C672" s="4">
        <f>72.4736 * CHOOSE(CONTROL!$C$9, $C$13, 100%, $E$13) + CHOOSE(CONTROL!$C$28, 0.0202, 0)</f>
        <v>72.493800000000007</v>
      </c>
      <c r="D672" s="4">
        <f>67.5518 * CHOOSE(CONTROL!$C$9, $C$13, 100%, $E$13) + CHOOSE(CONTROL!$C$28, 0, 0)</f>
        <v>67.5518</v>
      </c>
      <c r="E672" s="4">
        <f>412.3452968276 * CHOOSE(CONTROL!$C$9, $C$13, 100%, $E$13) + CHOOSE(CONTROL!$C$28, 0, 0)</f>
        <v>412.34529682760001</v>
      </c>
    </row>
    <row r="673" spans="1:5" ht="15">
      <c r="A673" s="13">
        <v>62001</v>
      </c>
      <c r="B673" s="4">
        <f>69.9602 * CHOOSE(CONTROL!$C$9, $C$13, 100%, $E$13) + CHOOSE(CONTROL!$C$28, 0.0202, 0)</f>
        <v>69.980400000000003</v>
      </c>
      <c r="C673" s="4">
        <f>69.6477 * CHOOSE(CONTROL!$C$9, $C$13, 100%, $E$13) + CHOOSE(CONTROL!$C$28, 0.0202, 0)</f>
        <v>69.667900000000003</v>
      </c>
      <c r="D673" s="4">
        <f>67.2102 * CHOOSE(CONTROL!$C$9, $C$13, 100%, $E$13) + CHOOSE(CONTROL!$C$28, 0, 0)</f>
        <v>67.2102</v>
      </c>
      <c r="E673" s="4">
        <f>395.912986000865 * CHOOSE(CONTROL!$C$9, $C$13, 100%, $E$13) + CHOOSE(CONTROL!$C$28, 0, 0)</f>
        <v>395.91298600086498</v>
      </c>
    </row>
    <row r="674" spans="1:5" ht="15">
      <c r="A674" s="13">
        <v>62032</v>
      </c>
      <c r="B674" s="4">
        <f>67.698 * CHOOSE(CONTROL!$C$9, $C$13, 100%, $E$13) + CHOOSE(CONTROL!$C$28, 0.0003, 0)</f>
        <v>67.698299999999989</v>
      </c>
      <c r="C674" s="4">
        <f>67.3855 * CHOOSE(CONTROL!$C$9, $C$13, 100%, $E$13) + CHOOSE(CONTROL!$C$28, 0.0003, 0)</f>
        <v>67.385799999999989</v>
      </c>
      <c r="D674" s="4">
        <f>66.2955 * CHOOSE(CONTROL!$C$9, $C$13, 100%, $E$13) + CHOOSE(CONTROL!$C$28, 0, 0)</f>
        <v>66.295500000000004</v>
      </c>
      <c r="E674" s="4">
        <f>382.758595527481 * CHOOSE(CONTROL!$C$9, $C$13, 100%, $E$13) + CHOOSE(CONTROL!$C$28, 0, 0)</f>
        <v>382.75859552748102</v>
      </c>
    </row>
    <row r="675" spans="1:5" ht="15">
      <c r="A675" s="13">
        <v>62062</v>
      </c>
      <c r="B675" s="4">
        <f>66.241 * CHOOSE(CONTROL!$C$9, $C$13, 100%, $E$13) + CHOOSE(CONTROL!$C$28, 0.0003, 0)</f>
        <v>66.241299999999995</v>
      </c>
      <c r="C675" s="4">
        <f>65.9285 * CHOOSE(CONTROL!$C$9, $C$13, 100%, $E$13) + CHOOSE(CONTROL!$C$28, 0.0003, 0)</f>
        <v>65.928799999999995</v>
      </c>
      <c r="D675" s="4">
        <f>65.981 * CHOOSE(CONTROL!$C$9, $C$13, 100%, $E$13) + CHOOSE(CONTROL!$C$28, 0, 0)</f>
        <v>65.980999999999995</v>
      </c>
      <c r="E675" s="4">
        <f>374.286185754242 * CHOOSE(CONTROL!$C$9, $C$13, 100%, $E$13) + CHOOSE(CONTROL!$C$28, 0, 0)</f>
        <v>374.28618575424201</v>
      </c>
    </row>
    <row r="676" spans="1:5" ht="15">
      <c r="A676" s="13">
        <v>62093</v>
      </c>
      <c r="B676" s="4">
        <f>65.233 * CHOOSE(CONTROL!$C$9, $C$13, 100%, $E$13) + CHOOSE(CONTROL!$C$28, 0.0003, 0)</f>
        <v>65.2333</v>
      </c>
      <c r="C676" s="4">
        <f>64.9205 * CHOOSE(CONTROL!$C$9, $C$13, 100%, $E$13) + CHOOSE(CONTROL!$C$28, 0.0003, 0)</f>
        <v>64.9208</v>
      </c>
      <c r="D676" s="4">
        <f>63.6657 * CHOOSE(CONTROL!$C$9, $C$13, 100%, $E$13) + CHOOSE(CONTROL!$C$28, 0, 0)</f>
        <v>63.665700000000001</v>
      </c>
      <c r="E676" s="4">
        <f>368.424367272191 * CHOOSE(CONTROL!$C$9, $C$13, 100%, $E$13) + CHOOSE(CONTROL!$C$28, 0, 0)</f>
        <v>368.42436727219098</v>
      </c>
    </row>
    <row r="677" spans="1:5" ht="15">
      <c r="A677" s="13">
        <v>62124</v>
      </c>
      <c r="B677" s="4">
        <f>63.5951 * CHOOSE(CONTROL!$C$9, $C$13, 100%, $E$13) + CHOOSE(CONTROL!$C$28, 0.0003, 0)</f>
        <v>63.595400000000005</v>
      </c>
      <c r="C677" s="4">
        <f>63.2826 * CHOOSE(CONTROL!$C$9, $C$13, 100%, $E$13) + CHOOSE(CONTROL!$C$28, 0.0003, 0)</f>
        <v>63.282900000000005</v>
      </c>
      <c r="D677" s="4">
        <f>61.5377 * CHOOSE(CONTROL!$C$9, $C$13, 100%, $E$13) + CHOOSE(CONTROL!$C$28, 0, 0)</f>
        <v>61.537700000000001</v>
      </c>
      <c r="E677" s="4">
        <f>357.859360372399 * CHOOSE(CONTROL!$C$9, $C$13, 100%, $E$13) + CHOOSE(CONTROL!$C$28, 0, 0)</f>
        <v>357.85936037239901</v>
      </c>
    </row>
    <row r="678" spans="1:5" ht="15">
      <c r="A678" s="13">
        <v>62152</v>
      </c>
      <c r="B678" s="4">
        <f>65.0606 * CHOOSE(CONTROL!$C$9, $C$13, 100%, $E$13) + CHOOSE(CONTROL!$C$28, 0.0003, 0)</f>
        <v>65.06089999999999</v>
      </c>
      <c r="C678" s="4">
        <f>64.7481 * CHOOSE(CONTROL!$C$9, $C$13, 100%, $E$13) + CHOOSE(CONTROL!$C$28, 0.0003, 0)</f>
        <v>64.74839999999999</v>
      </c>
      <c r="D678" s="4">
        <f>63.6806 * CHOOSE(CONTROL!$C$9, $C$13, 100%, $E$13) + CHOOSE(CONTROL!$C$28, 0, 0)</f>
        <v>63.680599999999998</v>
      </c>
      <c r="E678" s="4">
        <f>366.356351878971 * CHOOSE(CONTROL!$C$9, $C$13, 100%, $E$13) + CHOOSE(CONTROL!$C$28, 0, 0)</f>
        <v>366.356351878971</v>
      </c>
    </row>
    <row r="679" spans="1:5" ht="15">
      <c r="A679" s="13">
        <v>62183</v>
      </c>
      <c r="B679" s="4">
        <f>68.909 * CHOOSE(CONTROL!$C$9, $C$13, 100%, $E$13) + CHOOSE(CONTROL!$C$28, 0.0003, 0)</f>
        <v>68.909300000000002</v>
      </c>
      <c r="C679" s="4">
        <f>68.5965 * CHOOSE(CONTROL!$C$9, $C$13, 100%, $E$13) + CHOOSE(CONTROL!$C$28, 0.0003, 0)</f>
        <v>68.596800000000002</v>
      </c>
      <c r="D679" s="4">
        <f>67.0351 * CHOOSE(CONTROL!$C$9, $C$13, 100%, $E$13) + CHOOSE(CONTROL!$C$28, 0, 0)</f>
        <v>67.0351</v>
      </c>
      <c r="E679" s="4">
        <f>388.669903132783 * CHOOSE(CONTROL!$C$9, $C$13, 100%, $E$13) + CHOOSE(CONTROL!$C$28, 0, 0)</f>
        <v>388.66990313278302</v>
      </c>
    </row>
    <row r="680" spans="1:5" ht="15">
      <c r="A680" s="13">
        <v>62213</v>
      </c>
      <c r="B680" s="4">
        <f>71.6434 * CHOOSE(CONTROL!$C$9, $C$13, 100%, $E$13) + CHOOSE(CONTROL!$C$28, 0.0003, 0)</f>
        <v>71.643699999999995</v>
      </c>
      <c r="C680" s="4">
        <f>71.3309 * CHOOSE(CONTROL!$C$9, $C$13, 100%, $E$13) + CHOOSE(CONTROL!$C$28, 0.0003, 0)</f>
        <v>71.331199999999995</v>
      </c>
      <c r="D680" s="4">
        <f>68.9674 * CHOOSE(CONTROL!$C$9, $C$13, 100%, $E$13) + CHOOSE(CONTROL!$C$28, 0, 0)</f>
        <v>68.967399999999998</v>
      </c>
      <c r="E680" s="4">
        <f>404.523978665785 * CHOOSE(CONTROL!$C$9, $C$13, 100%, $E$13) + CHOOSE(CONTROL!$C$28, 0, 0)</f>
        <v>404.52397866578502</v>
      </c>
    </row>
    <row r="681" spans="1:5" ht="15">
      <c r="A681" s="13">
        <v>62244</v>
      </c>
      <c r="B681" s="4">
        <f>73.314 * CHOOSE(CONTROL!$C$9, $C$13, 100%, $E$13) + CHOOSE(CONTROL!$C$28, 0.0202, 0)</f>
        <v>73.334199999999996</v>
      </c>
      <c r="C681" s="4">
        <f>73.0015 * CHOOSE(CONTROL!$C$9, $C$13, 100%, $E$13) + CHOOSE(CONTROL!$C$28, 0.0202, 0)</f>
        <v>73.021699999999996</v>
      </c>
      <c r="D681" s="4">
        <f>68.2038 * CHOOSE(CONTROL!$C$9, $C$13, 100%, $E$13) + CHOOSE(CONTROL!$C$28, 0, 0)</f>
        <v>68.203800000000001</v>
      </c>
      <c r="E681" s="4">
        <f>414.210438847289 * CHOOSE(CONTROL!$C$9, $C$13, 100%, $E$13) + CHOOSE(CONTROL!$C$28, 0, 0)</f>
        <v>414.21043884728903</v>
      </c>
    </row>
    <row r="682" spans="1:5" ht="15">
      <c r="A682" s="13">
        <v>62274</v>
      </c>
      <c r="B682" s="4">
        <f>73.54 * CHOOSE(CONTROL!$C$9, $C$13, 100%, $E$13) + CHOOSE(CONTROL!$C$28, 0.0202, 0)</f>
        <v>73.560200000000009</v>
      </c>
      <c r="C682" s="4">
        <f>73.2275 * CHOOSE(CONTROL!$C$9, $C$13, 100%, $E$13) + CHOOSE(CONTROL!$C$28, 0.0202, 0)</f>
        <v>73.247700000000009</v>
      </c>
      <c r="D682" s="4">
        <f>68.8257 * CHOOSE(CONTROL!$C$9, $C$13, 100%, $E$13) + CHOOSE(CONTROL!$C$28, 0, 0)</f>
        <v>68.825699999999998</v>
      </c>
      <c r="E682" s="4">
        <f>415.521057109482 * CHOOSE(CONTROL!$C$9, $C$13, 100%, $E$13) + CHOOSE(CONTROL!$C$28, 0, 0)</f>
        <v>415.521057109482</v>
      </c>
    </row>
    <row r="683" spans="1:5" ht="15">
      <c r="A683" s="13">
        <v>62305</v>
      </c>
      <c r="B683" s="4">
        <f>73.5172 * CHOOSE(CONTROL!$C$9, $C$13, 100%, $E$13) + CHOOSE(CONTROL!$C$28, 0.0202, 0)</f>
        <v>73.537400000000005</v>
      </c>
      <c r="C683" s="4">
        <f>73.2047 * CHOOSE(CONTROL!$C$9, $C$13, 100%, $E$13) + CHOOSE(CONTROL!$C$28, 0.0202, 0)</f>
        <v>73.224900000000005</v>
      </c>
      <c r="D683" s="4">
        <f>69.9477 * CHOOSE(CONTROL!$C$9, $C$13, 100%, $E$13) + CHOOSE(CONTROL!$C$28, 0, 0)</f>
        <v>69.947699999999998</v>
      </c>
      <c r="E683" s="4">
        <f>415.388893923379 * CHOOSE(CONTROL!$C$9, $C$13, 100%, $E$13) + CHOOSE(CONTROL!$C$28, 0, 0)</f>
        <v>415.38889392337899</v>
      </c>
    </row>
    <row r="684" spans="1:5" ht="15">
      <c r="A684" s="13">
        <v>62336</v>
      </c>
      <c r="B684" s="4">
        <f>75.2325 * CHOOSE(CONTROL!$C$9, $C$13, 100%, $E$13) + CHOOSE(CONTROL!$C$28, 0.0202, 0)</f>
        <v>75.252700000000004</v>
      </c>
      <c r="C684" s="4">
        <f>74.92 * CHOOSE(CONTROL!$C$9, $C$13, 100%, $E$13) + CHOOSE(CONTROL!$C$28, 0.0202, 0)</f>
        <v>74.940200000000004</v>
      </c>
      <c r="D684" s="4">
        <f>69.2067 * CHOOSE(CONTROL!$C$9, $C$13, 100%, $E$13) + CHOOSE(CONTROL!$C$28, 0, 0)</f>
        <v>69.206699999999998</v>
      </c>
      <c r="E684" s="4">
        <f>425.334173677669 * CHOOSE(CONTROL!$C$9, $C$13, 100%, $E$13) + CHOOSE(CONTROL!$C$28, 0, 0)</f>
        <v>425.33417367766901</v>
      </c>
    </row>
    <row r="685" spans="1:5" ht="15">
      <c r="A685" s="13">
        <v>62366</v>
      </c>
      <c r="B685" s="4">
        <f>72.3091 * CHOOSE(CONTROL!$C$9, $C$13, 100%, $E$13) + CHOOSE(CONTROL!$C$28, 0.0202, 0)</f>
        <v>72.329300000000003</v>
      </c>
      <c r="C685" s="4">
        <f>71.9966 * CHOOSE(CONTROL!$C$9, $C$13, 100%, $E$13) + CHOOSE(CONTROL!$C$28, 0.0202, 0)</f>
        <v>72.016800000000003</v>
      </c>
      <c r="D685" s="4">
        <f>68.8566 * CHOOSE(CONTROL!$C$9, $C$13, 100%, $E$13) + CHOOSE(CONTROL!$C$28, 0, 0)</f>
        <v>68.8566</v>
      </c>
      <c r="E685" s="4">
        <f>408.384245059892 * CHOOSE(CONTROL!$C$9, $C$13, 100%, $E$13) + CHOOSE(CONTROL!$C$28, 0, 0)</f>
        <v>408.38424505989201</v>
      </c>
    </row>
    <row r="686" spans="1:5" ht="15">
      <c r="A686" s="13">
        <v>62397</v>
      </c>
      <c r="B686" s="4">
        <f>69.9689 * CHOOSE(CONTROL!$C$9, $C$13, 100%, $E$13) + CHOOSE(CONTROL!$C$28, 0.0003, 0)</f>
        <v>69.969200000000001</v>
      </c>
      <c r="C686" s="4">
        <f>69.6564 * CHOOSE(CONTROL!$C$9, $C$13, 100%, $E$13) + CHOOSE(CONTROL!$C$28, 0.0003, 0)</f>
        <v>69.656700000000001</v>
      </c>
      <c r="D686" s="4">
        <f>67.9192 * CHOOSE(CONTROL!$C$9, $C$13, 100%, $E$13) + CHOOSE(CONTROL!$C$28, 0, 0)</f>
        <v>67.919200000000004</v>
      </c>
      <c r="E686" s="4">
        <f>394.815491286597 * CHOOSE(CONTROL!$C$9, $C$13, 100%, $E$13) + CHOOSE(CONTROL!$C$28, 0, 0)</f>
        <v>394.81549128659702</v>
      </c>
    </row>
    <row r="687" spans="1:5" ht="15">
      <c r="A687" s="13">
        <v>62427</v>
      </c>
      <c r="B687" s="4">
        <f>68.4617 * CHOOSE(CONTROL!$C$9, $C$13, 100%, $E$13) + CHOOSE(CONTROL!$C$28, 0.0003, 0)</f>
        <v>68.461999999999989</v>
      </c>
      <c r="C687" s="4">
        <f>68.1492 * CHOOSE(CONTROL!$C$9, $C$13, 100%, $E$13) + CHOOSE(CONTROL!$C$28, 0.0003, 0)</f>
        <v>68.149499999999989</v>
      </c>
      <c r="D687" s="4">
        <f>67.5969 * CHOOSE(CONTROL!$C$9, $C$13, 100%, $E$13) + CHOOSE(CONTROL!$C$28, 0, 0)</f>
        <v>67.596900000000005</v>
      </c>
      <c r="E687" s="4">
        <f>386.076200605501 * CHOOSE(CONTROL!$C$9, $C$13, 100%, $E$13) + CHOOSE(CONTROL!$C$28, 0, 0)</f>
        <v>386.07620060550101</v>
      </c>
    </row>
    <row r="688" spans="1:5" ht="15">
      <c r="A688" s="13">
        <v>62458</v>
      </c>
      <c r="B688" s="4">
        <f>67.4188 * CHOOSE(CONTROL!$C$9, $C$13, 100%, $E$13) + CHOOSE(CONTROL!$C$28, 0.0003, 0)</f>
        <v>67.4191</v>
      </c>
      <c r="C688" s="4">
        <f>67.1063 * CHOOSE(CONTROL!$C$9, $C$13, 100%, $E$13) + CHOOSE(CONTROL!$C$28, 0.0003, 0)</f>
        <v>67.1066</v>
      </c>
      <c r="D688" s="4">
        <f>65.2242 * CHOOSE(CONTROL!$C$9, $C$13, 100%, $E$13) + CHOOSE(CONTROL!$C$28, 0, 0)</f>
        <v>65.224199999999996</v>
      </c>
      <c r="E688" s="4">
        <f>380.029734841265 * CHOOSE(CONTROL!$C$9, $C$13, 100%, $E$13) + CHOOSE(CONTROL!$C$28, 0, 0)</f>
        <v>380.029734841265</v>
      </c>
    </row>
    <row r="689" spans="1:5" ht="15">
      <c r="A689" s="13">
        <v>62489</v>
      </c>
      <c r="B689" s="4">
        <f>65.7244 * CHOOSE(CONTROL!$C$9, $C$13, 100%, $E$13) + CHOOSE(CONTROL!$C$28, 0.0003, 0)</f>
        <v>65.724699999999999</v>
      </c>
      <c r="C689" s="4">
        <f>65.4119 * CHOOSE(CONTROL!$C$9, $C$13, 100%, $E$13) + CHOOSE(CONTROL!$C$28, 0.0003, 0)</f>
        <v>65.412199999999999</v>
      </c>
      <c r="D689" s="4">
        <f>63.0435 * CHOOSE(CONTROL!$C$9, $C$13, 100%, $E$13) + CHOOSE(CONTROL!$C$28, 0, 0)</f>
        <v>63.043500000000002</v>
      </c>
      <c r="E689" s="4">
        <f>369.131930224129 * CHOOSE(CONTROL!$C$9, $C$13, 100%, $E$13) + CHOOSE(CONTROL!$C$28, 0, 0)</f>
        <v>369.13193022412901</v>
      </c>
    </row>
    <row r="690" spans="1:5" ht="15">
      <c r="A690" s="13">
        <v>62517</v>
      </c>
      <c r="B690" s="4">
        <f>67.2405 * CHOOSE(CONTROL!$C$9, $C$13, 100%, $E$13) + CHOOSE(CONTROL!$C$28, 0.0003, 0)</f>
        <v>67.240799999999993</v>
      </c>
      <c r="C690" s="4">
        <f>66.928 * CHOOSE(CONTROL!$C$9, $C$13, 100%, $E$13) + CHOOSE(CONTROL!$C$28, 0.0003, 0)</f>
        <v>66.928299999999993</v>
      </c>
      <c r="D690" s="4">
        <f>65.2395 * CHOOSE(CONTROL!$C$9, $C$13, 100%, $E$13) + CHOOSE(CONTROL!$C$28, 0, 0)</f>
        <v>65.239500000000007</v>
      </c>
      <c r="E690" s="4">
        <f>377.896576963159 * CHOOSE(CONTROL!$C$9, $C$13, 100%, $E$13) + CHOOSE(CONTROL!$C$28, 0, 0)</f>
        <v>377.89657696315902</v>
      </c>
    </row>
    <row r="691" spans="1:5" ht="15">
      <c r="A691" s="13">
        <v>62548</v>
      </c>
      <c r="B691" s="4">
        <f>71.2217 * CHOOSE(CONTROL!$C$9, $C$13, 100%, $E$13) + CHOOSE(CONTROL!$C$28, 0.0003, 0)</f>
        <v>71.221999999999994</v>
      </c>
      <c r="C691" s="4">
        <f>70.9092 * CHOOSE(CONTROL!$C$9, $C$13, 100%, $E$13) + CHOOSE(CONTROL!$C$28, 0.0003, 0)</f>
        <v>70.909499999999994</v>
      </c>
      <c r="D691" s="4">
        <f>68.6772 * CHOOSE(CONTROL!$C$9, $C$13, 100%, $E$13) + CHOOSE(CONTROL!$C$28, 0, 0)</f>
        <v>68.677199999999999</v>
      </c>
      <c r="E691" s="4">
        <f>400.913005081466 * CHOOSE(CONTROL!$C$9, $C$13, 100%, $E$13) + CHOOSE(CONTROL!$C$28, 0, 0)</f>
        <v>400.913005081466</v>
      </c>
    </row>
    <row r="692" spans="1:5" ht="15">
      <c r="A692" s="13">
        <v>62578</v>
      </c>
      <c r="B692" s="4">
        <f>74.0504 * CHOOSE(CONTROL!$C$9, $C$13, 100%, $E$13) + CHOOSE(CONTROL!$C$28, 0.0003, 0)</f>
        <v>74.050699999999992</v>
      </c>
      <c r="C692" s="4">
        <f>73.7379 * CHOOSE(CONTROL!$C$9, $C$13, 100%, $E$13) + CHOOSE(CONTROL!$C$28, 0.0003, 0)</f>
        <v>73.738199999999992</v>
      </c>
      <c r="D692" s="4">
        <f>70.6574 * CHOOSE(CONTROL!$C$9, $C$13, 100%, $E$13) + CHOOSE(CONTROL!$C$28, 0, 0)</f>
        <v>70.657399999999996</v>
      </c>
      <c r="E692" s="4">
        <f>417.266483993757 * CHOOSE(CONTROL!$C$9, $C$13, 100%, $E$13) + CHOOSE(CONTROL!$C$28, 0, 0)</f>
        <v>417.26648399375699</v>
      </c>
    </row>
    <row r="693" spans="1:5" ht="15">
      <c r="A693" s="13">
        <v>62609</v>
      </c>
      <c r="B693" s="4">
        <f>75.7786 * CHOOSE(CONTROL!$C$9, $C$13, 100%, $E$13) + CHOOSE(CONTROL!$C$28, 0.0202, 0)</f>
        <v>75.7988</v>
      </c>
      <c r="C693" s="4">
        <f>75.4661 * CHOOSE(CONTROL!$C$9, $C$13, 100%, $E$13) + CHOOSE(CONTROL!$C$28, 0.0202, 0)</f>
        <v>75.4863</v>
      </c>
      <c r="D693" s="4">
        <f>69.8749 * CHOOSE(CONTROL!$C$9, $C$13, 100%, $E$13) + CHOOSE(CONTROL!$C$28, 0, 0)</f>
        <v>69.874899999999997</v>
      </c>
      <c r="E693" s="4">
        <f>427.258067670979 * CHOOSE(CONTROL!$C$9, $C$13, 100%, $E$13) + CHOOSE(CONTROL!$C$28, 0, 0)</f>
        <v>427.25806767097902</v>
      </c>
    </row>
    <row r="694" spans="1:5" ht="15">
      <c r="A694" s="13">
        <v>62639</v>
      </c>
      <c r="B694" s="4">
        <f>76.0125 * CHOOSE(CONTROL!$C$9, $C$13, 100%, $E$13) + CHOOSE(CONTROL!$C$28, 0.0202, 0)</f>
        <v>76.032700000000006</v>
      </c>
      <c r="C694" s="4">
        <f>75.7 * CHOOSE(CONTROL!$C$9, $C$13, 100%, $E$13) + CHOOSE(CONTROL!$C$28, 0.0202, 0)</f>
        <v>75.720200000000006</v>
      </c>
      <c r="D694" s="4">
        <f>70.5122 * CHOOSE(CONTROL!$C$9, $C$13, 100%, $E$13) + CHOOSE(CONTROL!$C$28, 0, 0)</f>
        <v>70.512200000000007</v>
      </c>
      <c r="E694" s="4">
        <f>428.609970408431 * CHOOSE(CONTROL!$C$9, $C$13, 100%, $E$13) + CHOOSE(CONTROL!$C$28, 0, 0)</f>
        <v>428.60997040843102</v>
      </c>
    </row>
    <row r="695" spans="1:5" ht="15">
      <c r="A695" s="13">
        <v>62670</v>
      </c>
      <c r="B695" s="4">
        <f>75.9889 * CHOOSE(CONTROL!$C$9, $C$13, 100%, $E$13) + CHOOSE(CONTROL!$C$28, 0.0202, 0)</f>
        <v>76.009100000000004</v>
      </c>
      <c r="C695" s="4">
        <f>75.6764 * CHOOSE(CONTROL!$C$9, $C$13, 100%, $E$13) + CHOOSE(CONTROL!$C$28, 0.0202, 0)</f>
        <v>75.696600000000004</v>
      </c>
      <c r="D695" s="4">
        <f>71.662 * CHOOSE(CONTROL!$C$9, $C$13, 100%, $E$13) + CHOOSE(CONTROL!$C$28, 0, 0)</f>
        <v>71.662000000000006</v>
      </c>
      <c r="E695" s="4">
        <f>428.473644081965 * CHOOSE(CONTROL!$C$9, $C$13, 100%, $E$13) + CHOOSE(CONTROL!$C$28, 0, 0)</f>
        <v>428.47364408196501</v>
      </c>
    </row>
    <row r="696" spans="1:5" ht="15">
      <c r="A696" s="13">
        <v>62701</v>
      </c>
      <c r="B696" s="4">
        <f>77.7633 * CHOOSE(CONTROL!$C$9, $C$13, 100%, $E$13) + CHOOSE(CONTROL!$C$28, 0.0202, 0)</f>
        <v>77.783500000000004</v>
      </c>
      <c r="C696" s="4">
        <f>77.4508 * CHOOSE(CONTROL!$C$9, $C$13, 100%, $E$13) + CHOOSE(CONTROL!$C$28, 0.0202, 0)</f>
        <v>77.471000000000004</v>
      </c>
      <c r="D696" s="4">
        <f>70.9026 * CHOOSE(CONTROL!$C$9, $C$13, 100%, $E$13) + CHOOSE(CONTROL!$C$28, 0, 0)</f>
        <v>70.902600000000007</v>
      </c>
      <c r="E696" s="4">
        <f>438.732200148516 * CHOOSE(CONTROL!$C$9, $C$13, 100%, $E$13) + CHOOSE(CONTROL!$C$28, 0, 0)</f>
        <v>438.73220014851597</v>
      </c>
    </row>
    <row r="697" spans="1:5" ht="15">
      <c r="A697" s="13">
        <v>62731</v>
      </c>
      <c r="B697" s="4">
        <f>74.7391 * CHOOSE(CONTROL!$C$9, $C$13, 100%, $E$13) + CHOOSE(CONTROL!$C$28, 0.0202, 0)</f>
        <v>74.759299999999996</v>
      </c>
      <c r="C697" s="4">
        <f>74.4266 * CHOOSE(CONTROL!$C$9, $C$13, 100%, $E$13) + CHOOSE(CONTROL!$C$28, 0.0202, 0)</f>
        <v>74.446799999999996</v>
      </c>
      <c r="D697" s="4">
        <f>70.5439 * CHOOSE(CONTROL!$C$9, $C$13, 100%, $E$13) + CHOOSE(CONTROL!$C$28, 0, 0)</f>
        <v>70.543899999999994</v>
      </c>
      <c r="E697" s="4">
        <f>421.248348779279 * CHOOSE(CONTROL!$C$9, $C$13, 100%, $E$13) + CHOOSE(CONTROL!$C$28, 0, 0)</f>
        <v>421.24834877927901</v>
      </c>
    </row>
    <row r="698" spans="1:5" ht="15">
      <c r="A698" s="13">
        <v>62762</v>
      </c>
      <c r="B698" s="4">
        <f>72.3182 * CHOOSE(CONTROL!$C$9, $C$13, 100%, $E$13) + CHOOSE(CONTROL!$C$28, 0.0003, 0)</f>
        <v>72.3185</v>
      </c>
      <c r="C698" s="4">
        <f>72.0057 * CHOOSE(CONTROL!$C$9, $C$13, 100%, $E$13) + CHOOSE(CONTROL!$C$28, 0.0003, 0)</f>
        <v>72.006</v>
      </c>
      <c r="D698" s="4">
        <f>69.5832 * CHOOSE(CONTROL!$C$9, $C$13, 100%, $E$13) + CHOOSE(CONTROL!$C$28, 0, 0)</f>
        <v>69.583200000000005</v>
      </c>
      <c r="E698" s="4">
        <f>407.252179262125 * CHOOSE(CONTROL!$C$9, $C$13, 100%, $E$13) + CHOOSE(CONTROL!$C$28, 0, 0)</f>
        <v>407.25217926212503</v>
      </c>
    </row>
    <row r="699" spans="1:5" ht="15">
      <c r="A699" s="13">
        <v>62792</v>
      </c>
      <c r="B699" s="4">
        <f>70.7589 * CHOOSE(CONTROL!$C$9, $C$13, 100%, $E$13) + CHOOSE(CONTROL!$C$28, 0.0003, 0)</f>
        <v>70.759199999999993</v>
      </c>
      <c r="C699" s="4">
        <f>70.4464 * CHOOSE(CONTROL!$C$9, $C$13, 100%, $E$13) + CHOOSE(CONTROL!$C$28, 0.0003, 0)</f>
        <v>70.446699999999993</v>
      </c>
      <c r="D699" s="4">
        <f>69.2529 * CHOOSE(CONTROL!$C$9, $C$13, 100%, $E$13) + CHOOSE(CONTROL!$C$28, 0, 0)</f>
        <v>69.252899999999997</v>
      </c>
      <c r="E699" s="4">
        <f>398.237600924574 * CHOOSE(CONTROL!$C$9, $C$13, 100%, $E$13) + CHOOSE(CONTROL!$C$28, 0, 0)</f>
        <v>398.237600924574</v>
      </c>
    </row>
    <row r="700" spans="1:5" ht="15">
      <c r="A700" s="13">
        <v>62823</v>
      </c>
      <c r="B700" s="4">
        <f>69.6801 * CHOOSE(CONTROL!$C$9, $C$13, 100%, $E$13) + CHOOSE(CONTROL!$C$28, 0.0003, 0)</f>
        <v>69.680399999999992</v>
      </c>
      <c r="C700" s="4">
        <f>69.3676 * CHOOSE(CONTROL!$C$9, $C$13, 100%, $E$13) + CHOOSE(CONTROL!$C$28, 0.0003, 0)</f>
        <v>69.367899999999992</v>
      </c>
      <c r="D700" s="4">
        <f>66.8213 * CHOOSE(CONTROL!$C$9, $C$13, 100%, $E$13) + CHOOSE(CONTROL!$C$28, 0, 0)</f>
        <v>66.821299999999994</v>
      </c>
      <c r="E700" s="4">
        <f>392.000671488765 * CHOOSE(CONTROL!$C$9, $C$13, 100%, $E$13) + CHOOSE(CONTROL!$C$28, 0, 0)</f>
        <v>392.00067148876502</v>
      </c>
    </row>
    <row r="701" spans="1:5" ht="15">
      <c r="A701" s="13">
        <v>62854</v>
      </c>
      <c r="B701" s="4">
        <f>67.9273 * CHOOSE(CONTROL!$C$9, $C$13, 100%, $E$13) + CHOOSE(CONTROL!$C$28, 0.0003, 0)</f>
        <v>67.927599999999998</v>
      </c>
      <c r="C701" s="4">
        <f>67.6148 * CHOOSE(CONTROL!$C$9, $C$13, 100%, $E$13) + CHOOSE(CONTROL!$C$28, 0.0003, 0)</f>
        <v>67.615099999999998</v>
      </c>
      <c r="D701" s="4">
        <f>64.5865 * CHOOSE(CONTROL!$C$9, $C$13, 100%, $E$13) + CHOOSE(CONTROL!$C$28, 0, 0)</f>
        <v>64.586500000000001</v>
      </c>
      <c r="E701" s="4">
        <f>380.759586026189 * CHOOSE(CONTROL!$C$9, $C$13, 100%, $E$13) + CHOOSE(CONTROL!$C$28, 0, 0)</f>
        <v>380.75958602618903</v>
      </c>
    </row>
    <row r="702" spans="1:5" ht="15">
      <c r="A702" s="13">
        <v>62883</v>
      </c>
      <c r="B702" s="4">
        <f>69.4956 * CHOOSE(CONTROL!$C$9, $C$13, 100%, $E$13) + CHOOSE(CONTROL!$C$28, 0.0003, 0)</f>
        <v>69.495899999999992</v>
      </c>
      <c r="C702" s="4">
        <f>69.1831 * CHOOSE(CONTROL!$C$9, $C$13, 100%, $E$13) + CHOOSE(CONTROL!$C$28, 0.0003, 0)</f>
        <v>69.183399999999992</v>
      </c>
      <c r="D702" s="4">
        <f>66.837 * CHOOSE(CONTROL!$C$9, $C$13, 100%, $E$13) + CHOOSE(CONTROL!$C$28, 0, 0)</f>
        <v>66.837000000000003</v>
      </c>
      <c r="E702" s="4">
        <f>389.800319137498 * CHOOSE(CONTROL!$C$9, $C$13, 100%, $E$13) + CHOOSE(CONTROL!$C$28, 0, 0)</f>
        <v>389.80031913749798</v>
      </c>
    </row>
    <row r="703" spans="1:5" ht="15">
      <c r="A703" s="13">
        <v>62914</v>
      </c>
      <c r="B703" s="4">
        <f>73.6141 * CHOOSE(CONTROL!$C$9, $C$13, 100%, $E$13) + CHOOSE(CONTROL!$C$28, 0.0003, 0)</f>
        <v>73.614399999999989</v>
      </c>
      <c r="C703" s="4">
        <f>73.3016 * CHOOSE(CONTROL!$C$9, $C$13, 100%, $E$13) + CHOOSE(CONTROL!$C$28, 0.0003, 0)</f>
        <v>73.301899999999989</v>
      </c>
      <c r="D703" s="4">
        <f>70.3599 * CHOOSE(CONTROL!$C$9, $C$13, 100%, $E$13) + CHOOSE(CONTROL!$C$28, 0, 0)</f>
        <v>70.359899999999996</v>
      </c>
      <c r="E703" s="4">
        <f>413.541764741532 * CHOOSE(CONTROL!$C$9, $C$13, 100%, $E$13) + CHOOSE(CONTROL!$C$28, 0, 0)</f>
        <v>413.54176474153201</v>
      </c>
    </row>
    <row r="704" spans="1:5" ht="15">
      <c r="A704" s="13">
        <v>62944</v>
      </c>
      <c r="B704" s="4">
        <f>76.5404 * CHOOSE(CONTROL!$C$9, $C$13, 100%, $E$13) + CHOOSE(CONTROL!$C$28, 0.0003, 0)</f>
        <v>76.540700000000001</v>
      </c>
      <c r="C704" s="4">
        <f>76.2279 * CHOOSE(CONTROL!$C$9, $C$13, 100%, $E$13) + CHOOSE(CONTROL!$C$28, 0.0003, 0)</f>
        <v>76.228200000000001</v>
      </c>
      <c r="D704" s="4">
        <f>72.3893 * CHOOSE(CONTROL!$C$9, $C$13, 100%, $E$13) + CHOOSE(CONTROL!$C$28, 0, 0)</f>
        <v>72.389300000000006</v>
      </c>
      <c r="E704" s="4">
        <f>430.410378239561 * CHOOSE(CONTROL!$C$9, $C$13, 100%, $E$13) + CHOOSE(CONTROL!$C$28, 0, 0)</f>
        <v>430.410378239561</v>
      </c>
    </row>
    <row r="705" spans="1:5" ht="15">
      <c r="A705" s="13">
        <v>62975</v>
      </c>
      <c r="B705" s="4">
        <f>78.3283 * CHOOSE(CONTROL!$C$9, $C$13, 100%, $E$13) + CHOOSE(CONTROL!$C$28, 0.0202, 0)</f>
        <v>78.348500000000001</v>
      </c>
      <c r="C705" s="4">
        <f>78.0158 * CHOOSE(CONTROL!$C$9, $C$13, 100%, $E$13) + CHOOSE(CONTROL!$C$28, 0.0202, 0)</f>
        <v>78.036000000000001</v>
      </c>
      <c r="D705" s="4">
        <f>71.5874 * CHOOSE(CONTROL!$C$9, $C$13, 100%, $E$13) + CHOOSE(CONTROL!$C$28, 0, 0)</f>
        <v>71.587400000000002</v>
      </c>
      <c r="E705" s="4">
        <f>440.716696802615 * CHOOSE(CONTROL!$C$9, $C$13, 100%, $E$13) + CHOOSE(CONTROL!$C$28, 0, 0)</f>
        <v>440.71669680261499</v>
      </c>
    </row>
    <row r="706" spans="1:5" ht="15">
      <c r="A706" s="13">
        <v>63005</v>
      </c>
      <c r="B706" s="4">
        <f>78.5702 * CHOOSE(CONTROL!$C$9, $C$13, 100%, $E$13) + CHOOSE(CONTROL!$C$28, 0.0202, 0)</f>
        <v>78.590400000000002</v>
      </c>
      <c r="C706" s="4">
        <f>78.2577 * CHOOSE(CONTROL!$C$9, $C$13, 100%, $E$13) + CHOOSE(CONTROL!$C$28, 0.0202, 0)</f>
        <v>78.277900000000002</v>
      </c>
      <c r="D706" s="4">
        <f>72.2405 * CHOOSE(CONTROL!$C$9, $C$13, 100%, $E$13) + CHOOSE(CONTROL!$C$28, 0, 0)</f>
        <v>72.240499999999997</v>
      </c>
      <c r="E706" s="4">
        <f>442.111184476297 * CHOOSE(CONTROL!$C$9, $C$13, 100%, $E$13) + CHOOSE(CONTROL!$C$28, 0, 0)</f>
        <v>442.11118447629701</v>
      </c>
    </row>
    <row r="707" spans="1:5" ht="15">
      <c r="A707" s="13">
        <v>63036</v>
      </c>
      <c r="B707" s="4">
        <f>78.5458 * CHOOSE(CONTROL!$C$9, $C$13, 100%, $E$13) + CHOOSE(CONTROL!$C$28, 0.0202, 0)</f>
        <v>78.566000000000003</v>
      </c>
      <c r="C707" s="4">
        <f>78.2333 * CHOOSE(CONTROL!$C$9, $C$13, 100%, $E$13) + CHOOSE(CONTROL!$C$28, 0.0202, 0)</f>
        <v>78.253500000000003</v>
      </c>
      <c r="D707" s="4">
        <f>73.4188 * CHOOSE(CONTROL!$C$9, $C$13, 100%, $E$13) + CHOOSE(CONTROL!$C$28, 0, 0)</f>
        <v>73.418800000000005</v>
      </c>
      <c r="E707" s="4">
        <f>441.970563870547 * CHOOSE(CONTROL!$C$9, $C$13, 100%, $E$13) + CHOOSE(CONTROL!$C$28, 0, 0)</f>
        <v>441.97056387054698</v>
      </c>
    </row>
    <row r="708" spans="1:5" ht="15">
      <c r="A708" s="13">
        <v>63067</v>
      </c>
      <c r="B708" s="4">
        <f>80.3815 * CHOOSE(CONTROL!$C$9, $C$13, 100%, $E$13) + CHOOSE(CONTROL!$C$28, 0.0202, 0)</f>
        <v>80.401700000000005</v>
      </c>
      <c r="C708" s="4">
        <f>80.069 * CHOOSE(CONTROL!$C$9, $C$13, 100%, $E$13) + CHOOSE(CONTROL!$C$28, 0.0202, 0)</f>
        <v>80.089200000000005</v>
      </c>
      <c r="D708" s="4">
        <f>72.6406 * CHOOSE(CONTROL!$C$9, $C$13, 100%, $E$13) + CHOOSE(CONTROL!$C$28, 0, 0)</f>
        <v>72.640600000000006</v>
      </c>
      <c r="E708" s="4">
        <f>452.552264453194 * CHOOSE(CONTROL!$C$9, $C$13, 100%, $E$13) + CHOOSE(CONTROL!$C$28, 0, 0)</f>
        <v>452.55226445319403</v>
      </c>
    </row>
    <row r="709" spans="1:5" ht="15">
      <c r="A709" s="13">
        <v>63097</v>
      </c>
      <c r="B709" s="4">
        <f>77.2529 * CHOOSE(CONTROL!$C$9, $C$13, 100%, $E$13) + CHOOSE(CONTROL!$C$28, 0.0202, 0)</f>
        <v>77.273099999999999</v>
      </c>
      <c r="C709" s="4">
        <f>76.9404 * CHOOSE(CONTROL!$C$9, $C$13, 100%, $E$13) + CHOOSE(CONTROL!$C$28, 0.0202, 0)</f>
        <v>76.960599999999999</v>
      </c>
      <c r="D709" s="4">
        <f>72.2729 * CHOOSE(CONTROL!$C$9, $C$13, 100%, $E$13) + CHOOSE(CONTROL!$C$28, 0, 0)</f>
        <v>72.272900000000007</v>
      </c>
      <c r="E709" s="4">
        <f>434.517671765826 * CHOOSE(CONTROL!$C$9, $C$13, 100%, $E$13) + CHOOSE(CONTROL!$C$28, 0, 0)</f>
        <v>434.51767176582598</v>
      </c>
    </row>
    <row r="710" spans="1:5" ht="15">
      <c r="A710" s="13">
        <v>63128</v>
      </c>
      <c r="B710" s="4">
        <f>74.7485 * CHOOSE(CONTROL!$C$9, $C$13, 100%, $E$13) + CHOOSE(CONTROL!$C$28, 0.0003, 0)</f>
        <v>74.748800000000003</v>
      </c>
      <c r="C710" s="4">
        <f>74.436 * CHOOSE(CONTROL!$C$9, $C$13, 100%, $E$13) + CHOOSE(CONTROL!$C$28, 0.0003, 0)</f>
        <v>74.436300000000003</v>
      </c>
      <c r="D710" s="4">
        <f>71.2884 * CHOOSE(CONTROL!$C$9, $C$13, 100%, $E$13) + CHOOSE(CONTROL!$C$28, 0, 0)</f>
        <v>71.288399999999996</v>
      </c>
      <c r="E710" s="4">
        <f>420.080622908882 * CHOOSE(CONTROL!$C$9, $C$13, 100%, $E$13) + CHOOSE(CONTROL!$C$28, 0, 0)</f>
        <v>420.08062290888199</v>
      </c>
    </row>
    <row r="711" spans="1:5" ht="15">
      <c r="A711" s="13">
        <v>63158</v>
      </c>
      <c r="B711" s="4">
        <f>73.1354 * CHOOSE(CONTROL!$C$9, $C$13, 100%, $E$13) + CHOOSE(CONTROL!$C$28, 0.0003, 0)</f>
        <v>73.1357</v>
      </c>
      <c r="C711" s="4">
        <f>72.8229 * CHOOSE(CONTROL!$C$9, $C$13, 100%, $E$13) + CHOOSE(CONTROL!$C$28, 0.0003, 0)</f>
        <v>72.8232</v>
      </c>
      <c r="D711" s="4">
        <f>70.95 * CHOOSE(CONTROL!$C$9, $C$13, 100%, $E$13) + CHOOSE(CONTROL!$C$28, 0, 0)</f>
        <v>70.95</v>
      </c>
      <c r="E711" s="4">
        <f>410.782085353699 * CHOOSE(CONTROL!$C$9, $C$13, 100%, $E$13) + CHOOSE(CONTROL!$C$28, 0, 0)</f>
        <v>410.78208535369902</v>
      </c>
    </row>
    <row r="712" spans="1:5" ht="15">
      <c r="A712" s="13">
        <v>63189</v>
      </c>
      <c r="B712" s="4">
        <f>72.0194 * CHOOSE(CONTROL!$C$9, $C$13, 100%, $E$13) + CHOOSE(CONTROL!$C$28, 0.0003, 0)</f>
        <v>72.0197</v>
      </c>
      <c r="C712" s="4">
        <f>71.7069 * CHOOSE(CONTROL!$C$9, $C$13, 100%, $E$13) + CHOOSE(CONTROL!$C$28, 0.0003, 0)</f>
        <v>71.7072</v>
      </c>
      <c r="D712" s="4">
        <f>68.4581 * CHOOSE(CONTROL!$C$9, $C$13, 100%, $E$13) + CHOOSE(CONTROL!$C$28, 0, 0)</f>
        <v>68.458100000000002</v>
      </c>
      <c r="E712" s="4">
        <f>404.348692640661 * CHOOSE(CONTROL!$C$9, $C$13, 100%, $E$13) + CHOOSE(CONTROL!$C$28, 0, 0)</f>
        <v>404.348692640661</v>
      </c>
    </row>
    <row r="713" spans="1:5" ht="15">
      <c r="A713" s="13">
        <v>63220</v>
      </c>
      <c r="B713" s="4">
        <f>70.2061 * CHOOSE(CONTROL!$C$9, $C$13, 100%, $E$13) + CHOOSE(CONTROL!$C$28, 0.0003, 0)</f>
        <v>70.206400000000002</v>
      </c>
      <c r="C713" s="4">
        <f>69.8936 * CHOOSE(CONTROL!$C$9, $C$13, 100%, $E$13) + CHOOSE(CONTROL!$C$28, 0.0003, 0)</f>
        <v>69.893900000000002</v>
      </c>
      <c r="D713" s="4">
        <f>66.1679 * CHOOSE(CONTROL!$C$9, $C$13, 100%, $E$13) + CHOOSE(CONTROL!$C$28, 0, 0)</f>
        <v>66.167900000000003</v>
      </c>
      <c r="E713" s="4">
        <f>392.753512986014 * CHOOSE(CONTROL!$C$9, $C$13, 100%, $E$13) + CHOOSE(CONTROL!$C$28, 0, 0)</f>
        <v>392.75351298601402</v>
      </c>
    </row>
    <row r="714" spans="1:5" ht="15">
      <c r="A714" s="13">
        <v>63248</v>
      </c>
      <c r="B714" s="4">
        <f>71.8285 * CHOOSE(CONTROL!$C$9, $C$13, 100%, $E$13) + CHOOSE(CONTROL!$C$28, 0.0003, 0)</f>
        <v>71.828800000000001</v>
      </c>
      <c r="C714" s="4">
        <f>71.516 * CHOOSE(CONTROL!$C$9, $C$13, 100%, $E$13) + CHOOSE(CONTROL!$C$28, 0.0003, 0)</f>
        <v>71.516300000000001</v>
      </c>
      <c r="D714" s="4">
        <f>68.4741 * CHOOSE(CONTROL!$C$9, $C$13, 100%, $E$13) + CHOOSE(CONTROL!$C$28, 0, 0)</f>
        <v>68.474100000000007</v>
      </c>
      <c r="E714" s="4">
        <f>402.079029190329 * CHOOSE(CONTROL!$C$9, $C$13, 100%, $E$13) + CHOOSE(CONTROL!$C$28, 0, 0)</f>
        <v>402.07902919032898</v>
      </c>
    </row>
    <row r="715" spans="1:5" ht="15">
      <c r="A715" s="13">
        <v>63279</v>
      </c>
      <c r="B715" s="4">
        <f>76.0891 * CHOOSE(CONTROL!$C$9, $C$13, 100%, $E$13) + CHOOSE(CONTROL!$C$28, 0.0003, 0)</f>
        <v>76.089399999999998</v>
      </c>
      <c r="C715" s="4">
        <f>75.7766 * CHOOSE(CONTROL!$C$9, $C$13, 100%, $E$13) + CHOOSE(CONTROL!$C$28, 0.0003, 0)</f>
        <v>75.776899999999998</v>
      </c>
      <c r="D715" s="4">
        <f>72.0845 * CHOOSE(CONTROL!$C$9, $C$13, 100%, $E$13) + CHOOSE(CONTROL!$C$28, 0, 0)</f>
        <v>72.084500000000006</v>
      </c>
      <c r="E715" s="4">
        <f>426.56833033089 * CHOOSE(CONTROL!$C$9, $C$13, 100%, $E$13) + CHOOSE(CONTROL!$C$28, 0, 0)</f>
        <v>426.56833033088998</v>
      </c>
    </row>
    <row r="716" spans="1:5" ht="15">
      <c r="A716" s="13">
        <v>63309</v>
      </c>
      <c r="B716" s="4">
        <f>79.1164 * CHOOSE(CONTROL!$C$9, $C$13, 100%, $E$13) + CHOOSE(CONTROL!$C$28, 0.0003, 0)</f>
        <v>79.116699999999994</v>
      </c>
      <c r="C716" s="4">
        <f>78.8039 * CHOOSE(CONTROL!$C$9, $C$13, 100%, $E$13) + CHOOSE(CONTROL!$C$28, 0.0003, 0)</f>
        <v>78.804199999999994</v>
      </c>
      <c r="D716" s="4">
        <f>74.1641 * CHOOSE(CONTROL!$C$9, $C$13, 100%, $E$13) + CHOOSE(CONTROL!$C$28, 0, 0)</f>
        <v>74.164100000000005</v>
      </c>
      <c r="E716" s="4">
        <f>443.968305154107 * CHOOSE(CONTROL!$C$9, $C$13, 100%, $E$13) + CHOOSE(CONTROL!$C$28, 0, 0)</f>
        <v>443.96830515410699</v>
      </c>
    </row>
    <row r="717" spans="1:5" ht="15">
      <c r="A717" s="13">
        <v>63340</v>
      </c>
      <c r="B717" s="4">
        <f>80.9659 * CHOOSE(CONTROL!$C$9, $C$13, 100%, $E$13) + CHOOSE(CONTROL!$C$28, 0.0202, 0)</f>
        <v>80.986100000000008</v>
      </c>
      <c r="C717" s="4">
        <f>80.6534 * CHOOSE(CONTROL!$C$9, $C$13, 100%, $E$13) + CHOOSE(CONTROL!$C$28, 0.0202, 0)</f>
        <v>80.673600000000008</v>
      </c>
      <c r="D717" s="4">
        <f>73.3423 * CHOOSE(CONTROL!$C$9, $C$13, 100%, $E$13) + CHOOSE(CONTROL!$C$28, 0, 0)</f>
        <v>73.342299999999994</v>
      </c>
      <c r="E717" s="4">
        <f>454.599272751897 * CHOOSE(CONTROL!$C$9, $C$13, 100%, $E$13) + CHOOSE(CONTROL!$C$28, 0, 0)</f>
        <v>454.59927275189699</v>
      </c>
    </row>
    <row r="718" spans="1:5" ht="15">
      <c r="A718" s="13">
        <v>63370</v>
      </c>
      <c r="B718" s="4">
        <f>81.2162 * CHOOSE(CONTROL!$C$9, $C$13, 100%, $E$13) + CHOOSE(CONTROL!$C$28, 0.0202, 0)</f>
        <v>81.236400000000003</v>
      </c>
      <c r="C718" s="4">
        <f>80.9037 * CHOOSE(CONTROL!$C$9, $C$13, 100%, $E$13) + CHOOSE(CONTROL!$C$28, 0.0202, 0)</f>
        <v>80.923900000000003</v>
      </c>
      <c r="D718" s="4">
        <f>74.0116 * CHOOSE(CONTROL!$C$9, $C$13, 100%, $E$13) + CHOOSE(CONTROL!$C$28, 0, 0)</f>
        <v>74.011600000000001</v>
      </c>
      <c r="E718" s="4">
        <f>456.0376867873 * CHOOSE(CONTROL!$C$9, $C$13, 100%, $E$13) + CHOOSE(CONTROL!$C$28, 0, 0)</f>
        <v>456.0376867873</v>
      </c>
    </row>
    <row r="719" spans="1:5" ht="15">
      <c r="A719" s="13">
        <v>63401</v>
      </c>
      <c r="B719" s="4">
        <f>81.191 * CHOOSE(CONTROL!$C$9, $C$13, 100%, $E$13) + CHOOSE(CONTROL!$C$28, 0.0202, 0)</f>
        <v>81.211200000000005</v>
      </c>
      <c r="C719" s="4">
        <f>80.8785 * CHOOSE(CONTROL!$C$9, $C$13, 100%, $E$13) + CHOOSE(CONTROL!$C$28, 0.0202, 0)</f>
        <v>80.898700000000005</v>
      </c>
      <c r="D719" s="4">
        <f>75.2192 * CHOOSE(CONTROL!$C$9, $C$13, 100%, $E$13) + CHOOSE(CONTROL!$C$28, 0, 0)</f>
        <v>75.219200000000001</v>
      </c>
      <c r="E719" s="4">
        <f>455.892636632469 * CHOOSE(CONTROL!$C$9, $C$13, 100%, $E$13) + CHOOSE(CONTROL!$C$28, 0, 0)</f>
        <v>455.89263663246902</v>
      </c>
    </row>
    <row r="720" spans="1:5" ht="15">
      <c r="A720" s="13">
        <v>63432</v>
      </c>
      <c r="B720" s="4">
        <f>83.09 * CHOOSE(CONTROL!$C$9, $C$13, 100%, $E$13) + CHOOSE(CONTROL!$C$28, 0.0202, 0)</f>
        <v>83.110200000000006</v>
      </c>
      <c r="C720" s="4">
        <f>82.7775 * CHOOSE(CONTROL!$C$9, $C$13, 100%, $E$13) + CHOOSE(CONTROL!$C$28, 0.0202, 0)</f>
        <v>82.797700000000006</v>
      </c>
      <c r="D720" s="4">
        <f>74.4217 * CHOOSE(CONTROL!$C$9, $C$13, 100%, $E$13) + CHOOSE(CONTROL!$C$28, 0, 0)</f>
        <v>74.421700000000001</v>
      </c>
      <c r="E720" s="4">
        <f>466.80766078347 * CHOOSE(CONTROL!$C$9, $C$13, 100%, $E$13) + CHOOSE(CONTROL!$C$28, 0, 0)</f>
        <v>466.80766078347</v>
      </c>
    </row>
    <row r="721" spans="1:5" ht="15">
      <c r="A721" s="13">
        <v>63462</v>
      </c>
      <c r="B721" s="4">
        <f>79.8535 * CHOOSE(CONTROL!$C$9, $C$13, 100%, $E$13) + CHOOSE(CONTROL!$C$28, 0.0202, 0)</f>
        <v>79.873699999999999</v>
      </c>
      <c r="C721" s="4">
        <f>79.541 * CHOOSE(CONTROL!$C$9, $C$13, 100%, $E$13) + CHOOSE(CONTROL!$C$28, 0.0202, 0)</f>
        <v>79.561199999999999</v>
      </c>
      <c r="D721" s="4">
        <f>74.0449 * CHOOSE(CONTROL!$C$9, $C$13, 100%, $E$13) + CHOOSE(CONTROL!$C$28, 0, 0)</f>
        <v>74.044899999999998</v>
      </c>
      <c r="E721" s="4">
        <f>448.20497842645 * CHOOSE(CONTROL!$C$9, $C$13, 100%, $E$13) + CHOOSE(CONTROL!$C$28, 0, 0)</f>
        <v>448.20497842645</v>
      </c>
    </row>
    <row r="722" spans="1:5" ht="15">
      <c r="A722" s="13">
        <v>63493</v>
      </c>
      <c r="B722" s="4">
        <f>77.2626 * CHOOSE(CONTROL!$C$9, $C$13, 100%, $E$13) + CHOOSE(CONTROL!$C$28, 0.0003, 0)</f>
        <v>77.262900000000002</v>
      </c>
      <c r="C722" s="4">
        <f>76.9501 * CHOOSE(CONTROL!$C$9, $C$13, 100%, $E$13) + CHOOSE(CONTROL!$C$28, 0.0003, 0)</f>
        <v>76.950400000000002</v>
      </c>
      <c r="D722" s="4">
        <f>73.036 * CHOOSE(CONTROL!$C$9, $C$13, 100%, $E$13) + CHOOSE(CONTROL!$C$28, 0, 0)</f>
        <v>73.036000000000001</v>
      </c>
      <c r="E722" s="4">
        <f>433.313162530511 * CHOOSE(CONTROL!$C$9, $C$13, 100%, $E$13) + CHOOSE(CONTROL!$C$28, 0, 0)</f>
        <v>433.31316253051102</v>
      </c>
    </row>
    <row r="723" spans="1:5" ht="15">
      <c r="A723" s="13">
        <v>63523</v>
      </c>
      <c r="B723" s="4">
        <f>75.5939 * CHOOSE(CONTROL!$C$9, $C$13, 100%, $E$13) + CHOOSE(CONTROL!$C$28, 0.0003, 0)</f>
        <v>75.594200000000001</v>
      </c>
      <c r="C723" s="4">
        <f>75.2814 * CHOOSE(CONTROL!$C$9, $C$13, 100%, $E$13) + CHOOSE(CONTROL!$C$28, 0.0003, 0)</f>
        <v>75.281700000000001</v>
      </c>
      <c r="D723" s="4">
        <f>72.6891 * CHOOSE(CONTROL!$C$9, $C$13, 100%, $E$13) + CHOOSE(CONTROL!$C$28, 0, 0)</f>
        <v>72.689099999999996</v>
      </c>
      <c r="E723" s="4">
        <f>423.72172104234 * CHOOSE(CONTROL!$C$9, $C$13, 100%, $E$13) + CHOOSE(CONTROL!$C$28, 0, 0)</f>
        <v>423.72172104233999</v>
      </c>
    </row>
    <row r="724" spans="1:5" ht="15">
      <c r="A724" s="13">
        <v>63554</v>
      </c>
      <c r="B724" s="4">
        <f>74.4394 * CHOOSE(CONTROL!$C$9, $C$13, 100%, $E$13) + CHOOSE(CONTROL!$C$28, 0.0003, 0)</f>
        <v>74.439700000000002</v>
      </c>
      <c r="C724" s="4">
        <f>74.1269 * CHOOSE(CONTROL!$C$9, $C$13, 100%, $E$13) + CHOOSE(CONTROL!$C$28, 0.0003, 0)</f>
        <v>74.127200000000002</v>
      </c>
      <c r="D724" s="4">
        <f>70.1355 * CHOOSE(CONTROL!$C$9, $C$13, 100%, $E$13) + CHOOSE(CONTROL!$C$28, 0, 0)</f>
        <v>70.135499999999993</v>
      </c>
      <c r="E724" s="4">
        <f>417.085676458842 * CHOOSE(CONTROL!$C$9, $C$13, 100%, $E$13) + CHOOSE(CONTROL!$C$28, 0, 0)</f>
        <v>417.08567645884199</v>
      </c>
    </row>
    <row r="725" spans="1:5" ht="15">
      <c r="A725" s="13">
        <v>63585</v>
      </c>
      <c r="B725" s="4">
        <f>72.5635 * CHOOSE(CONTROL!$C$9, $C$13, 100%, $E$13) + CHOOSE(CONTROL!$C$28, 0.0003, 0)</f>
        <v>72.563800000000001</v>
      </c>
      <c r="C725" s="4">
        <f>72.251 * CHOOSE(CONTROL!$C$9, $C$13, 100%, $E$13) + CHOOSE(CONTROL!$C$28, 0.0003, 0)</f>
        <v>72.251300000000001</v>
      </c>
      <c r="D725" s="4">
        <f>67.7884 * CHOOSE(CONTROL!$C$9, $C$13, 100%, $E$13) + CHOOSE(CONTROL!$C$28, 0, 0)</f>
        <v>67.788399999999996</v>
      </c>
      <c r="E725" s="4">
        <f>405.125248645074 * CHOOSE(CONTROL!$C$9, $C$13, 100%, $E$13) + CHOOSE(CONTROL!$C$28, 0, 0)</f>
        <v>405.12524864507401</v>
      </c>
    </row>
    <row r="726" spans="1:5" ht="15">
      <c r="A726" s="13">
        <v>63613</v>
      </c>
      <c r="B726" s="4">
        <f>74.2419 * CHOOSE(CONTROL!$C$9, $C$13, 100%, $E$13) + CHOOSE(CONTROL!$C$28, 0.0003, 0)</f>
        <v>74.242199999999997</v>
      </c>
      <c r="C726" s="4">
        <f>73.9294 * CHOOSE(CONTROL!$C$9, $C$13, 100%, $E$13) + CHOOSE(CONTROL!$C$28, 0.0003, 0)</f>
        <v>73.929699999999997</v>
      </c>
      <c r="D726" s="4">
        <f>70.1519 * CHOOSE(CONTROL!$C$9, $C$13, 100%, $E$13) + CHOOSE(CONTROL!$C$28, 0, 0)</f>
        <v>70.151899999999998</v>
      </c>
      <c r="E726" s="4">
        <f>414.744518609825 * CHOOSE(CONTROL!$C$9, $C$13, 100%, $E$13) + CHOOSE(CONTROL!$C$28, 0, 0)</f>
        <v>414.74451860982498</v>
      </c>
    </row>
    <row r="727" spans="1:5" ht="15">
      <c r="A727" s="13">
        <v>63644</v>
      </c>
      <c r="B727" s="4">
        <f>78.6495 * CHOOSE(CONTROL!$C$9, $C$13, 100%, $E$13) + CHOOSE(CONTROL!$C$28, 0.0003, 0)</f>
        <v>78.649799999999999</v>
      </c>
      <c r="C727" s="4">
        <f>78.337 * CHOOSE(CONTROL!$C$9, $C$13, 100%, $E$13) + CHOOSE(CONTROL!$C$28, 0.0003, 0)</f>
        <v>78.337299999999999</v>
      </c>
      <c r="D727" s="4">
        <f>73.8518 * CHOOSE(CONTROL!$C$9, $C$13, 100%, $E$13) + CHOOSE(CONTROL!$C$28, 0, 0)</f>
        <v>73.851799999999997</v>
      </c>
      <c r="E727" s="4">
        <f>440.005232736313 * CHOOSE(CONTROL!$C$9, $C$13, 100%, $E$13) + CHOOSE(CONTROL!$C$28, 0, 0)</f>
        <v>440.00523273631302</v>
      </c>
    </row>
    <row r="728" spans="1:5" ht="15">
      <c r="A728" s="13">
        <v>63674</v>
      </c>
      <c r="B728" s="4">
        <f>81.7812 * CHOOSE(CONTROL!$C$9, $C$13, 100%, $E$13) + CHOOSE(CONTROL!$C$28, 0.0003, 0)</f>
        <v>81.781499999999994</v>
      </c>
      <c r="C728" s="4">
        <f>81.4687 * CHOOSE(CONTROL!$C$9, $C$13, 100%, $E$13) + CHOOSE(CONTROL!$C$28, 0.0003, 0)</f>
        <v>81.468999999999994</v>
      </c>
      <c r="D728" s="4">
        <f>75.983 * CHOOSE(CONTROL!$C$9, $C$13, 100%, $E$13) + CHOOSE(CONTROL!$C$28, 0, 0)</f>
        <v>75.983000000000004</v>
      </c>
      <c r="E728" s="4">
        <f>457.953306766461 * CHOOSE(CONTROL!$C$9, $C$13, 100%, $E$13) + CHOOSE(CONTROL!$C$28, 0, 0)</f>
        <v>457.95330676646103</v>
      </c>
    </row>
    <row r="729" spans="1:5" ht="15">
      <c r="A729" s="13">
        <v>63705</v>
      </c>
      <c r="B729" s="4">
        <f>83.6946 * CHOOSE(CONTROL!$C$9, $C$13, 100%, $E$13) + CHOOSE(CONTROL!$C$28, 0.0202, 0)</f>
        <v>83.714799999999997</v>
      </c>
      <c r="C729" s="4">
        <f>83.3821 * CHOOSE(CONTROL!$C$9, $C$13, 100%, $E$13) + CHOOSE(CONTROL!$C$28, 0.0202, 0)</f>
        <v>83.402299999999997</v>
      </c>
      <c r="D729" s="4">
        <f>75.1408 * CHOOSE(CONTROL!$C$9, $C$13, 100%, $E$13) + CHOOSE(CONTROL!$C$28, 0, 0)</f>
        <v>75.140799999999999</v>
      </c>
      <c r="E729" s="4">
        <f>468.919149843582 * CHOOSE(CONTROL!$C$9, $C$13, 100%, $E$13) + CHOOSE(CONTROL!$C$28, 0, 0)</f>
        <v>468.91914984358198</v>
      </c>
    </row>
    <row r="730" spans="1:5" ht="15">
      <c r="A730" s="13">
        <v>63735</v>
      </c>
      <c r="B730" s="4">
        <f>83.9535 * CHOOSE(CONTROL!$C$9, $C$13, 100%, $E$13) + CHOOSE(CONTROL!$C$28, 0.0202, 0)</f>
        <v>83.973700000000008</v>
      </c>
      <c r="C730" s="4">
        <f>83.641 * CHOOSE(CONTROL!$C$9, $C$13, 100%, $E$13) + CHOOSE(CONTROL!$C$28, 0.0202, 0)</f>
        <v>83.661200000000008</v>
      </c>
      <c r="D730" s="4">
        <f>75.8267 * CHOOSE(CONTROL!$C$9, $C$13, 100%, $E$13) + CHOOSE(CONTROL!$C$28, 0, 0)</f>
        <v>75.826700000000002</v>
      </c>
      <c r="E730" s="4">
        <f>470.4028739211 * CHOOSE(CONTROL!$C$9, $C$13, 100%, $E$13) + CHOOSE(CONTROL!$C$28, 0, 0)</f>
        <v>470.40287392110002</v>
      </c>
    </row>
    <row r="731" spans="1:5" ht="15">
      <c r="A731" s="13">
        <v>63766</v>
      </c>
      <c r="B731" s="4">
        <f>83.9274 * CHOOSE(CONTROL!$C$9, $C$13, 100%, $E$13) + CHOOSE(CONTROL!$C$28, 0.0202, 0)</f>
        <v>83.947600000000008</v>
      </c>
      <c r="C731" s="4">
        <f>83.6149 * CHOOSE(CONTROL!$C$9, $C$13, 100%, $E$13) + CHOOSE(CONTROL!$C$28, 0.0202, 0)</f>
        <v>83.635100000000008</v>
      </c>
      <c r="D731" s="4">
        <f>77.0643 * CHOOSE(CONTROL!$C$9, $C$13, 100%, $E$13) + CHOOSE(CONTROL!$C$28, 0, 0)</f>
        <v>77.064300000000003</v>
      </c>
      <c r="E731" s="4">
        <f>470.253254686392 * CHOOSE(CONTROL!$C$9, $C$13, 100%, $E$13) + CHOOSE(CONTROL!$C$28, 0, 0)</f>
        <v>470.25325468639198</v>
      </c>
    </row>
    <row r="732" spans="1:5" ht="15">
      <c r="A732" s="13">
        <v>63797</v>
      </c>
      <c r="B732" s="4">
        <f>85.8919 * CHOOSE(CONTROL!$C$9, $C$13, 100%, $E$13) + CHOOSE(CONTROL!$C$28, 0.0202, 0)</f>
        <v>85.912100000000009</v>
      </c>
      <c r="C732" s="4">
        <f>85.5794 * CHOOSE(CONTROL!$C$9, $C$13, 100%, $E$13) + CHOOSE(CONTROL!$C$28, 0.0202, 0)</f>
        <v>85.599600000000009</v>
      </c>
      <c r="D732" s="4">
        <f>76.247 * CHOOSE(CONTROL!$C$9, $C$13, 100%, $E$13) + CHOOSE(CONTROL!$C$28, 0, 0)</f>
        <v>76.247</v>
      </c>
      <c r="E732" s="4">
        <f>481.512102098149 * CHOOSE(CONTROL!$C$9, $C$13, 100%, $E$13) + CHOOSE(CONTROL!$C$28, 0, 0)</f>
        <v>481.512102098149</v>
      </c>
    </row>
    <row r="733" spans="1:5" ht="15">
      <c r="A733" s="13">
        <v>63827</v>
      </c>
      <c r="B733" s="4">
        <f>82.5437 * CHOOSE(CONTROL!$C$9, $C$13, 100%, $E$13) + CHOOSE(CONTROL!$C$28, 0.0202, 0)</f>
        <v>82.563900000000004</v>
      </c>
      <c r="C733" s="4">
        <f>82.2312 * CHOOSE(CONTROL!$C$9, $C$13, 100%, $E$13) + CHOOSE(CONTROL!$C$28, 0.0202, 0)</f>
        <v>82.251400000000004</v>
      </c>
      <c r="D733" s="4">
        <f>75.8608 * CHOOSE(CONTROL!$C$9, $C$13, 100%, $E$13) + CHOOSE(CONTROL!$C$28, 0, 0)</f>
        <v>75.860799999999998</v>
      </c>
      <c r="E733" s="4">
        <f>462.323435246883 * CHOOSE(CONTROL!$C$9, $C$13, 100%, $E$13) + CHOOSE(CONTROL!$C$28, 0, 0)</f>
        <v>462.32343524688298</v>
      </c>
    </row>
    <row r="734" spans="1:5" ht="15">
      <c r="A734" s="13">
        <v>63858</v>
      </c>
      <c r="B734" s="4">
        <f>79.8635 * CHOOSE(CONTROL!$C$9, $C$13, 100%, $E$13) + CHOOSE(CONTROL!$C$28, 0.0003, 0)</f>
        <v>79.863799999999998</v>
      </c>
      <c r="C734" s="4">
        <f>79.551 * CHOOSE(CONTROL!$C$9, $C$13, 100%, $E$13) + CHOOSE(CONTROL!$C$28, 0.0003, 0)</f>
        <v>79.551299999999998</v>
      </c>
      <c r="D734" s="4">
        <f>74.8269 * CHOOSE(CONTROL!$C$9, $C$13, 100%, $E$13) + CHOOSE(CONTROL!$C$28, 0, 0)</f>
        <v>74.826899999999995</v>
      </c>
      <c r="E734" s="4">
        <f>446.962527150222 * CHOOSE(CONTROL!$C$9, $C$13, 100%, $E$13) + CHOOSE(CONTROL!$C$28, 0, 0)</f>
        <v>446.962527150222</v>
      </c>
    </row>
    <row r="735" spans="1:5" ht="15">
      <c r="A735" s="13">
        <v>63888</v>
      </c>
      <c r="B735" s="4">
        <f>78.1372 * CHOOSE(CONTROL!$C$9, $C$13, 100%, $E$13) + CHOOSE(CONTROL!$C$28, 0.0003, 0)</f>
        <v>78.137500000000003</v>
      </c>
      <c r="C735" s="4">
        <f>77.8247 * CHOOSE(CONTROL!$C$9, $C$13, 100%, $E$13) + CHOOSE(CONTROL!$C$28, 0.0003, 0)</f>
        <v>77.825000000000003</v>
      </c>
      <c r="D735" s="4">
        <f>74.4714 * CHOOSE(CONTROL!$C$9, $C$13, 100%, $E$13) + CHOOSE(CONTROL!$C$28, 0, 0)</f>
        <v>74.471400000000003</v>
      </c>
      <c r="E735" s="4">
        <f>437.068955255174 * CHOOSE(CONTROL!$C$9, $C$13, 100%, $E$13) + CHOOSE(CONTROL!$C$28, 0, 0)</f>
        <v>437.06895525517399</v>
      </c>
    </row>
    <row r="736" spans="1:5" ht="15">
      <c r="A736" s="13">
        <v>63919</v>
      </c>
      <c r="B736" s="4">
        <f>76.9428 * CHOOSE(CONTROL!$C$9, $C$13, 100%, $E$13) + CHOOSE(CONTROL!$C$28, 0.0003, 0)</f>
        <v>76.943100000000001</v>
      </c>
      <c r="C736" s="4">
        <f>76.6303 * CHOOSE(CONTROL!$C$9, $C$13, 100%, $E$13) + CHOOSE(CONTROL!$C$28, 0.0003, 0)</f>
        <v>76.630600000000001</v>
      </c>
      <c r="D736" s="4">
        <f>71.8544 * CHOOSE(CONTROL!$C$9, $C$13, 100%, $E$13) + CHOOSE(CONTROL!$C$28, 0, 0)</f>
        <v>71.854399999999998</v>
      </c>
      <c r="E736" s="4">
        <f>430.223875267295 * CHOOSE(CONTROL!$C$9, $C$13, 100%, $E$13) + CHOOSE(CONTROL!$C$28, 0, 0)</f>
        <v>430.223875267295</v>
      </c>
    </row>
    <row r="737" spans="1:5" ht="15">
      <c r="A737" s="13">
        <v>63950</v>
      </c>
      <c r="B737" s="4">
        <f>75.0022 * CHOOSE(CONTROL!$C$9, $C$13, 100%, $E$13) + CHOOSE(CONTROL!$C$28, 0.0003, 0)</f>
        <v>75.002499999999998</v>
      </c>
      <c r="C737" s="4">
        <f>74.6897 * CHOOSE(CONTROL!$C$9, $C$13, 100%, $E$13) + CHOOSE(CONTROL!$C$28, 0.0003, 0)</f>
        <v>74.69</v>
      </c>
      <c r="D737" s="4">
        <f>69.4492 * CHOOSE(CONTROL!$C$9, $C$13, 100%, $E$13) + CHOOSE(CONTROL!$C$28, 0, 0)</f>
        <v>69.449200000000005</v>
      </c>
      <c r="E737" s="4">
        <f>417.886693977394 * CHOOSE(CONTROL!$C$9, $C$13, 100%, $E$13) + CHOOSE(CONTROL!$C$28, 0, 0)</f>
        <v>417.88669397739397</v>
      </c>
    </row>
    <row r="738" spans="1:5" ht="15">
      <c r="A738" s="13">
        <v>63978</v>
      </c>
      <c r="B738" s="4">
        <f>76.7386 * CHOOSE(CONTROL!$C$9, $C$13, 100%, $E$13) + CHOOSE(CONTROL!$C$28, 0.0003, 0)</f>
        <v>76.738900000000001</v>
      </c>
      <c r="C738" s="4">
        <f>76.4261 * CHOOSE(CONTROL!$C$9, $C$13, 100%, $E$13) + CHOOSE(CONTROL!$C$28, 0.0003, 0)</f>
        <v>76.426400000000001</v>
      </c>
      <c r="D738" s="4">
        <f>71.8713 * CHOOSE(CONTROL!$C$9, $C$13, 100%, $E$13) + CHOOSE(CONTROL!$C$28, 0, 0)</f>
        <v>71.871300000000005</v>
      </c>
      <c r="E738" s="4">
        <f>427.808970946034 * CHOOSE(CONTROL!$C$9, $C$13, 100%, $E$13) + CHOOSE(CONTROL!$C$28, 0, 0)</f>
        <v>427.80897094603398</v>
      </c>
    </row>
    <row r="739" spans="1:5" ht="15">
      <c r="A739" s="13">
        <v>64009</v>
      </c>
      <c r="B739" s="4">
        <f>81.2982 * CHOOSE(CONTROL!$C$9, $C$13, 100%, $E$13) + CHOOSE(CONTROL!$C$28, 0.0003, 0)</f>
        <v>81.29849999999999</v>
      </c>
      <c r="C739" s="4">
        <f>80.9857 * CHOOSE(CONTROL!$C$9, $C$13, 100%, $E$13) + CHOOSE(CONTROL!$C$28, 0.0003, 0)</f>
        <v>80.98599999999999</v>
      </c>
      <c r="D739" s="4">
        <f>75.6629 * CHOOSE(CONTROL!$C$9, $C$13, 100%, $E$13) + CHOOSE(CONTROL!$C$28, 0, 0)</f>
        <v>75.662899999999993</v>
      </c>
      <c r="E739" s="4">
        <f>453.865397567507 * CHOOSE(CONTROL!$C$9, $C$13, 100%, $E$13) + CHOOSE(CONTROL!$C$28, 0, 0)</f>
        <v>453.86539756750699</v>
      </c>
    </row>
    <row r="740" spans="1:5" ht="15">
      <c r="A740" s="13">
        <v>64039</v>
      </c>
      <c r="B740" s="4">
        <f>84.538 * CHOOSE(CONTROL!$C$9, $C$13, 100%, $E$13) + CHOOSE(CONTROL!$C$28, 0.0003, 0)</f>
        <v>84.538299999999992</v>
      </c>
      <c r="C740" s="4">
        <f>84.2255 * CHOOSE(CONTROL!$C$9, $C$13, 100%, $E$13) + CHOOSE(CONTROL!$C$28, 0.0003, 0)</f>
        <v>84.225799999999992</v>
      </c>
      <c r="D740" s="4">
        <f>77.847 * CHOOSE(CONTROL!$C$9, $C$13, 100%, $E$13) + CHOOSE(CONTROL!$C$28, 0, 0)</f>
        <v>77.846999999999994</v>
      </c>
      <c r="E740" s="4">
        <f>472.378835929605 * CHOOSE(CONTROL!$C$9, $C$13, 100%, $E$13) + CHOOSE(CONTROL!$C$28, 0, 0)</f>
        <v>472.37883592960497</v>
      </c>
    </row>
    <row r="741" spans="1:5" ht="15">
      <c r="A741" s="13">
        <v>64070</v>
      </c>
      <c r="B741" s="4">
        <f>86.5174 * CHOOSE(CONTROL!$C$9, $C$13, 100%, $E$13) + CHOOSE(CONTROL!$C$28, 0.0202, 0)</f>
        <v>86.537599999999998</v>
      </c>
      <c r="C741" s="4">
        <f>86.2049 * CHOOSE(CONTROL!$C$9, $C$13, 100%, $E$13) + CHOOSE(CONTROL!$C$28, 0.0202, 0)</f>
        <v>86.225099999999998</v>
      </c>
      <c r="D741" s="4">
        <f>76.9839 * CHOOSE(CONTROL!$C$9, $C$13, 100%, $E$13) + CHOOSE(CONTROL!$C$28, 0, 0)</f>
        <v>76.983900000000006</v>
      </c>
      <c r="E741" s="4">
        <f>483.690103063655 * CHOOSE(CONTROL!$C$9, $C$13, 100%, $E$13) + CHOOSE(CONTROL!$C$28, 0, 0)</f>
        <v>483.69010306365499</v>
      </c>
    </row>
    <row r="742" spans="1:5" ht="15">
      <c r="A742" s="13">
        <v>64100</v>
      </c>
      <c r="B742" s="4">
        <f>86.7852 * CHOOSE(CONTROL!$C$9, $C$13, 100%, $E$13) + CHOOSE(CONTROL!$C$28, 0.0202, 0)</f>
        <v>86.805400000000006</v>
      </c>
      <c r="C742" s="4">
        <f>86.4727 * CHOOSE(CONTROL!$C$9, $C$13, 100%, $E$13) + CHOOSE(CONTROL!$C$28, 0.0202, 0)</f>
        <v>86.492900000000006</v>
      </c>
      <c r="D742" s="4">
        <f>77.6868 * CHOOSE(CONTROL!$C$9, $C$13, 100%, $E$13) + CHOOSE(CONTROL!$C$28, 0, 0)</f>
        <v>77.686800000000005</v>
      </c>
      <c r="E742" s="4">
        <f>485.220564449615 * CHOOSE(CONTROL!$C$9, $C$13, 100%, $E$13) + CHOOSE(CONTROL!$C$28, 0, 0)</f>
        <v>485.22056444961498</v>
      </c>
    </row>
    <row r="743" spans="1:5" ht="15">
      <c r="A743" s="13">
        <v>64131</v>
      </c>
      <c r="B743" s="4">
        <f>86.7582 * CHOOSE(CONTROL!$C$9, $C$13, 100%, $E$13) + CHOOSE(CONTROL!$C$28, 0.0202, 0)</f>
        <v>86.778400000000005</v>
      </c>
      <c r="C743" s="4">
        <f>86.4457 * CHOOSE(CONTROL!$C$9, $C$13, 100%, $E$13) + CHOOSE(CONTROL!$C$28, 0.0202, 0)</f>
        <v>86.465900000000005</v>
      </c>
      <c r="D743" s="4">
        <f>78.955 * CHOOSE(CONTROL!$C$9, $C$13, 100%, $E$13) + CHOOSE(CONTROL!$C$28, 0, 0)</f>
        <v>78.954999999999998</v>
      </c>
      <c r="E743" s="4">
        <f>485.066232209014 * CHOOSE(CONTROL!$C$9, $C$13, 100%, $E$13) + CHOOSE(CONTROL!$C$28, 0, 0)</f>
        <v>485.066232209014</v>
      </c>
    </row>
    <row r="744" spans="1:5" ht="15">
      <c r="A744" s="13">
        <v>64162</v>
      </c>
      <c r="B744" s="4">
        <f>88.7905 * CHOOSE(CONTROL!$C$9, $C$13, 100%, $E$13) + CHOOSE(CONTROL!$C$28, 0.0202, 0)</f>
        <v>88.810699999999997</v>
      </c>
      <c r="C744" s="4">
        <f>88.478 * CHOOSE(CONTROL!$C$9, $C$13, 100%, $E$13) + CHOOSE(CONTROL!$C$28, 0.0202, 0)</f>
        <v>88.498199999999997</v>
      </c>
      <c r="D744" s="4">
        <f>78.1175 * CHOOSE(CONTROL!$C$9, $C$13, 100%, $E$13) + CHOOSE(CONTROL!$C$28, 0, 0)</f>
        <v>78.117500000000007</v>
      </c>
      <c r="E744" s="4">
        <f>496.679733314241 * CHOOSE(CONTROL!$C$9, $C$13, 100%, $E$13) + CHOOSE(CONTROL!$C$28, 0, 0)</f>
        <v>496.67973331424099</v>
      </c>
    </row>
    <row r="745" spans="1:5" ht="15">
      <c r="A745" s="13">
        <v>64192</v>
      </c>
      <c r="B745" s="4">
        <f>85.3268 * CHOOSE(CONTROL!$C$9, $C$13, 100%, $E$13) + CHOOSE(CONTROL!$C$28, 0.0202, 0)</f>
        <v>85.347000000000008</v>
      </c>
      <c r="C745" s="4">
        <f>85.0143 * CHOOSE(CONTROL!$C$9, $C$13, 100%, $E$13) + CHOOSE(CONTROL!$C$28, 0.0202, 0)</f>
        <v>85.034500000000008</v>
      </c>
      <c r="D745" s="4">
        <f>77.7218 * CHOOSE(CONTROL!$C$9, $C$13, 100%, $E$13) + CHOOSE(CONTROL!$C$28, 0, 0)</f>
        <v>77.721800000000002</v>
      </c>
      <c r="E745" s="4">
        <f>476.88662345716 * CHOOSE(CONTROL!$C$9, $C$13, 100%, $E$13) + CHOOSE(CONTROL!$C$28, 0, 0)</f>
        <v>476.88662345716</v>
      </c>
    </row>
    <row r="746" spans="1:5" ht="15">
      <c r="A746" s="13">
        <v>64223</v>
      </c>
      <c r="B746" s="4">
        <f>82.5541 * CHOOSE(CONTROL!$C$9, $C$13, 100%, $E$13) + CHOOSE(CONTROL!$C$28, 0.0003, 0)</f>
        <v>82.554400000000001</v>
      </c>
      <c r="C746" s="4">
        <f>82.2416 * CHOOSE(CONTROL!$C$9, $C$13, 100%, $E$13) + CHOOSE(CONTROL!$C$28, 0.0003, 0)</f>
        <v>82.241900000000001</v>
      </c>
      <c r="D746" s="4">
        <f>76.6622 * CHOOSE(CONTROL!$C$9, $C$13, 100%, $E$13) + CHOOSE(CONTROL!$C$28, 0, 0)</f>
        <v>76.662199999999999</v>
      </c>
      <c r="E746" s="4">
        <f>461.041846755455 * CHOOSE(CONTROL!$C$9, $C$13, 100%, $E$13) + CHOOSE(CONTROL!$C$28, 0, 0)</f>
        <v>461.04184675545503</v>
      </c>
    </row>
    <row r="747" spans="1:5" ht="15">
      <c r="A747" s="13">
        <v>64253</v>
      </c>
      <c r="B747" s="4">
        <f>80.7682 * CHOOSE(CONTROL!$C$9, $C$13, 100%, $E$13) + CHOOSE(CONTROL!$C$28, 0.0003, 0)</f>
        <v>80.768499999999989</v>
      </c>
      <c r="C747" s="4">
        <f>80.4557 * CHOOSE(CONTROL!$C$9, $C$13, 100%, $E$13) + CHOOSE(CONTROL!$C$28, 0.0003, 0)</f>
        <v>80.455999999999989</v>
      </c>
      <c r="D747" s="4">
        <f>76.2979 * CHOOSE(CONTROL!$C$9, $C$13, 100%, $E$13) + CHOOSE(CONTROL!$C$28, 0, 0)</f>
        <v>76.297899999999998</v>
      </c>
      <c r="E747" s="4">
        <f>450.836627345712 * CHOOSE(CONTROL!$C$9, $C$13, 100%, $E$13) + CHOOSE(CONTROL!$C$28, 0, 0)</f>
        <v>450.83662734571197</v>
      </c>
    </row>
    <row r="748" spans="1:5" ht="15">
      <c r="A748" s="13">
        <v>64284</v>
      </c>
      <c r="B748" s="4">
        <f>79.5327 * CHOOSE(CONTROL!$C$9, $C$13, 100%, $E$13) + CHOOSE(CONTROL!$C$28, 0.0003, 0)</f>
        <v>79.533000000000001</v>
      </c>
      <c r="C748" s="4">
        <f>79.2202 * CHOOSE(CONTROL!$C$9, $C$13, 100%, $E$13) + CHOOSE(CONTROL!$C$28, 0.0003, 0)</f>
        <v>79.220500000000001</v>
      </c>
      <c r="D748" s="4">
        <f>73.616 * CHOOSE(CONTROL!$C$9, $C$13, 100%, $E$13) + CHOOSE(CONTROL!$C$28, 0, 0)</f>
        <v>73.616</v>
      </c>
      <c r="E748" s="4">
        <f>443.775927338215 * CHOOSE(CONTROL!$C$9, $C$13, 100%, $E$13) + CHOOSE(CONTROL!$C$28, 0, 0)</f>
        <v>443.77592733821501</v>
      </c>
    </row>
    <row r="749" spans="1:5" ht="15">
      <c r="A749" s="13">
        <v>64315</v>
      </c>
      <c r="B749" s="4">
        <f>77.5251 * CHOOSE(CONTROL!$C$9, $C$13, 100%, $E$13) + CHOOSE(CONTROL!$C$28, 0.0003, 0)</f>
        <v>77.525399999999991</v>
      </c>
      <c r="C749" s="4">
        <f>77.2126 * CHOOSE(CONTROL!$C$9, $C$13, 100%, $E$13) + CHOOSE(CONTROL!$C$28, 0.0003, 0)</f>
        <v>77.212899999999991</v>
      </c>
      <c r="D749" s="4">
        <f>71.1511 * CHOOSE(CONTROL!$C$9, $C$13, 100%, $E$13) + CHOOSE(CONTROL!$C$28, 0, 0)</f>
        <v>71.1511</v>
      </c>
      <c r="E749" s="4">
        <f>431.050124837681 * CHOOSE(CONTROL!$C$9, $C$13, 100%, $E$13) + CHOOSE(CONTROL!$C$28, 0, 0)</f>
        <v>431.05012483768098</v>
      </c>
    </row>
    <row r="750" spans="1:5" ht="15">
      <c r="A750" s="13">
        <v>64344</v>
      </c>
      <c r="B750" s="4">
        <f>79.3214 * CHOOSE(CONTROL!$C$9, $C$13, 100%, $E$13) + CHOOSE(CONTROL!$C$28, 0.0003, 0)</f>
        <v>79.321699999999993</v>
      </c>
      <c r="C750" s="4">
        <f>79.0089 * CHOOSE(CONTROL!$C$9, $C$13, 100%, $E$13) + CHOOSE(CONTROL!$C$28, 0.0003, 0)</f>
        <v>79.009199999999993</v>
      </c>
      <c r="D750" s="4">
        <f>73.6333 * CHOOSE(CONTROL!$C$9, $C$13, 100%, $E$13) + CHOOSE(CONTROL!$C$28, 0, 0)</f>
        <v>73.633300000000006</v>
      </c>
      <c r="E750" s="4">
        <f>441.284953530835 * CHOOSE(CONTROL!$C$9, $C$13, 100%, $E$13) + CHOOSE(CONTROL!$C$28, 0, 0)</f>
        <v>441.28495353083503</v>
      </c>
    </row>
    <row r="751" spans="1:5" ht="15">
      <c r="A751" s="13">
        <v>64375</v>
      </c>
      <c r="B751" s="4">
        <f>84.0384 * CHOOSE(CONTROL!$C$9, $C$13, 100%, $E$13) + CHOOSE(CONTROL!$C$28, 0.0003, 0)</f>
        <v>84.038699999999992</v>
      </c>
      <c r="C751" s="4">
        <f>83.7259 * CHOOSE(CONTROL!$C$9, $C$13, 100%, $E$13) + CHOOSE(CONTROL!$C$28, 0.0003, 0)</f>
        <v>83.726199999999992</v>
      </c>
      <c r="D751" s="4">
        <f>77.5189 * CHOOSE(CONTROL!$C$9, $C$13, 100%, $E$13) + CHOOSE(CONTROL!$C$28, 0, 0)</f>
        <v>77.518900000000002</v>
      </c>
      <c r="E751" s="4">
        <f>468.162157590883 * CHOOSE(CONTROL!$C$9, $C$13, 100%, $E$13) + CHOOSE(CONTROL!$C$28, 0, 0)</f>
        <v>468.162157590883</v>
      </c>
    </row>
    <row r="752" spans="1:5" ht="15">
      <c r="A752" s="13">
        <v>64405</v>
      </c>
      <c r="B752" s="4">
        <f>87.3898 * CHOOSE(CONTROL!$C$9, $C$13, 100%, $E$13) + CHOOSE(CONTROL!$C$28, 0.0003, 0)</f>
        <v>87.39009999999999</v>
      </c>
      <c r="C752" s="4">
        <f>87.0773 * CHOOSE(CONTROL!$C$9, $C$13, 100%, $E$13) + CHOOSE(CONTROL!$C$28, 0.0003, 0)</f>
        <v>87.07759999999999</v>
      </c>
      <c r="D752" s="4">
        <f>79.7572 * CHOOSE(CONTROL!$C$9, $C$13, 100%, $E$13) + CHOOSE(CONTROL!$C$28, 0, 0)</f>
        <v>79.757199999999997</v>
      </c>
      <c r="E752" s="4">
        <f>487.258769261387 * CHOOSE(CONTROL!$C$9, $C$13, 100%, $E$13) + CHOOSE(CONTROL!$C$28, 0, 0)</f>
        <v>487.25876926138699</v>
      </c>
    </row>
    <row r="753" spans="1:5" ht="15">
      <c r="A753" s="13">
        <v>64436</v>
      </c>
      <c r="B753" s="4">
        <f>89.4375 * CHOOSE(CONTROL!$C$9, $C$13, 100%, $E$13) + CHOOSE(CONTROL!$C$28, 0.0202, 0)</f>
        <v>89.457700000000003</v>
      </c>
      <c r="C753" s="4">
        <f>89.125 * CHOOSE(CONTROL!$C$9, $C$13, 100%, $E$13) + CHOOSE(CONTROL!$C$28, 0.0202, 0)</f>
        <v>89.145200000000003</v>
      </c>
      <c r="D753" s="4">
        <f>78.8727 * CHOOSE(CONTROL!$C$9, $C$13, 100%, $E$13) + CHOOSE(CONTROL!$C$28, 0, 0)</f>
        <v>78.872699999999995</v>
      </c>
      <c r="E753" s="4">
        <f>498.92634131016 * CHOOSE(CONTROL!$C$9, $C$13, 100%, $E$13) + CHOOSE(CONTROL!$C$28, 0, 0)</f>
        <v>498.92634131016001</v>
      </c>
    </row>
    <row r="754" spans="1:5" ht="15">
      <c r="A754" s="13">
        <v>64466</v>
      </c>
      <c r="B754" s="4">
        <f>89.7146 * CHOOSE(CONTROL!$C$9, $C$13, 100%, $E$13) + CHOOSE(CONTROL!$C$28, 0.0202, 0)</f>
        <v>89.734800000000007</v>
      </c>
      <c r="C754" s="4">
        <f>89.4021 * CHOOSE(CONTROL!$C$9, $C$13, 100%, $E$13) + CHOOSE(CONTROL!$C$28, 0.0202, 0)</f>
        <v>89.422300000000007</v>
      </c>
      <c r="D754" s="4">
        <f>79.593 * CHOOSE(CONTROL!$C$9, $C$13, 100%, $E$13) + CHOOSE(CONTROL!$C$28, 0, 0)</f>
        <v>79.593000000000004</v>
      </c>
      <c r="E754" s="4">
        <f>500.505012229778 * CHOOSE(CONTROL!$C$9, $C$13, 100%, $E$13) + CHOOSE(CONTROL!$C$28, 0, 0)</f>
        <v>500.505012229778</v>
      </c>
    </row>
    <row r="755" spans="1:5" ht="15">
      <c r="A755" s="13">
        <v>64497</v>
      </c>
      <c r="B755" s="4">
        <f>89.6866 * CHOOSE(CONTROL!$C$9, $C$13, 100%, $E$13) + CHOOSE(CONTROL!$C$28, 0.0202, 0)</f>
        <v>89.706800000000001</v>
      </c>
      <c r="C755" s="4">
        <f>89.3741 * CHOOSE(CONTROL!$C$9, $C$13, 100%, $E$13) + CHOOSE(CONTROL!$C$28, 0.0202, 0)</f>
        <v>89.394300000000001</v>
      </c>
      <c r="D755" s="4">
        <f>80.8927 * CHOOSE(CONTROL!$C$9, $C$13, 100%, $E$13) + CHOOSE(CONTROL!$C$28, 0, 0)</f>
        <v>80.892700000000005</v>
      </c>
      <c r="E755" s="4">
        <f>500.345818523598 * CHOOSE(CONTROL!$C$9, $C$13, 100%, $E$13) + CHOOSE(CONTROL!$C$28, 0, 0)</f>
        <v>500.34581852359798</v>
      </c>
    </row>
    <row r="756" spans="1:5" ht="15">
      <c r="A756" s="13">
        <v>64528</v>
      </c>
      <c r="B756" s="4">
        <f>91.789 * CHOOSE(CONTROL!$C$9, $C$13, 100%, $E$13) + CHOOSE(CONTROL!$C$28, 0.0202, 0)</f>
        <v>91.809200000000004</v>
      </c>
      <c r="C756" s="4">
        <f>91.4765 * CHOOSE(CONTROL!$C$9, $C$13, 100%, $E$13) + CHOOSE(CONTROL!$C$28, 0.0202, 0)</f>
        <v>91.496700000000004</v>
      </c>
      <c r="D756" s="4">
        <f>80.0344 * CHOOSE(CONTROL!$C$9, $C$13, 100%, $E$13) + CHOOSE(CONTROL!$C$28, 0, 0)</f>
        <v>80.034400000000005</v>
      </c>
      <c r="E756" s="4">
        <f>512.325144913639 * CHOOSE(CONTROL!$C$9, $C$13, 100%, $E$13) + CHOOSE(CONTROL!$C$28, 0, 0)</f>
        <v>512.32514491363895</v>
      </c>
    </row>
    <row r="757" spans="1:5" ht="15">
      <c r="A757" s="13">
        <v>64558</v>
      </c>
      <c r="B757" s="4">
        <f>88.2059 * CHOOSE(CONTROL!$C$9, $C$13, 100%, $E$13) + CHOOSE(CONTROL!$C$28, 0.0202, 0)</f>
        <v>88.226100000000002</v>
      </c>
      <c r="C757" s="4">
        <f>87.8934 * CHOOSE(CONTROL!$C$9, $C$13, 100%, $E$13) + CHOOSE(CONTROL!$C$28, 0.0202, 0)</f>
        <v>87.913600000000002</v>
      </c>
      <c r="D757" s="4">
        <f>79.6288 * CHOOSE(CONTROL!$C$9, $C$13, 100%, $E$13) + CHOOSE(CONTROL!$C$28, 0, 0)</f>
        <v>79.628799999999998</v>
      </c>
      <c r="E757" s="4">
        <f>491.90855209606 * CHOOSE(CONTROL!$C$9, $C$13, 100%, $E$13) + CHOOSE(CONTROL!$C$28, 0, 0)</f>
        <v>491.90855209606002</v>
      </c>
    </row>
    <row r="758" spans="1:5" ht="15">
      <c r="A758" s="13">
        <v>64589</v>
      </c>
      <c r="B758" s="4">
        <f>85.3375 * CHOOSE(CONTROL!$C$9, $C$13, 100%, $E$13) + CHOOSE(CONTROL!$C$28, 0.0003, 0)</f>
        <v>85.337800000000001</v>
      </c>
      <c r="C758" s="4">
        <f>85.025 * CHOOSE(CONTROL!$C$9, $C$13, 100%, $E$13) + CHOOSE(CONTROL!$C$28, 0.0003, 0)</f>
        <v>85.025300000000001</v>
      </c>
      <c r="D758" s="4">
        <f>78.543 * CHOOSE(CONTROL!$C$9, $C$13, 100%, $E$13) + CHOOSE(CONTROL!$C$28, 0, 0)</f>
        <v>78.543000000000006</v>
      </c>
      <c r="E758" s="4">
        <f>475.564664928251 * CHOOSE(CONTROL!$C$9, $C$13, 100%, $E$13) + CHOOSE(CONTROL!$C$28, 0, 0)</f>
        <v>475.56466492825098</v>
      </c>
    </row>
    <row r="759" spans="1:5" ht="15">
      <c r="A759" s="13">
        <v>64619</v>
      </c>
      <c r="B759" s="4">
        <f>83.4901 * CHOOSE(CONTROL!$C$9, $C$13, 100%, $E$13) + CHOOSE(CONTROL!$C$28, 0.0003, 0)</f>
        <v>83.490399999999994</v>
      </c>
      <c r="C759" s="4">
        <f>83.1776 * CHOOSE(CONTROL!$C$9, $C$13, 100%, $E$13) + CHOOSE(CONTROL!$C$28, 0.0003, 0)</f>
        <v>83.177899999999994</v>
      </c>
      <c r="D759" s="4">
        <f>78.1697 * CHOOSE(CONTROL!$C$9, $C$13, 100%, $E$13) + CHOOSE(CONTROL!$C$28, 0, 0)</f>
        <v>78.169700000000006</v>
      </c>
      <c r="E759" s="4">
        <f>465.037981107102 * CHOOSE(CONTROL!$C$9, $C$13, 100%, $E$13) + CHOOSE(CONTROL!$C$28, 0, 0)</f>
        <v>465.03798110710198</v>
      </c>
    </row>
    <row r="760" spans="1:5" ht="15">
      <c r="A760" s="13">
        <v>64650</v>
      </c>
      <c r="B760" s="4">
        <f>82.2119 * CHOOSE(CONTROL!$C$9, $C$13, 100%, $E$13) + CHOOSE(CONTROL!$C$28, 0.0003, 0)</f>
        <v>82.212199999999996</v>
      </c>
      <c r="C760" s="4">
        <f>81.8994 * CHOOSE(CONTROL!$C$9, $C$13, 100%, $E$13) + CHOOSE(CONTROL!$C$28, 0.0003, 0)</f>
        <v>81.899699999999996</v>
      </c>
      <c r="D760" s="4">
        <f>75.4213 * CHOOSE(CONTROL!$C$9, $C$13, 100%, $E$13) + CHOOSE(CONTROL!$C$28, 0, 0)</f>
        <v>75.421300000000002</v>
      </c>
      <c r="E760" s="4">
        <f>457.754869049369 * CHOOSE(CONTROL!$C$9, $C$13, 100%, $E$13) + CHOOSE(CONTROL!$C$28, 0, 0)</f>
        <v>457.75486904936901</v>
      </c>
    </row>
    <row r="761" spans="1:5" ht="15">
      <c r="A761" s="13">
        <v>64681</v>
      </c>
      <c r="B761" s="4">
        <f>80.135 * CHOOSE(CONTROL!$C$9, $C$13, 100%, $E$13) + CHOOSE(CONTROL!$C$28, 0.0003, 0)</f>
        <v>80.135300000000001</v>
      </c>
      <c r="C761" s="4">
        <f>79.8225 * CHOOSE(CONTROL!$C$9, $C$13, 100%, $E$13) + CHOOSE(CONTROL!$C$28, 0.0003, 0)</f>
        <v>79.822800000000001</v>
      </c>
      <c r="D761" s="4">
        <f>72.8952 * CHOOSE(CONTROL!$C$9, $C$13, 100%, $E$13) + CHOOSE(CONTROL!$C$28, 0, 0)</f>
        <v>72.895200000000003</v>
      </c>
      <c r="E761" s="4">
        <f>444.628203770068 * CHOOSE(CONTROL!$C$9, $C$13, 100%, $E$13) + CHOOSE(CONTROL!$C$28, 0, 0)</f>
        <v>444.62820377006801</v>
      </c>
    </row>
    <row r="762" spans="1:5" ht="15">
      <c r="A762" s="13">
        <v>64709</v>
      </c>
      <c r="B762" s="4">
        <f>81.9932 * CHOOSE(CONTROL!$C$9, $C$13, 100%, $E$13) + CHOOSE(CONTROL!$C$28, 0.0003, 0)</f>
        <v>81.993499999999997</v>
      </c>
      <c r="C762" s="4">
        <f>81.6807 * CHOOSE(CONTROL!$C$9, $C$13, 100%, $E$13) + CHOOSE(CONTROL!$C$28, 0.0003, 0)</f>
        <v>81.680999999999997</v>
      </c>
      <c r="D762" s="4">
        <f>75.439 * CHOOSE(CONTROL!$C$9, $C$13, 100%, $E$13) + CHOOSE(CONTROL!$C$28, 0, 0)</f>
        <v>75.438999999999993</v>
      </c>
      <c r="E762" s="4">
        <f>455.185429567056 * CHOOSE(CONTROL!$C$9, $C$13, 100%, $E$13) + CHOOSE(CONTROL!$C$28, 0, 0)</f>
        <v>455.18542956705602</v>
      </c>
    </row>
    <row r="763" spans="1:5" ht="15">
      <c r="A763" s="13">
        <v>64740</v>
      </c>
      <c r="B763" s="4">
        <f>86.873 * CHOOSE(CONTROL!$C$9, $C$13, 100%, $E$13) + CHOOSE(CONTROL!$C$28, 0.0003, 0)</f>
        <v>86.8733</v>
      </c>
      <c r="C763" s="4">
        <f>86.5605 * CHOOSE(CONTROL!$C$9, $C$13, 100%, $E$13) + CHOOSE(CONTROL!$C$28, 0.0003, 0)</f>
        <v>86.5608</v>
      </c>
      <c r="D763" s="4">
        <f>79.421 * CHOOSE(CONTROL!$C$9, $C$13, 100%, $E$13) + CHOOSE(CONTROL!$C$28, 0, 0)</f>
        <v>79.421000000000006</v>
      </c>
      <c r="E763" s="4">
        <f>482.909265554996 * CHOOSE(CONTROL!$C$9, $C$13, 100%, $E$13) + CHOOSE(CONTROL!$C$28, 0, 0)</f>
        <v>482.90926555499601</v>
      </c>
    </row>
    <row r="764" spans="1:5" ht="15">
      <c r="A764" s="13">
        <v>64770</v>
      </c>
      <c r="B764" s="4">
        <f>90.3401 * CHOOSE(CONTROL!$C$9, $C$13, 100%, $E$13) + CHOOSE(CONTROL!$C$28, 0.0003, 0)</f>
        <v>90.340400000000002</v>
      </c>
      <c r="C764" s="4">
        <f>90.0276 * CHOOSE(CONTROL!$C$9, $C$13, 100%, $E$13) + CHOOSE(CONTROL!$C$28, 0.0003, 0)</f>
        <v>90.027900000000002</v>
      </c>
      <c r="D764" s="4">
        <f>81.7147 * CHOOSE(CONTROL!$C$9, $C$13, 100%, $E$13) + CHOOSE(CONTROL!$C$28, 0, 0)</f>
        <v>81.714699999999993</v>
      </c>
      <c r="E764" s="4">
        <f>502.607420493121 * CHOOSE(CONTROL!$C$9, $C$13, 100%, $E$13) + CHOOSE(CONTROL!$C$28, 0, 0)</f>
        <v>502.60742049312103</v>
      </c>
    </row>
    <row r="765" spans="1:5" ht="15">
      <c r="A765" s="13">
        <v>64801</v>
      </c>
      <c r="B765" s="4">
        <f>92.4584 * CHOOSE(CONTROL!$C$9, $C$13, 100%, $E$13) + CHOOSE(CONTROL!$C$28, 0.0202, 0)</f>
        <v>92.4786</v>
      </c>
      <c r="C765" s="4">
        <f>92.1459 * CHOOSE(CONTROL!$C$9, $C$13, 100%, $E$13) + CHOOSE(CONTROL!$C$28, 0.0202, 0)</f>
        <v>92.1661</v>
      </c>
      <c r="D765" s="4">
        <f>80.8083 * CHOOSE(CONTROL!$C$9, $C$13, 100%, $E$13) + CHOOSE(CONTROL!$C$28, 0, 0)</f>
        <v>80.808300000000003</v>
      </c>
      <c r="E765" s="4">
        <f>514.64252106143 * CHOOSE(CONTROL!$C$9, $C$13, 100%, $E$13) + CHOOSE(CONTROL!$C$28, 0, 0)</f>
        <v>514.64252106142999</v>
      </c>
    </row>
    <row r="766" spans="1:5" ht="15">
      <c r="A766" s="13">
        <v>64831</v>
      </c>
      <c r="B766" s="4">
        <f>92.745 * CHOOSE(CONTROL!$C$9, $C$13, 100%, $E$13) + CHOOSE(CONTROL!$C$28, 0.0202, 0)</f>
        <v>92.765200000000007</v>
      </c>
      <c r="C766" s="4">
        <f>92.4325 * CHOOSE(CONTROL!$C$9, $C$13, 100%, $E$13) + CHOOSE(CONTROL!$C$28, 0.0202, 0)</f>
        <v>92.452700000000007</v>
      </c>
      <c r="D766" s="4">
        <f>81.5465 * CHOOSE(CONTROL!$C$9, $C$13, 100%, $E$13) + CHOOSE(CONTROL!$C$28, 0, 0)</f>
        <v>81.546499999999995</v>
      </c>
      <c r="E766" s="4">
        <f>516.270920115016 * CHOOSE(CONTROL!$C$9, $C$13, 100%, $E$13) + CHOOSE(CONTROL!$C$28, 0, 0)</f>
        <v>516.270920115016</v>
      </c>
    </row>
    <row r="767" spans="1:5" ht="15">
      <c r="A767" s="13">
        <v>64862</v>
      </c>
      <c r="B767" s="4">
        <f>92.7161 * CHOOSE(CONTROL!$C$9, $C$13, 100%, $E$13) + CHOOSE(CONTROL!$C$28, 0.0202, 0)</f>
        <v>92.7363</v>
      </c>
      <c r="C767" s="4">
        <f>92.4036 * CHOOSE(CONTROL!$C$9, $C$13, 100%, $E$13) + CHOOSE(CONTROL!$C$28, 0.0202, 0)</f>
        <v>92.4238</v>
      </c>
      <c r="D767" s="4">
        <f>82.8785 * CHOOSE(CONTROL!$C$9, $C$13, 100%, $E$13) + CHOOSE(CONTROL!$C$28, 0, 0)</f>
        <v>82.878500000000003</v>
      </c>
      <c r="E767" s="4">
        <f>516.106711807091 * CHOOSE(CONTROL!$C$9, $C$13, 100%, $E$13) + CHOOSE(CONTROL!$C$28, 0, 0)</f>
        <v>516.10671180709096</v>
      </c>
    </row>
    <row r="768" spans="1:5" ht="15">
      <c r="A768" s="13">
        <v>64893</v>
      </c>
      <c r="B768" s="4">
        <f>94.8911 * CHOOSE(CONTROL!$C$9, $C$13, 100%, $E$13) + CHOOSE(CONTROL!$C$28, 0.0202, 0)</f>
        <v>94.911299999999997</v>
      </c>
      <c r="C768" s="4">
        <f>94.5786 * CHOOSE(CONTROL!$C$9, $C$13, 100%, $E$13) + CHOOSE(CONTROL!$C$28, 0.0202, 0)</f>
        <v>94.598799999999997</v>
      </c>
      <c r="D768" s="4">
        <f>81.9988 * CHOOSE(CONTROL!$C$9, $C$13, 100%, $E$13) + CHOOSE(CONTROL!$C$28, 0, 0)</f>
        <v>81.998800000000003</v>
      </c>
      <c r="E768" s="4">
        <f>528.463386978419 * CHOOSE(CONTROL!$C$9, $C$13, 100%, $E$13) + CHOOSE(CONTROL!$C$28, 0, 0)</f>
        <v>528.46338697841895</v>
      </c>
    </row>
    <row r="769" spans="1:5" ht="15">
      <c r="A769" s="13">
        <v>64923</v>
      </c>
      <c r="B769" s="4">
        <f>91.1843 * CHOOSE(CONTROL!$C$9, $C$13, 100%, $E$13) + CHOOSE(CONTROL!$C$28, 0.0202, 0)</f>
        <v>91.204499999999996</v>
      </c>
      <c r="C769" s="4">
        <f>90.8718 * CHOOSE(CONTROL!$C$9, $C$13, 100%, $E$13) + CHOOSE(CONTROL!$C$28, 0.0202, 0)</f>
        <v>90.891999999999996</v>
      </c>
      <c r="D769" s="4">
        <f>81.5832 * CHOOSE(CONTROL!$C$9, $C$13, 100%, $E$13) + CHOOSE(CONTROL!$C$28, 0, 0)</f>
        <v>81.583200000000005</v>
      </c>
      <c r="E769" s="4">
        <f>507.403671487086 * CHOOSE(CONTROL!$C$9, $C$13, 100%, $E$13) + CHOOSE(CONTROL!$C$28, 0, 0)</f>
        <v>507.403671487086</v>
      </c>
    </row>
    <row r="770" spans="1:5" ht="15">
      <c r="A770" s="13">
        <v>64954</v>
      </c>
      <c r="B770" s="4">
        <f>88.217 * CHOOSE(CONTROL!$C$9, $C$13, 100%, $E$13) + CHOOSE(CONTROL!$C$28, 0.0003, 0)</f>
        <v>88.217299999999994</v>
      </c>
      <c r="C770" s="4">
        <f>87.9045 * CHOOSE(CONTROL!$C$9, $C$13, 100%, $E$13) + CHOOSE(CONTROL!$C$28, 0.0003, 0)</f>
        <v>87.904799999999994</v>
      </c>
      <c r="D770" s="4">
        <f>80.4705 * CHOOSE(CONTROL!$C$9, $C$13, 100%, $E$13) + CHOOSE(CONTROL!$C$28, 0, 0)</f>
        <v>80.470500000000001</v>
      </c>
      <c r="E770" s="4">
        <f>490.544951873491 * CHOOSE(CONTROL!$C$9, $C$13, 100%, $E$13) + CHOOSE(CONTROL!$C$28, 0, 0)</f>
        <v>490.54495187349102</v>
      </c>
    </row>
    <row r="771" spans="1:5" ht="15">
      <c r="A771" s="13">
        <v>64984</v>
      </c>
      <c r="B771" s="4">
        <f>86.3058 * CHOOSE(CONTROL!$C$9, $C$13, 100%, $E$13) + CHOOSE(CONTROL!$C$28, 0.0003, 0)</f>
        <v>86.306100000000001</v>
      </c>
      <c r="C771" s="4">
        <f>85.9933 * CHOOSE(CONTROL!$C$9, $C$13, 100%, $E$13) + CHOOSE(CONTROL!$C$28, 0.0003, 0)</f>
        <v>85.993600000000001</v>
      </c>
      <c r="D771" s="4">
        <f>80.0879 * CHOOSE(CONTROL!$C$9, $C$13, 100%, $E$13) + CHOOSE(CONTROL!$C$28, 0, 0)</f>
        <v>80.087900000000005</v>
      </c>
      <c r="E771" s="4">
        <f>479.686677511976 * CHOOSE(CONTROL!$C$9, $C$13, 100%, $E$13) + CHOOSE(CONTROL!$C$28, 0, 0)</f>
        <v>479.68667751197597</v>
      </c>
    </row>
    <row r="772" spans="1:5" ht="15">
      <c r="A772" s="13">
        <v>65015</v>
      </c>
      <c r="B772" s="4">
        <f>84.9835 * CHOOSE(CONTROL!$C$9, $C$13, 100%, $E$13) + CHOOSE(CONTROL!$C$28, 0.0003, 0)</f>
        <v>84.983800000000002</v>
      </c>
      <c r="C772" s="4">
        <f>84.671 * CHOOSE(CONTROL!$C$9, $C$13, 100%, $E$13) + CHOOSE(CONTROL!$C$28, 0.0003, 0)</f>
        <v>84.671300000000002</v>
      </c>
      <c r="D772" s="4">
        <f>77.2713 * CHOOSE(CONTROL!$C$9, $C$13, 100%, $E$13) + CHOOSE(CONTROL!$C$28, 0, 0)</f>
        <v>77.271299999999997</v>
      </c>
      <c r="E772" s="4">
        <f>472.174147424424 * CHOOSE(CONTROL!$C$9, $C$13, 100%, $E$13) + CHOOSE(CONTROL!$C$28, 0, 0)</f>
        <v>472.17414742442401</v>
      </c>
    </row>
    <row r="773" spans="1:5" ht="15">
      <c r="A773" s="13">
        <v>65046</v>
      </c>
      <c r="B773" s="4">
        <f>82.835 * CHOOSE(CONTROL!$C$9, $C$13, 100%, $E$13) + CHOOSE(CONTROL!$C$28, 0.0003, 0)</f>
        <v>82.835299999999989</v>
      </c>
      <c r="C773" s="4">
        <f>82.5225 * CHOOSE(CONTROL!$C$9, $C$13, 100%, $E$13) + CHOOSE(CONTROL!$C$28, 0.0003, 0)</f>
        <v>82.522799999999989</v>
      </c>
      <c r="D773" s="4">
        <f>74.6826 * CHOOSE(CONTROL!$C$9, $C$13, 100%, $E$13) + CHOOSE(CONTROL!$C$28, 0, 0)</f>
        <v>74.682599999999994</v>
      </c>
      <c r="E773" s="4">
        <f>458.633992188826 * CHOOSE(CONTROL!$C$9, $C$13, 100%, $E$13) + CHOOSE(CONTROL!$C$28, 0, 0)</f>
        <v>458.63399218882603</v>
      </c>
    </row>
    <row r="774" spans="1:5" ht="15">
      <c r="A774" s="13">
        <v>65074</v>
      </c>
      <c r="B774" s="4">
        <f>84.7573 * CHOOSE(CONTROL!$C$9, $C$13, 100%, $E$13) + CHOOSE(CONTROL!$C$28, 0.0003, 0)</f>
        <v>84.757599999999996</v>
      </c>
      <c r="C774" s="4">
        <f>84.4448 * CHOOSE(CONTROL!$C$9, $C$13, 100%, $E$13) + CHOOSE(CONTROL!$C$28, 0.0003, 0)</f>
        <v>84.445099999999996</v>
      </c>
      <c r="D774" s="4">
        <f>77.2894 * CHOOSE(CONTROL!$C$9, $C$13, 100%, $E$13) + CHOOSE(CONTROL!$C$28, 0, 0)</f>
        <v>77.289400000000001</v>
      </c>
      <c r="E774" s="4">
        <f>469.523770598418 * CHOOSE(CONTROL!$C$9, $C$13, 100%, $E$13) + CHOOSE(CONTROL!$C$28, 0, 0)</f>
        <v>469.52377059841803</v>
      </c>
    </row>
    <row r="775" spans="1:5" ht="15">
      <c r="A775" s="13">
        <v>65105</v>
      </c>
      <c r="B775" s="4">
        <f>89.8054 * CHOOSE(CONTROL!$C$9, $C$13, 100%, $E$13) + CHOOSE(CONTROL!$C$28, 0.0003, 0)</f>
        <v>89.805700000000002</v>
      </c>
      <c r="C775" s="4">
        <f>89.4929 * CHOOSE(CONTROL!$C$9, $C$13, 100%, $E$13) + CHOOSE(CONTROL!$C$28, 0.0003, 0)</f>
        <v>89.493200000000002</v>
      </c>
      <c r="D775" s="4">
        <f>81.3702 * CHOOSE(CONTROL!$C$9, $C$13, 100%, $E$13) + CHOOSE(CONTROL!$C$28, 0, 0)</f>
        <v>81.370199999999997</v>
      </c>
      <c r="E775" s="4">
        <f>498.120907419979 * CHOOSE(CONTROL!$C$9, $C$13, 100%, $E$13) + CHOOSE(CONTROL!$C$28, 0, 0)</f>
        <v>498.12090741997901</v>
      </c>
    </row>
    <row r="776" spans="1:5" ht="15">
      <c r="A776" s="13">
        <v>65135</v>
      </c>
      <c r="B776" s="4">
        <f>93.3922 * CHOOSE(CONTROL!$C$9, $C$13, 100%, $E$13) + CHOOSE(CONTROL!$C$28, 0.0003, 0)</f>
        <v>93.392499999999998</v>
      </c>
      <c r="C776" s="4">
        <f>93.0797 * CHOOSE(CONTROL!$C$9, $C$13, 100%, $E$13) + CHOOSE(CONTROL!$C$28, 0.0003, 0)</f>
        <v>93.08</v>
      </c>
      <c r="D776" s="4">
        <f>83.7208 * CHOOSE(CONTROL!$C$9, $C$13, 100%, $E$13) + CHOOSE(CONTROL!$C$28, 0, 0)</f>
        <v>83.720799999999997</v>
      </c>
      <c r="E776" s="4">
        <f>518.439554238654 * CHOOSE(CONTROL!$C$9, $C$13, 100%, $E$13) + CHOOSE(CONTROL!$C$28, 0, 0)</f>
        <v>518.43955423865395</v>
      </c>
    </row>
    <row r="777" spans="1:5" ht="15">
      <c r="A777" s="13">
        <v>65166</v>
      </c>
      <c r="B777" s="4">
        <f>95.5836 * CHOOSE(CONTROL!$C$9, $C$13, 100%, $E$13) + CHOOSE(CONTROL!$C$28, 0.0202, 0)</f>
        <v>95.603800000000007</v>
      </c>
      <c r="C777" s="4">
        <f>95.2711 * CHOOSE(CONTROL!$C$9, $C$13, 100%, $E$13) + CHOOSE(CONTROL!$C$28, 0.0202, 0)</f>
        <v>95.291300000000007</v>
      </c>
      <c r="D777" s="4">
        <f>82.792 * CHOOSE(CONTROL!$C$9, $C$13, 100%, $E$13) + CHOOSE(CONTROL!$C$28, 0, 0)</f>
        <v>82.792000000000002</v>
      </c>
      <c r="E777" s="4">
        <f>530.853760474865 * CHOOSE(CONTROL!$C$9, $C$13, 100%, $E$13) + CHOOSE(CONTROL!$C$28, 0, 0)</f>
        <v>530.853760474865</v>
      </c>
    </row>
    <row r="778" spans="1:5" ht="15">
      <c r="A778" s="13">
        <v>65196</v>
      </c>
      <c r="B778" s="4">
        <f>95.8801 * CHOOSE(CONTROL!$C$9, $C$13, 100%, $E$13) + CHOOSE(CONTROL!$C$28, 0.0202, 0)</f>
        <v>95.900300000000001</v>
      </c>
      <c r="C778" s="4">
        <f>95.5676 * CHOOSE(CONTROL!$C$9, $C$13, 100%, $E$13) + CHOOSE(CONTROL!$C$28, 0.0202, 0)</f>
        <v>95.587800000000001</v>
      </c>
      <c r="D778" s="4">
        <f>83.5485 * CHOOSE(CONTROL!$C$9, $C$13, 100%, $E$13) + CHOOSE(CONTROL!$C$28, 0, 0)</f>
        <v>83.548500000000004</v>
      </c>
      <c r="E778" s="4">
        <f>532.533454098639 * CHOOSE(CONTROL!$C$9, $C$13, 100%, $E$13) + CHOOSE(CONTROL!$C$28, 0, 0)</f>
        <v>532.53345409863903</v>
      </c>
    </row>
    <row r="779" spans="1:5" ht="15">
      <c r="A779" s="13">
        <v>65227</v>
      </c>
      <c r="B779" s="4">
        <f>95.8502 * CHOOSE(CONTROL!$C$9, $C$13, 100%, $E$13) + CHOOSE(CONTROL!$C$28, 0.0202, 0)</f>
        <v>95.870400000000004</v>
      </c>
      <c r="C779" s="4">
        <f>95.5377 * CHOOSE(CONTROL!$C$9, $C$13, 100%, $E$13) + CHOOSE(CONTROL!$C$28, 0.0202, 0)</f>
        <v>95.557900000000004</v>
      </c>
      <c r="D779" s="4">
        <f>84.9134 * CHOOSE(CONTROL!$C$9, $C$13, 100%, $E$13) + CHOOSE(CONTROL!$C$28, 0, 0)</f>
        <v>84.913399999999996</v>
      </c>
      <c r="E779" s="4">
        <f>532.364073229014 * CHOOSE(CONTROL!$C$9, $C$13, 100%, $E$13) + CHOOSE(CONTROL!$C$28, 0, 0)</f>
        <v>532.36407322901402</v>
      </c>
    </row>
    <row r="780" spans="1:5" ht="15">
      <c r="A780" s="13">
        <v>65258</v>
      </c>
      <c r="B780" s="4">
        <f>98.1001 * CHOOSE(CONTROL!$C$9, $C$13, 100%, $E$13) + CHOOSE(CONTROL!$C$28, 0.0202, 0)</f>
        <v>98.1203</v>
      </c>
      <c r="C780" s="4">
        <f>97.7876 * CHOOSE(CONTROL!$C$9, $C$13, 100%, $E$13) + CHOOSE(CONTROL!$C$28, 0.0202, 0)</f>
        <v>97.8078</v>
      </c>
      <c r="D780" s="4">
        <f>84.012 * CHOOSE(CONTROL!$C$9, $C$13, 100%, $E$13) + CHOOSE(CONTROL!$C$28, 0, 0)</f>
        <v>84.012</v>
      </c>
      <c r="E780" s="4">
        <f>545.109983668239 * CHOOSE(CONTROL!$C$9, $C$13, 100%, $E$13) + CHOOSE(CONTROL!$C$28, 0, 0)</f>
        <v>545.10998366823901</v>
      </c>
    </row>
    <row r="781" spans="1:5" ht="15">
      <c r="A781" s="13">
        <v>65288</v>
      </c>
      <c r="B781" s="4">
        <f>94.2655 * CHOOSE(CONTROL!$C$9, $C$13, 100%, $E$13) + CHOOSE(CONTROL!$C$28, 0.0202, 0)</f>
        <v>94.285700000000006</v>
      </c>
      <c r="C781" s="4">
        <f>93.953 * CHOOSE(CONTROL!$C$9, $C$13, 100%, $E$13) + CHOOSE(CONTROL!$C$28, 0.0202, 0)</f>
        <v>93.973200000000006</v>
      </c>
      <c r="D781" s="4">
        <f>83.5861 * CHOOSE(CONTROL!$C$9, $C$13, 100%, $E$13) + CHOOSE(CONTROL!$C$28, 0, 0)</f>
        <v>83.586100000000002</v>
      </c>
      <c r="E781" s="4">
        <f>523.386887138929 * CHOOSE(CONTROL!$C$9, $C$13, 100%, $E$13) + CHOOSE(CONTROL!$C$28, 0, 0)</f>
        <v>523.38688713892896</v>
      </c>
    </row>
    <row r="782" spans="1:5" ht="15">
      <c r="A782" s="13">
        <v>65319</v>
      </c>
      <c r="B782" s="4">
        <f>91.1958 * CHOOSE(CONTROL!$C$9, $C$13, 100%, $E$13) + CHOOSE(CONTROL!$C$28, 0.0003, 0)</f>
        <v>91.196100000000001</v>
      </c>
      <c r="C782" s="4">
        <f>90.8833 * CHOOSE(CONTROL!$C$9, $C$13, 100%, $E$13) + CHOOSE(CONTROL!$C$28, 0.0003, 0)</f>
        <v>90.883600000000001</v>
      </c>
      <c r="D782" s="4">
        <f>82.4457 * CHOOSE(CONTROL!$C$9, $C$13, 100%, $E$13) + CHOOSE(CONTROL!$C$28, 0, 0)</f>
        <v>82.445700000000002</v>
      </c>
      <c r="E782" s="4">
        <f>505.997117857506 * CHOOSE(CONTROL!$C$9, $C$13, 100%, $E$13) + CHOOSE(CONTROL!$C$28, 0, 0)</f>
        <v>505.997117857506</v>
      </c>
    </row>
    <row r="783" spans="1:5" ht="15">
      <c r="A783" s="13">
        <v>65349</v>
      </c>
      <c r="B783" s="4">
        <f>89.2186 * CHOOSE(CONTROL!$C$9, $C$13, 100%, $E$13) + CHOOSE(CONTROL!$C$28, 0.0003, 0)</f>
        <v>89.218899999999991</v>
      </c>
      <c r="C783" s="4">
        <f>88.9061 * CHOOSE(CONTROL!$C$9, $C$13, 100%, $E$13) + CHOOSE(CONTROL!$C$28, 0.0003, 0)</f>
        <v>88.906399999999991</v>
      </c>
      <c r="D783" s="4">
        <f>82.0536 * CHOOSE(CONTROL!$C$9, $C$13, 100%, $E$13) + CHOOSE(CONTROL!$C$28, 0, 0)</f>
        <v>82.053600000000003</v>
      </c>
      <c r="E783" s="4">
        <f>494.796807853603 * CHOOSE(CONTROL!$C$9, $C$13, 100%, $E$13) + CHOOSE(CONTROL!$C$28, 0, 0)</f>
        <v>494.79680785360301</v>
      </c>
    </row>
    <row r="784" spans="1:5" ht="15">
      <c r="A784" s="13">
        <v>65380</v>
      </c>
      <c r="B784" s="4">
        <f>87.8507 * CHOOSE(CONTROL!$C$9, $C$13, 100%, $E$13) + CHOOSE(CONTROL!$C$28, 0.0003, 0)</f>
        <v>87.850999999999999</v>
      </c>
      <c r="C784" s="4">
        <f>87.5382 * CHOOSE(CONTROL!$C$9, $C$13, 100%, $E$13) + CHOOSE(CONTROL!$C$28, 0.0003, 0)</f>
        <v>87.538499999999999</v>
      </c>
      <c r="D784" s="4">
        <f>79.1672 * CHOOSE(CONTROL!$C$9, $C$13, 100%, $E$13) + CHOOSE(CONTROL!$C$28, 0, 0)</f>
        <v>79.167199999999994</v>
      </c>
      <c r="E784" s="4">
        <f>487.047633068293 * CHOOSE(CONTROL!$C$9, $C$13, 100%, $E$13) + CHOOSE(CONTROL!$C$28, 0, 0)</f>
        <v>487.04763306829301</v>
      </c>
    </row>
    <row r="785" spans="1:5" ht="15">
      <c r="A785" s="13">
        <v>65411</v>
      </c>
      <c r="B785" s="4">
        <f>85.6281 * CHOOSE(CONTROL!$C$9, $C$13, 100%, $E$13) + CHOOSE(CONTROL!$C$28, 0.0003, 0)</f>
        <v>85.628399999999999</v>
      </c>
      <c r="C785" s="4">
        <f>85.3156 * CHOOSE(CONTROL!$C$9, $C$13, 100%, $E$13) + CHOOSE(CONTROL!$C$28, 0.0003, 0)</f>
        <v>85.315899999999999</v>
      </c>
      <c r="D785" s="4">
        <f>76.5144 * CHOOSE(CONTROL!$C$9, $C$13, 100%, $E$13) + CHOOSE(CONTROL!$C$28, 0, 0)</f>
        <v>76.514399999999995</v>
      </c>
      <c r="E785" s="4">
        <f>473.080962942774 * CHOOSE(CONTROL!$C$9, $C$13, 100%, $E$13) + CHOOSE(CONTROL!$C$28, 0, 0)</f>
        <v>473.08096294277402</v>
      </c>
    </row>
    <row r="786" spans="1:5" ht="15">
      <c r="A786" s="13">
        <v>65439</v>
      </c>
      <c r="B786" s="4">
        <f>87.6168 * CHOOSE(CONTROL!$C$9, $C$13, 100%, $E$13) + CHOOSE(CONTROL!$C$28, 0.0003, 0)</f>
        <v>87.617099999999994</v>
      </c>
      <c r="C786" s="4">
        <f>87.3043 * CHOOSE(CONTROL!$C$9, $C$13, 100%, $E$13) + CHOOSE(CONTROL!$C$28, 0.0003, 0)</f>
        <v>87.304599999999994</v>
      </c>
      <c r="D786" s="4">
        <f>79.1858 * CHOOSE(CONTROL!$C$9, $C$13, 100%, $E$13) + CHOOSE(CONTROL!$C$28, 0, 0)</f>
        <v>79.1858</v>
      </c>
      <c r="E786" s="4">
        <f>484.313769372268 * CHOOSE(CONTROL!$C$9, $C$13, 100%, $E$13) + CHOOSE(CONTROL!$C$28, 0, 0)</f>
        <v>484.31376937226798</v>
      </c>
    </row>
    <row r="787" spans="1:5" ht="15">
      <c r="A787" s="13">
        <v>65470</v>
      </c>
      <c r="B787" s="4">
        <f>92.839 * CHOOSE(CONTROL!$C$9, $C$13, 100%, $E$13) + CHOOSE(CONTROL!$C$28, 0.0003, 0)</f>
        <v>92.839299999999994</v>
      </c>
      <c r="C787" s="4">
        <f>92.5265 * CHOOSE(CONTROL!$C$9, $C$13, 100%, $E$13) + CHOOSE(CONTROL!$C$28, 0.0003, 0)</f>
        <v>92.526799999999994</v>
      </c>
      <c r="D787" s="4">
        <f>83.3678 * CHOOSE(CONTROL!$C$9, $C$13, 100%, $E$13) + CHOOSE(CONTROL!$C$28, 0, 0)</f>
        <v>83.367800000000003</v>
      </c>
      <c r="E787" s="4">
        <f>513.811716003708 * CHOOSE(CONTROL!$C$9, $C$13, 100%, $E$13) + CHOOSE(CONTROL!$C$28, 0, 0)</f>
        <v>513.81171600370806</v>
      </c>
    </row>
    <row r="788" spans="1:5" ht="15">
      <c r="A788" s="13">
        <v>65500</v>
      </c>
      <c r="B788" s="4">
        <f>96.5495 * CHOOSE(CONTROL!$C$9, $C$13, 100%, $E$13) + CHOOSE(CONTROL!$C$28, 0.0003, 0)</f>
        <v>96.549799999999991</v>
      </c>
      <c r="C788" s="4">
        <f>96.237 * CHOOSE(CONTROL!$C$9, $C$13, 100%, $E$13) + CHOOSE(CONTROL!$C$28, 0.0003, 0)</f>
        <v>96.237299999999991</v>
      </c>
      <c r="D788" s="4">
        <f>85.7767 * CHOOSE(CONTROL!$C$9, $C$13, 100%, $E$13) + CHOOSE(CONTROL!$C$28, 0, 0)</f>
        <v>85.776700000000005</v>
      </c>
      <c r="E788" s="4">
        <f>534.770400197172 * CHOOSE(CONTROL!$C$9, $C$13, 100%, $E$13) + CHOOSE(CONTROL!$C$28, 0, 0)</f>
        <v>534.77040019717197</v>
      </c>
    </row>
    <row r="789" spans="1:5" ht="15">
      <c r="A789" s="13">
        <v>65531</v>
      </c>
      <c r="B789" s="4">
        <f>98.8165 * CHOOSE(CONTROL!$C$9, $C$13, 100%, $E$13) + CHOOSE(CONTROL!$C$28, 0.0202, 0)</f>
        <v>98.836700000000008</v>
      </c>
      <c r="C789" s="4">
        <f>98.504 * CHOOSE(CONTROL!$C$9, $C$13, 100%, $E$13) + CHOOSE(CONTROL!$C$28, 0.0202, 0)</f>
        <v>98.524200000000008</v>
      </c>
      <c r="D789" s="4">
        <f>84.8248 * CHOOSE(CONTROL!$C$9, $C$13, 100%, $E$13) + CHOOSE(CONTROL!$C$28, 0, 0)</f>
        <v>84.824799999999996</v>
      </c>
      <c r="E789" s="4">
        <f>547.575653929823 * CHOOSE(CONTROL!$C$9, $C$13, 100%, $E$13) + CHOOSE(CONTROL!$C$28, 0, 0)</f>
        <v>547.57565392982303</v>
      </c>
    </row>
    <row r="790" spans="1:5" ht="15">
      <c r="A790" s="13">
        <v>65561</v>
      </c>
      <c r="B790" s="4">
        <f>99.1232 * CHOOSE(CONTROL!$C$9, $C$13, 100%, $E$13) + CHOOSE(CONTROL!$C$28, 0.0202, 0)</f>
        <v>99.1434</v>
      </c>
      <c r="C790" s="4">
        <f>98.8107 * CHOOSE(CONTROL!$C$9, $C$13, 100%, $E$13) + CHOOSE(CONTROL!$C$28, 0.0202, 0)</f>
        <v>98.8309</v>
      </c>
      <c r="D790" s="4">
        <f>85.6001 * CHOOSE(CONTROL!$C$9, $C$13, 100%, $E$13) + CHOOSE(CONTROL!$C$28, 0, 0)</f>
        <v>85.600099999999998</v>
      </c>
      <c r="E790" s="4">
        <f>549.308257902746 * CHOOSE(CONTROL!$C$9, $C$13, 100%, $E$13) + CHOOSE(CONTROL!$C$28, 0, 0)</f>
        <v>549.30825790274605</v>
      </c>
    </row>
    <row r="791" spans="1:5" ht="15">
      <c r="A791" s="13">
        <v>65592</v>
      </c>
      <c r="B791" s="4">
        <f>99.0923 * CHOOSE(CONTROL!$C$9, $C$13, 100%, $E$13) + CHOOSE(CONTROL!$C$28, 0.0202, 0)</f>
        <v>99.112499999999997</v>
      </c>
      <c r="C791" s="4">
        <f>98.7798 * CHOOSE(CONTROL!$C$9, $C$13, 100%, $E$13) + CHOOSE(CONTROL!$C$28, 0.0202, 0)</f>
        <v>98.8</v>
      </c>
      <c r="D791" s="4">
        <f>86.9989 * CHOOSE(CONTROL!$C$9, $C$13, 100%, $E$13) + CHOOSE(CONTROL!$C$28, 0, 0)</f>
        <v>86.998900000000006</v>
      </c>
      <c r="E791" s="4">
        <f>549.133541535728 * CHOOSE(CONTROL!$C$9, $C$13, 100%, $E$13) + CHOOSE(CONTROL!$C$28, 0, 0)</f>
        <v>549.133541535728</v>
      </c>
    </row>
    <row r="792" spans="1:5" ht="15">
      <c r="A792" s="13">
        <v>65623</v>
      </c>
      <c r="B792" s="4">
        <f>101.4199 * CHOOSE(CONTROL!$C$9, $C$13, 100%, $E$13) + CHOOSE(CONTROL!$C$28, 0.0202, 0)</f>
        <v>101.4401</v>
      </c>
      <c r="C792" s="4">
        <f>101.1074 * CHOOSE(CONTROL!$C$9, $C$13, 100%, $E$13) + CHOOSE(CONTROL!$C$28, 0.0202, 0)</f>
        <v>101.1276</v>
      </c>
      <c r="D792" s="4">
        <f>86.0751 * CHOOSE(CONTROL!$C$9, $C$13, 100%, $E$13) + CHOOSE(CONTROL!$C$28, 0, 0)</f>
        <v>86.075100000000006</v>
      </c>
      <c r="E792" s="4">
        <f>562.280948153789 * CHOOSE(CONTROL!$C$9, $C$13, 100%, $E$13) + CHOOSE(CONTROL!$C$28, 0, 0)</f>
        <v>562.28094815378904</v>
      </c>
    </row>
    <row r="793" spans="1:5" ht="15">
      <c r="A793" s="13">
        <v>65653</v>
      </c>
      <c r="B793" s="4">
        <f>97.4529 * CHOOSE(CONTROL!$C$9, $C$13, 100%, $E$13) + CHOOSE(CONTROL!$C$28, 0.0202, 0)</f>
        <v>97.473100000000002</v>
      </c>
      <c r="C793" s="4">
        <f>97.1404 * CHOOSE(CONTROL!$C$9, $C$13, 100%, $E$13) + CHOOSE(CONTROL!$C$28, 0.0202, 0)</f>
        <v>97.160600000000002</v>
      </c>
      <c r="D793" s="4">
        <f>85.6386 * CHOOSE(CONTROL!$C$9, $C$13, 100%, $E$13) + CHOOSE(CONTROL!$C$28, 0, 0)</f>
        <v>85.638599999999997</v>
      </c>
      <c r="E793" s="4">
        <f>539.873574083806 * CHOOSE(CONTROL!$C$9, $C$13, 100%, $E$13) + CHOOSE(CONTROL!$C$28, 0, 0)</f>
        <v>539.87357408380603</v>
      </c>
    </row>
    <row r="794" spans="1:5" ht="15">
      <c r="A794" s="13">
        <v>65684</v>
      </c>
      <c r="B794" s="4">
        <f>94.2773 * CHOOSE(CONTROL!$C$9, $C$13, 100%, $E$13) + CHOOSE(CONTROL!$C$28, 0.0003, 0)</f>
        <v>94.277599999999993</v>
      </c>
      <c r="C794" s="4">
        <f>93.9648 * CHOOSE(CONTROL!$C$9, $C$13, 100%, $E$13) + CHOOSE(CONTROL!$C$28, 0.0003, 0)</f>
        <v>93.965099999999993</v>
      </c>
      <c r="D794" s="4">
        <f>84.47 * CHOOSE(CONTROL!$C$9, $C$13, 100%, $E$13) + CHOOSE(CONTROL!$C$28, 0, 0)</f>
        <v>84.47</v>
      </c>
      <c r="E794" s="4">
        <f>521.936027070018 * CHOOSE(CONTROL!$C$9, $C$13, 100%, $E$13) + CHOOSE(CONTROL!$C$28, 0, 0)</f>
        <v>521.93602707001799</v>
      </c>
    </row>
    <row r="795" spans="1:5" ht="15">
      <c r="A795" s="13">
        <v>65714</v>
      </c>
      <c r="B795" s="4">
        <f>92.232 * CHOOSE(CONTROL!$C$9, $C$13, 100%, $E$13) + CHOOSE(CONTROL!$C$28, 0.0003, 0)</f>
        <v>92.232299999999995</v>
      </c>
      <c r="C795" s="4">
        <f>91.9195 * CHOOSE(CONTROL!$C$9, $C$13, 100%, $E$13) + CHOOSE(CONTROL!$C$28, 0.0003, 0)</f>
        <v>91.919799999999995</v>
      </c>
      <c r="D795" s="4">
        <f>84.0682 * CHOOSE(CONTROL!$C$9, $C$13, 100%, $E$13) + CHOOSE(CONTROL!$C$28, 0, 0)</f>
        <v>84.068200000000004</v>
      </c>
      <c r="E795" s="4">
        <f>510.382907300991 * CHOOSE(CONTROL!$C$9, $C$13, 100%, $E$13) + CHOOSE(CONTROL!$C$28, 0, 0)</f>
        <v>510.38290730099101</v>
      </c>
    </row>
    <row r="796" spans="1:5" ht="15">
      <c r="A796" s="13">
        <v>65745</v>
      </c>
      <c r="B796" s="4">
        <f>90.8169 * CHOOSE(CONTROL!$C$9, $C$13, 100%, $E$13) + CHOOSE(CONTROL!$C$28, 0.0003, 0)</f>
        <v>90.8172</v>
      </c>
      <c r="C796" s="4">
        <f>90.5044 * CHOOSE(CONTROL!$C$9, $C$13, 100%, $E$13) + CHOOSE(CONTROL!$C$28, 0.0003, 0)</f>
        <v>90.5047</v>
      </c>
      <c r="D796" s="4">
        <f>81.1102 * CHOOSE(CONTROL!$C$9, $C$13, 100%, $E$13) + CHOOSE(CONTROL!$C$28, 0, 0)</f>
        <v>81.110200000000006</v>
      </c>
      <c r="E796" s="4">
        <f>502.389633509945 * CHOOSE(CONTROL!$C$9, $C$13, 100%, $E$13) + CHOOSE(CONTROL!$C$28, 0, 0)</f>
        <v>502.38963350994499</v>
      </c>
    </row>
    <row r="797" spans="1:5" ht="15">
      <c r="A797" s="13">
        <v>65776</v>
      </c>
      <c r="B797" s="4">
        <f>88.5176 * CHOOSE(CONTROL!$C$9, $C$13, 100%, $E$13) + CHOOSE(CONTROL!$C$28, 0.0003, 0)</f>
        <v>88.517899999999997</v>
      </c>
      <c r="C797" s="4">
        <f>88.2051 * CHOOSE(CONTROL!$C$9, $C$13, 100%, $E$13) + CHOOSE(CONTROL!$C$28, 0.0003, 0)</f>
        <v>88.205399999999997</v>
      </c>
      <c r="D797" s="4">
        <f>78.3915 * CHOOSE(CONTROL!$C$9, $C$13, 100%, $E$13) + CHOOSE(CONTROL!$C$28, 0, 0)</f>
        <v>78.391499999999994</v>
      </c>
      <c r="E797" s="4">
        <f>487.983013275471 * CHOOSE(CONTROL!$C$9, $C$13, 100%, $E$13) + CHOOSE(CONTROL!$C$28, 0, 0)</f>
        <v>487.98301327547102</v>
      </c>
    </row>
    <row r="798" spans="1:5" ht="15">
      <c r="A798" s="13">
        <v>65805</v>
      </c>
      <c r="B798" s="4">
        <f>90.5749 * CHOOSE(CONTROL!$C$9, $C$13, 100%, $E$13) + CHOOSE(CONTROL!$C$28, 0.0003, 0)</f>
        <v>90.575199999999995</v>
      </c>
      <c r="C798" s="4">
        <f>90.2624 * CHOOSE(CONTROL!$C$9, $C$13, 100%, $E$13) + CHOOSE(CONTROL!$C$28, 0.0003, 0)</f>
        <v>90.262699999999995</v>
      </c>
      <c r="D798" s="4">
        <f>81.1292 * CHOOSE(CONTROL!$C$9, $C$13, 100%, $E$13) + CHOOSE(CONTROL!$C$28, 0, 0)</f>
        <v>81.129199999999997</v>
      </c>
      <c r="E798" s="4">
        <f>499.569653107495 * CHOOSE(CONTROL!$C$9, $C$13, 100%, $E$13) + CHOOSE(CONTROL!$C$28, 0, 0)</f>
        <v>499.56965310749501</v>
      </c>
    </row>
    <row r="799" spans="1:5" ht="15">
      <c r="A799" s="13">
        <v>65836</v>
      </c>
      <c r="B799" s="4">
        <f>95.9773 * CHOOSE(CONTROL!$C$9, $C$13, 100%, $E$13) + CHOOSE(CONTROL!$C$28, 0.0003, 0)</f>
        <v>95.977599999999995</v>
      </c>
      <c r="C799" s="4">
        <f>95.6648 * CHOOSE(CONTROL!$C$9, $C$13, 100%, $E$13) + CHOOSE(CONTROL!$C$28, 0.0003, 0)</f>
        <v>95.665099999999995</v>
      </c>
      <c r="D799" s="4">
        <f>85.4149 * CHOOSE(CONTROL!$C$9, $C$13, 100%, $E$13) + CHOOSE(CONTROL!$C$28, 0, 0)</f>
        <v>85.414900000000003</v>
      </c>
      <c r="E799" s="4">
        <f>529.996785057825 * CHOOSE(CONTROL!$C$9, $C$13, 100%, $E$13) + CHOOSE(CONTROL!$C$28, 0, 0)</f>
        <v>529.99678505782504</v>
      </c>
    </row>
    <row r="800" spans="1:5" ht="15">
      <c r="A800" s="13">
        <v>65866</v>
      </c>
      <c r="B800" s="4">
        <f>99.8158 * CHOOSE(CONTROL!$C$9, $C$13, 100%, $E$13) + CHOOSE(CONTROL!$C$28, 0.0003, 0)</f>
        <v>99.816099999999992</v>
      </c>
      <c r="C800" s="4">
        <f>99.5033 * CHOOSE(CONTROL!$C$9, $C$13, 100%, $E$13) + CHOOSE(CONTROL!$C$28, 0.0003, 0)</f>
        <v>99.503599999999992</v>
      </c>
      <c r="D800" s="4">
        <f>87.8836 * CHOOSE(CONTROL!$C$9, $C$13, 100%, $E$13) + CHOOSE(CONTROL!$C$28, 0, 0)</f>
        <v>87.883600000000001</v>
      </c>
      <c r="E800" s="4">
        <f>551.615667803383 * CHOOSE(CONTROL!$C$9, $C$13, 100%, $E$13) + CHOOSE(CONTROL!$C$28, 0, 0)</f>
        <v>551.61566780338296</v>
      </c>
    </row>
    <row r="801" spans="1:5" ht="15">
      <c r="A801" s="13">
        <v>65897</v>
      </c>
      <c r="B801" s="4">
        <f>102.161 * CHOOSE(CONTROL!$C$9, $C$13, 100%, $E$13) + CHOOSE(CONTROL!$C$28, 0.0202, 0)</f>
        <v>102.1812</v>
      </c>
      <c r="C801" s="4">
        <f>101.8485 * CHOOSE(CONTROL!$C$9, $C$13, 100%, $E$13) + CHOOSE(CONTROL!$C$28, 0.0202, 0)</f>
        <v>101.8687</v>
      </c>
      <c r="D801" s="4">
        <f>86.9081 * CHOOSE(CONTROL!$C$9, $C$13, 100%, $E$13) + CHOOSE(CONTROL!$C$28, 0, 0)</f>
        <v>86.908100000000005</v>
      </c>
      <c r="E801" s="4">
        <f>564.824287028613 * CHOOSE(CONTROL!$C$9, $C$13, 100%, $E$13) + CHOOSE(CONTROL!$C$28, 0, 0)</f>
        <v>564.82428702861296</v>
      </c>
    </row>
    <row r="802" spans="1:5" ht="15">
      <c r="A802" s="13">
        <v>65927</v>
      </c>
      <c r="B802" s="4">
        <f>102.4783 * CHOOSE(CONTROL!$C$9, $C$13, 100%, $E$13) + CHOOSE(CONTROL!$C$28, 0.0202, 0)</f>
        <v>102.49850000000001</v>
      </c>
      <c r="C802" s="4">
        <f>102.1658 * CHOOSE(CONTROL!$C$9, $C$13, 100%, $E$13) + CHOOSE(CONTROL!$C$28, 0.0202, 0)</f>
        <v>102.18600000000001</v>
      </c>
      <c r="D802" s="4">
        <f>87.7025 * CHOOSE(CONTROL!$C$9, $C$13, 100%, $E$13) + CHOOSE(CONTROL!$C$28, 0, 0)</f>
        <v>87.702500000000001</v>
      </c>
      <c r="E802" s="4">
        <f>566.611468026682 * CHOOSE(CONTROL!$C$9, $C$13, 100%, $E$13) + CHOOSE(CONTROL!$C$28, 0, 0)</f>
        <v>566.61146802668202</v>
      </c>
    </row>
    <row r="803" spans="1:5" ht="15">
      <c r="A803" s="13">
        <v>65958</v>
      </c>
      <c r="B803" s="4">
        <f>102.4463 * CHOOSE(CONTROL!$C$9, $C$13, 100%, $E$13) + CHOOSE(CONTROL!$C$28, 0.0202, 0)</f>
        <v>102.4665</v>
      </c>
      <c r="C803" s="4">
        <f>102.1338 * CHOOSE(CONTROL!$C$9, $C$13, 100%, $E$13) + CHOOSE(CONTROL!$C$28, 0.0202, 0)</f>
        <v>102.154</v>
      </c>
      <c r="D803" s="4">
        <f>89.1361 * CHOOSE(CONTROL!$C$9, $C$13, 100%, $E$13) + CHOOSE(CONTROL!$C$28, 0, 0)</f>
        <v>89.136099999999999</v>
      </c>
      <c r="E803" s="4">
        <f>566.431248094104 * CHOOSE(CONTROL!$C$9, $C$13, 100%, $E$13) + CHOOSE(CONTROL!$C$28, 0, 0)</f>
        <v>566.43124809410403</v>
      </c>
    </row>
    <row r="804" spans="1:5" ht="15">
      <c r="A804" s="13">
        <v>65989</v>
      </c>
      <c r="B804" s="4">
        <f>104.8542 * CHOOSE(CONTROL!$C$9, $C$13, 100%, $E$13) + CHOOSE(CONTROL!$C$28, 0.0202, 0)</f>
        <v>104.87440000000001</v>
      </c>
      <c r="C804" s="4">
        <f>104.5417 * CHOOSE(CONTROL!$C$9, $C$13, 100%, $E$13) + CHOOSE(CONTROL!$C$28, 0.0202, 0)</f>
        <v>104.56190000000001</v>
      </c>
      <c r="D804" s="4">
        <f>88.1894 * CHOOSE(CONTROL!$C$9, $C$13, 100%, $E$13) + CHOOSE(CONTROL!$C$28, 0, 0)</f>
        <v>88.189400000000006</v>
      </c>
      <c r="E804" s="4">
        <f>579.992798020633 * CHOOSE(CONTROL!$C$9, $C$13, 100%, $E$13) + CHOOSE(CONTROL!$C$28, 0, 0)</f>
        <v>579.99279802063302</v>
      </c>
    </row>
    <row r="805" spans="1:5" ht="15">
      <c r="A805" s="13">
        <v>66019</v>
      </c>
      <c r="B805" s="4">
        <f>100.7504 * CHOOSE(CONTROL!$C$9, $C$13, 100%, $E$13) + CHOOSE(CONTROL!$C$28, 0.0202, 0)</f>
        <v>100.7706</v>
      </c>
      <c r="C805" s="4">
        <f>100.4379 * CHOOSE(CONTROL!$C$9, $C$13, 100%, $E$13) + CHOOSE(CONTROL!$C$28, 0.0202, 0)</f>
        <v>100.4581</v>
      </c>
      <c r="D805" s="4">
        <f>87.7421 * CHOOSE(CONTROL!$C$9, $C$13, 100%, $E$13) + CHOOSE(CONTROL!$C$28, 0, 0)</f>
        <v>87.742099999999994</v>
      </c>
      <c r="E805" s="4">
        <f>556.879591667446 * CHOOSE(CONTROL!$C$9, $C$13, 100%, $E$13) + CHOOSE(CONTROL!$C$28, 0, 0)</f>
        <v>556.87959166744599</v>
      </c>
    </row>
    <row r="806" spans="1:5" ht="15">
      <c r="A806" s="13">
        <v>66050</v>
      </c>
      <c r="B806" s="4">
        <f>97.4652 * CHOOSE(CONTROL!$C$9, $C$13, 100%, $E$13) + CHOOSE(CONTROL!$C$28, 0.0003, 0)</f>
        <v>97.465499999999992</v>
      </c>
      <c r="C806" s="4">
        <f>97.1527 * CHOOSE(CONTROL!$C$9, $C$13, 100%, $E$13) + CHOOSE(CONTROL!$C$28, 0.0003, 0)</f>
        <v>97.152999999999992</v>
      </c>
      <c r="D806" s="4">
        <f>86.5444 * CHOOSE(CONTROL!$C$9, $C$13, 100%, $E$13) + CHOOSE(CONTROL!$C$28, 0, 0)</f>
        <v>86.544399999999996</v>
      </c>
      <c r="E806" s="4">
        <f>538.377011922723 * CHOOSE(CONTROL!$C$9, $C$13, 100%, $E$13) + CHOOSE(CONTROL!$C$28, 0, 0)</f>
        <v>538.377011922723</v>
      </c>
    </row>
    <row r="807" spans="1:5" ht="15">
      <c r="A807" s="13">
        <v>66080</v>
      </c>
      <c r="B807" s="4">
        <f>95.3493 * CHOOSE(CONTROL!$C$9, $C$13, 100%, $E$13) + CHOOSE(CONTROL!$C$28, 0.0003, 0)</f>
        <v>95.349599999999995</v>
      </c>
      <c r="C807" s="4">
        <f>95.0368 * CHOOSE(CONTROL!$C$9, $C$13, 100%, $E$13) + CHOOSE(CONTROL!$C$28, 0.0003, 0)</f>
        <v>95.037099999999995</v>
      </c>
      <c r="D807" s="4">
        <f>86.1327 * CHOOSE(CONTROL!$C$9, $C$13, 100%, $E$13) + CHOOSE(CONTROL!$C$28, 0, 0)</f>
        <v>86.1327</v>
      </c>
      <c r="E807" s="4">
        <f>526.459968880973 * CHOOSE(CONTROL!$C$9, $C$13, 100%, $E$13) + CHOOSE(CONTROL!$C$28, 0, 0)</f>
        <v>526.45996888097295</v>
      </c>
    </row>
    <row r="808" spans="1:5" ht="15">
      <c r="A808" s="13">
        <v>66111</v>
      </c>
      <c r="B808" s="4">
        <f>93.8854 * CHOOSE(CONTROL!$C$9, $C$13, 100%, $E$13) + CHOOSE(CONTROL!$C$28, 0.0003, 0)</f>
        <v>93.8857</v>
      </c>
      <c r="C808" s="4">
        <f>93.5729 * CHOOSE(CONTROL!$C$9, $C$13, 100%, $E$13) + CHOOSE(CONTROL!$C$28, 0.0003, 0)</f>
        <v>93.5732</v>
      </c>
      <c r="D808" s="4">
        <f>83.1013 * CHOOSE(CONTROL!$C$9, $C$13, 100%, $E$13) + CHOOSE(CONTROL!$C$28, 0, 0)</f>
        <v>83.101299999999995</v>
      </c>
      <c r="E808" s="4">
        <f>518.214906965508 * CHOOSE(CONTROL!$C$9, $C$13, 100%, $E$13) + CHOOSE(CONTROL!$C$28, 0, 0)</f>
        <v>518.21490696550802</v>
      </c>
    </row>
    <row r="809" spans="1:5" ht="15">
      <c r="A809" s="13">
        <v>66142</v>
      </c>
      <c r="B809" s="4">
        <f>91.5068 * CHOOSE(CONTROL!$C$9, $C$13, 100%, $E$13) + CHOOSE(CONTROL!$C$28, 0.0003, 0)</f>
        <v>91.507099999999994</v>
      </c>
      <c r="C809" s="4">
        <f>91.1943 * CHOOSE(CONTROL!$C$9, $C$13, 100%, $E$13) + CHOOSE(CONTROL!$C$28, 0.0003, 0)</f>
        <v>91.194599999999994</v>
      </c>
      <c r="D809" s="4">
        <f>80.3152 * CHOOSE(CONTROL!$C$9, $C$13, 100%, $E$13) + CHOOSE(CONTROL!$C$28, 0, 0)</f>
        <v>80.315200000000004</v>
      </c>
      <c r="E809" s="4">
        <f>503.354478193648 * CHOOSE(CONTROL!$C$9, $C$13, 100%, $E$13) + CHOOSE(CONTROL!$C$28, 0, 0)</f>
        <v>503.35447819364799</v>
      </c>
    </row>
    <row r="810" spans="1:5" ht="15">
      <c r="A810" s="13">
        <v>66170</v>
      </c>
      <c r="B810" s="4">
        <f>93.635 * CHOOSE(CONTROL!$C$9, $C$13, 100%, $E$13) + CHOOSE(CONTROL!$C$28, 0.0003, 0)</f>
        <v>93.635300000000001</v>
      </c>
      <c r="C810" s="4">
        <f>93.3225 * CHOOSE(CONTROL!$C$9, $C$13, 100%, $E$13) + CHOOSE(CONTROL!$C$28, 0.0003, 0)</f>
        <v>93.322800000000001</v>
      </c>
      <c r="D810" s="4">
        <f>83.1208 * CHOOSE(CONTROL!$C$9, $C$13, 100%, $E$13) + CHOOSE(CONTROL!$C$28, 0, 0)</f>
        <v>83.120800000000003</v>
      </c>
      <c r="E810" s="4">
        <f>515.306097180381 * CHOOSE(CONTROL!$C$9, $C$13, 100%, $E$13) + CHOOSE(CONTROL!$C$28, 0, 0)</f>
        <v>515.30609718038102</v>
      </c>
    </row>
    <row r="811" spans="1:5" ht="15">
      <c r="A811" s="13">
        <v>66201</v>
      </c>
      <c r="B811" s="4">
        <f>99.2238 * CHOOSE(CONTROL!$C$9, $C$13, 100%, $E$13) + CHOOSE(CONTROL!$C$28, 0.0003, 0)</f>
        <v>99.224099999999993</v>
      </c>
      <c r="C811" s="4">
        <f>98.9113 * CHOOSE(CONTROL!$C$9, $C$13, 100%, $E$13) + CHOOSE(CONTROL!$C$28, 0.0003, 0)</f>
        <v>98.911599999999993</v>
      </c>
      <c r="D811" s="4">
        <f>87.5128 * CHOOSE(CONTROL!$C$9, $C$13, 100%, $E$13) + CHOOSE(CONTROL!$C$28, 0, 0)</f>
        <v>87.512799999999999</v>
      </c>
      <c r="E811" s="4">
        <f>546.691683787146 * CHOOSE(CONTROL!$C$9, $C$13, 100%, $E$13) + CHOOSE(CONTROL!$C$28, 0, 0)</f>
        <v>546.69168378714596</v>
      </c>
    </row>
    <row r="812" spans="1:5" ht="15">
      <c r="A812" s="13">
        <v>66231</v>
      </c>
      <c r="B812" s="4">
        <f>103.1947 * CHOOSE(CONTROL!$C$9, $C$13, 100%, $E$13) + CHOOSE(CONTROL!$C$28, 0.0003, 0)</f>
        <v>103.19499999999999</v>
      </c>
      <c r="C812" s="4">
        <f>102.8822 * CHOOSE(CONTROL!$C$9, $C$13, 100%, $E$13) + CHOOSE(CONTROL!$C$28, 0.0003, 0)</f>
        <v>102.88249999999999</v>
      </c>
      <c r="D812" s="4">
        <f>90.0427 * CHOOSE(CONTROL!$C$9, $C$13, 100%, $E$13) + CHOOSE(CONTROL!$C$28, 0, 0)</f>
        <v>90.042699999999996</v>
      </c>
      <c r="E812" s="4">
        <f>568.991561339189 * CHOOSE(CONTROL!$C$9, $C$13, 100%, $E$13) + CHOOSE(CONTROL!$C$28, 0, 0)</f>
        <v>568.99156133918905</v>
      </c>
    </row>
    <row r="813" spans="1:5" ht="15">
      <c r="A813" s="13">
        <v>66262</v>
      </c>
      <c r="B813" s="4">
        <f>105.6209 * CHOOSE(CONTROL!$C$9, $C$13, 100%, $E$13) + CHOOSE(CONTROL!$C$28, 0.0202, 0)</f>
        <v>105.64110000000001</v>
      </c>
      <c r="C813" s="4">
        <f>105.3084 * CHOOSE(CONTROL!$C$9, $C$13, 100%, $E$13) + CHOOSE(CONTROL!$C$28, 0.0202, 0)</f>
        <v>105.32860000000001</v>
      </c>
      <c r="D813" s="4">
        <f>89.043 * CHOOSE(CONTROL!$C$9, $C$13, 100%, $E$13) + CHOOSE(CONTROL!$C$28, 0, 0)</f>
        <v>89.043000000000006</v>
      </c>
      <c r="E813" s="4">
        <f>582.616252070014 * CHOOSE(CONTROL!$C$9, $C$13, 100%, $E$13) + CHOOSE(CONTROL!$C$28, 0, 0)</f>
        <v>582.61625207001396</v>
      </c>
    </row>
    <row r="814" spans="1:5" ht="15">
      <c r="A814" s="13">
        <v>66292</v>
      </c>
      <c r="B814" s="4">
        <f>105.9491 * CHOOSE(CONTROL!$C$9, $C$13, 100%, $E$13) + CHOOSE(CONTROL!$C$28, 0.0202, 0)</f>
        <v>105.9693</v>
      </c>
      <c r="C814" s="4">
        <f>105.6366 * CHOOSE(CONTROL!$C$9, $C$13, 100%, $E$13) + CHOOSE(CONTROL!$C$28, 0.0202, 0)</f>
        <v>105.6568</v>
      </c>
      <c r="D814" s="4">
        <f>89.8572 * CHOOSE(CONTROL!$C$9, $C$13, 100%, $E$13) + CHOOSE(CONTROL!$C$28, 0, 0)</f>
        <v>89.857200000000006</v>
      </c>
      <c r="E814" s="4">
        <f>584.459729269523 * CHOOSE(CONTROL!$C$9, $C$13, 100%, $E$13) + CHOOSE(CONTROL!$C$28, 0, 0)</f>
        <v>584.459729269523</v>
      </c>
    </row>
    <row r="815" spans="1:5" ht="15">
      <c r="A815" s="13">
        <v>66323</v>
      </c>
      <c r="B815" s="4">
        <f>105.916 * CHOOSE(CONTROL!$C$9, $C$13, 100%, $E$13) + CHOOSE(CONTROL!$C$28, 0.0202, 0)</f>
        <v>105.9362</v>
      </c>
      <c r="C815" s="4">
        <f>105.6035 * CHOOSE(CONTROL!$C$9, $C$13, 100%, $E$13) + CHOOSE(CONTROL!$C$28, 0.0202, 0)</f>
        <v>105.6237</v>
      </c>
      <c r="D815" s="4">
        <f>91.3262 * CHOOSE(CONTROL!$C$9, $C$13, 100%, $E$13) + CHOOSE(CONTROL!$C$28, 0, 0)</f>
        <v>91.3262</v>
      </c>
      <c r="E815" s="4">
        <f>584.273832409068 * CHOOSE(CONTROL!$C$9, $C$13, 100%, $E$13) + CHOOSE(CONTROL!$C$28, 0, 0)</f>
        <v>584.27383240906795</v>
      </c>
    </row>
    <row r="816" spans="1:5" ht="15">
      <c r="A816" s="13">
        <v>66354</v>
      </c>
      <c r="B816" s="4">
        <f>108.407 * CHOOSE(CONTROL!$C$9, $C$13, 100%, $E$13) + CHOOSE(CONTROL!$C$28, 0.0202, 0)</f>
        <v>108.4272</v>
      </c>
      <c r="C816" s="4">
        <f>108.0945 * CHOOSE(CONTROL!$C$9, $C$13, 100%, $E$13) + CHOOSE(CONTROL!$C$28, 0.0202, 0)</f>
        <v>108.1147</v>
      </c>
      <c r="D816" s="4">
        <f>90.356 * CHOOSE(CONTROL!$C$9, $C$13, 100%, $E$13) + CHOOSE(CONTROL!$C$28, 0, 0)</f>
        <v>90.355999999999995</v>
      </c>
      <c r="E816" s="4">
        <f>598.262571158283 * CHOOSE(CONTROL!$C$9, $C$13, 100%, $E$13) + CHOOSE(CONTROL!$C$28, 0, 0)</f>
        <v>598.26257115828298</v>
      </c>
    </row>
    <row r="817" spans="1:5" ht="15">
      <c r="A817" s="13">
        <v>66384</v>
      </c>
      <c r="B817" s="4">
        <f>104.1616 * CHOOSE(CONTROL!$C$9, $C$13, 100%, $E$13) + CHOOSE(CONTROL!$C$28, 0.0202, 0)</f>
        <v>104.18180000000001</v>
      </c>
      <c r="C817" s="4">
        <f>103.8491 * CHOOSE(CONTROL!$C$9, $C$13, 100%, $E$13) + CHOOSE(CONTROL!$C$28, 0.0202, 0)</f>
        <v>103.86930000000001</v>
      </c>
      <c r="D817" s="4">
        <f>89.8977 * CHOOSE(CONTROL!$C$9, $C$13, 100%, $E$13) + CHOOSE(CONTROL!$C$28, 0, 0)</f>
        <v>89.8977</v>
      </c>
      <c r="E817" s="4">
        <f>574.42129880497 * CHOOSE(CONTROL!$C$9, $C$13, 100%, $E$13) + CHOOSE(CONTROL!$C$28, 0, 0)</f>
        <v>574.42129880496998</v>
      </c>
    </row>
    <row r="818" spans="1:5" ht="15">
      <c r="A818" s="13">
        <v>66415</v>
      </c>
      <c r="B818" s="4">
        <f>100.7631 * CHOOSE(CONTROL!$C$9, $C$13, 100%, $E$13) + CHOOSE(CONTROL!$C$28, 0.0003, 0)</f>
        <v>100.76339999999999</v>
      </c>
      <c r="C818" s="4">
        <f>100.4506 * CHOOSE(CONTROL!$C$9, $C$13, 100%, $E$13) + CHOOSE(CONTROL!$C$28, 0.0003, 0)</f>
        <v>100.45089999999999</v>
      </c>
      <c r="D818" s="4">
        <f>88.6703 * CHOOSE(CONTROL!$C$9, $C$13, 100%, $E$13) + CHOOSE(CONTROL!$C$28, 0, 0)</f>
        <v>88.670299999999997</v>
      </c>
      <c r="E818" s="4">
        <f>555.335887798289 * CHOOSE(CONTROL!$C$9, $C$13, 100%, $E$13) + CHOOSE(CONTROL!$C$28, 0, 0)</f>
        <v>555.33588779828904</v>
      </c>
    </row>
    <row r="819" spans="1:5" ht="15">
      <c r="A819" s="13">
        <v>66445</v>
      </c>
      <c r="B819" s="4">
        <f>98.5742 * CHOOSE(CONTROL!$C$9, $C$13, 100%, $E$13) + CHOOSE(CONTROL!$C$28, 0.0003, 0)</f>
        <v>98.5745</v>
      </c>
      <c r="C819" s="4">
        <f>98.2617 * CHOOSE(CONTROL!$C$9, $C$13, 100%, $E$13) + CHOOSE(CONTROL!$C$28, 0.0003, 0)</f>
        <v>98.262</v>
      </c>
      <c r="D819" s="4">
        <f>88.2483 * CHOOSE(CONTROL!$C$9, $C$13, 100%, $E$13) + CHOOSE(CONTROL!$C$28, 0, 0)</f>
        <v>88.2483</v>
      </c>
      <c r="E819" s="4">
        <f>543.043457900723 * CHOOSE(CONTROL!$C$9, $C$13, 100%, $E$13) + CHOOSE(CONTROL!$C$28, 0, 0)</f>
        <v>543.04345790072296</v>
      </c>
    </row>
    <row r="820" spans="1:5" ht="15">
      <c r="A820" s="13">
        <v>66476</v>
      </c>
      <c r="B820" s="4">
        <f>97.0597 * CHOOSE(CONTROL!$C$9, $C$13, 100%, $E$13) + CHOOSE(CONTROL!$C$28, 0.0003, 0)</f>
        <v>97.06</v>
      </c>
      <c r="C820" s="4">
        <f>96.7472 * CHOOSE(CONTROL!$C$9, $C$13, 100%, $E$13) + CHOOSE(CONTROL!$C$28, 0.0003, 0)</f>
        <v>96.747500000000002</v>
      </c>
      <c r="D820" s="4">
        <f>85.1418 * CHOOSE(CONTROL!$C$9, $C$13, 100%, $E$13) + CHOOSE(CONTROL!$C$28, 0, 0)</f>
        <v>85.141800000000003</v>
      </c>
      <c r="E820" s="4">
        <f>534.538676534921 * CHOOSE(CONTROL!$C$9, $C$13, 100%, $E$13) + CHOOSE(CONTROL!$C$28, 0, 0)</f>
        <v>534.53867653492102</v>
      </c>
    </row>
    <row r="821" spans="1:5" ht="15">
      <c r="A821" s="13">
        <v>66507</v>
      </c>
      <c r="B821" s="4">
        <f>94.5991 * CHOOSE(CONTROL!$C$9, $C$13, 100%, $E$13) + CHOOSE(CONTROL!$C$28, 0.0003, 0)</f>
        <v>94.599400000000003</v>
      </c>
      <c r="C821" s="4">
        <f>94.2866 * CHOOSE(CONTROL!$C$9, $C$13, 100%, $E$13) + CHOOSE(CONTROL!$C$28, 0.0003, 0)</f>
        <v>94.286900000000003</v>
      </c>
      <c r="D821" s="4">
        <f>82.2866 * CHOOSE(CONTROL!$C$9, $C$13, 100%, $E$13) + CHOOSE(CONTROL!$C$28, 0, 0)</f>
        <v>82.286600000000007</v>
      </c>
      <c r="E821" s="4">
        <f>519.210144256748 * CHOOSE(CONTROL!$C$9, $C$13, 100%, $E$13) + CHOOSE(CONTROL!$C$28, 0, 0)</f>
        <v>519.21014425674798</v>
      </c>
    </row>
    <row r="822" spans="1:5" ht="15">
      <c r="A822" s="13">
        <v>66535</v>
      </c>
      <c r="B822" s="4">
        <f>96.8007 * CHOOSE(CONTROL!$C$9, $C$13, 100%, $E$13) + CHOOSE(CONTROL!$C$28, 0.0003, 0)</f>
        <v>96.801000000000002</v>
      </c>
      <c r="C822" s="4">
        <f>96.4882 * CHOOSE(CONTROL!$C$9, $C$13, 100%, $E$13) + CHOOSE(CONTROL!$C$28, 0.0003, 0)</f>
        <v>96.488500000000002</v>
      </c>
      <c r="D822" s="4">
        <f>85.1618 * CHOOSE(CONTROL!$C$9, $C$13, 100%, $E$13) + CHOOSE(CONTROL!$C$28, 0, 0)</f>
        <v>85.161799999999999</v>
      </c>
      <c r="E822" s="4">
        <f>531.538239241563 * CHOOSE(CONTROL!$C$9, $C$13, 100%, $E$13) + CHOOSE(CONTROL!$C$28, 0, 0)</f>
        <v>531.53823924156302</v>
      </c>
    </row>
    <row r="823" spans="1:5" ht="15">
      <c r="A823" s="13">
        <v>66566</v>
      </c>
      <c r="B823" s="4">
        <f>102.5823 * CHOOSE(CONTROL!$C$9, $C$13, 100%, $E$13) + CHOOSE(CONTROL!$C$28, 0.0003, 0)</f>
        <v>102.5826</v>
      </c>
      <c r="C823" s="4">
        <f>102.2698 * CHOOSE(CONTROL!$C$9, $C$13, 100%, $E$13) + CHOOSE(CONTROL!$C$28, 0.0003, 0)</f>
        <v>102.2701</v>
      </c>
      <c r="D823" s="4">
        <f>89.6627 * CHOOSE(CONTROL!$C$9, $C$13, 100%, $E$13) + CHOOSE(CONTROL!$C$28, 0, 0)</f>
        <v>89.662700000000001</v>
      </c>
      <c r="E823" s="4">
        <f>563.912471826441 * CHOOSE(CONTROL!$C$9, $C$13, 100%, $E$13) + CHOOSE(CONTROL!$C$28, 0, 0)</f>
        <v>563.91247182644099</v>
      </c>
    </row>
    <row r="824" spans="1:5" ht="15">
      <c r="A824" s="13">
        <v>66596</v>
      </c>
      <c r="B824" s="4">
        <f>106.6902 * CHOOSE(CONTROL!$C$9, $C$13, 100%, $E$13) + CHOOSE(CONTROL!$C$28, 0.0003, 0)</f>
        <v>106.6905</v>
      </c>
      <c r="C824" s="4">
        <f>106.3777 * CHOOSE(CONTROL!$C$9, $C$13, 100%, $E$13) + CHOOSE(CONTROL!$C$28, 0.0003, 0)</f>
        <v>106.378</v>
      </c>
      <c r="D824" s="4">
        <f>92.2553 * CHOOSE(CONTROL!$C$9, $C$13, 100%, $E$13) + CHOOSE(CONTROL!$C$28, 0, 0)</f>
        <v>92.255300000000005</v>
      </c>
      <c r="E824" s="4">
        <f>586.914795521374 * CHOOSE(CONTROL!$C$9, $C$13, 100%, $E$13) + CHOOSE(CONTROL!$C$28, 0, 0)</f>
        <v>586.914795521374</v>
      </c>
    </row>
    <row r="825" spans="1:5" ht="15">
      <c r="A825" s="13">
        <v>66627</v>
      </c>
      <c r="B825" s="4">
        <f>109.2001 * CHOOSE(CONTROL!$C$9, $C$13, 100%, $E$13) + CHOOSE(CONTROL!$C$28, 0.0202, 0)</f>
        <v>109.22030000000001</v>
      </c>
      <c r="C825" s="4">
        <f>108.8876 * CHOOSE(CONTROL!$C$9, $C$13, 100%, $E$13) + CHOOSE(CONTROL!$C$28, 0.0202, 0)</f>
        <v>108.90780000000001</v>
      </c>
      <c r="D825" s="4">
        <f>91.2308 * CHOOSE(CONTROL!$C$9, $C$13, 100%, $E$13) + CHOOSE(CONTROL!$C$28, 0, 0)</f>
        <v>91.230800000000002</v>
      </c>
      <c r="E825" s="4">
        <f>600.968664010219 * CHOOSE(CONTROL!$C$9, $C$13, 100%, $E$13) + CHOOSE(CONTROL!$C$28, 0, 0)</f>
        <v>600.96866401021896</v>
      </c>
    </row>
    <row r="826" spans="1:5" ht="15">
      <c r="A826" s="13">
        <v>66657</v>
      </c>
      <c r="B826" s="4">
        <f>109.5397 * CHOOSE(CONTROL!$C$9, $C$13, 100%, $E$13) + CHOOSE(CONTROL!$C$28, 0.0202, 0)</f>
        <v>109.5599</v>
      </c>
      <c r="C826" s="4">
        <f>109.2272 * CHOOSE(CONTROL!$C$9, $C$13, 100%, $E$13) + CHOOSE(CONTROL!$C$28, 0.0202, 0)</f>
        <v>109.2474</v>
      </c>
      <c r="D826" s="4">
        <f>92.0652 * CHOOSE(CONTROL!$C$9, $C$13, 100%, $E$13) + CHOOSE(CONTROL!$C$28, 0, 0)</f>
        <v>92.065200000000004</v>
      </c>
      <c r="E826" s="4">
        <f>602.870210741513 * CHOOSE(CONTROL!$C$9, $C$13, 100%, $E$13) + CHOOSE(CONTROL!$C$28, 0, 0)</f>
        <v>602.87021074151301</v>
      </c>
    </row>
    <row r="827" spans="1:5" ht="15">
      <c r="A827" s="13">
        <v>66688</v>
      </c>
      <c r="B827" s="4">
        <f>109.5054 * CHOOSE(CONTROL!$C$9, $C$13, 100%, $E$13) + CHOOSE(CONTROL!$C$28, 0.0202, 0)</f>
        <v>109.5256</v>
      </c>
      <c r="C827" s="4">
        <f>109.1929 * CHOOSE(CONTROL!$C$9, $C$13, 100%, $E$13) + CHOOSE(CONTROL!$C$28, 0.0202, 0)</f>
        <v>109.2131</v>
      </c>
      <c r="D827" s="4">
        <f>93.5707 * CHOOSE(CONTROL!$C$9, $C$13, 100%, $E$13) + CHOOSE(CONTROL!$C$28, 0, 0)</f>
        <v>93.570700000000002</v>
      </c>
      <c r="E827" s="4">
        <f>602.678458129954 * CHOOSE(CONTROL!$C$9, $C$13, 100%, $E$13) + CHOOSE(CONTROL!$C$28, 0, 0)</f>
        <v>602.67845812995404</v>
      </c>
    </row>
    <row r="828" spans="1:5" ht="15">
      <c r="A828" s="13">
        <v>66719</v>
      </c>
      <c r="B828" s="4">
        <f>112.0823 * CHOOSE(CONTROL!$C$9, $C$13, 100%, $E$13) + CHOOSE(CONTROL!$C$28, 0.0202, 0)</f>
        <v>112.10250000000001</v>
      </c>
      <c r="C828" s="4">
        <f>111.7698 * CHOOSE(CONTROL!$C$9, $C$13, 100%, $E$13) + CHOOSE(CONTROL!$C$28, 0.0202, 0)</f>
        <v>111.79</v>
      </c>
      <c r="D828" s="4">
        <f>92.5765 * CHOOSE(CONTROL!$C$9, $C$13, 100%, $E$13) + CHOOSE(CONTROL!$C$28, 0, 0)</f>
        <v>92.576499999999996</v>
      </c>
      <c r="E828" s="4">
        <f>617.107842149769 * CHOOSE(CONTROL!$C$9, $C$13, 100%, $E$13) + CHOOSE(CONTROL!$C$28, 0, 0)</f>
        <v>617.107842149769</v>
      </c>
    </row>
    <row r="829" spans="1:5" ht="15">
      <c r="A829" s="13">
        <v>66749</v>
      </c>
      <c r="B829" s="4">
        <f>107.6905 * CHOOSE(CONTROL!$C$9, $C$13, 100%, $E$13) + CHOOSE(CONTROL!$C$28, 0.0202, 0)</f>
        <v>107.7107</v>
      </c>
      <c r="C829" s="4">
        <f>107.378 * CHOOSE(CONTROL!$C$9, $C$13, 100%, $E$13) + CHOOSE(CONTROL!$C$28, 0.0202, 0)</f>
        <v>107.3982</v>
      </c>
      <c r="D829" s="4">
        <f>92.1067 * CHOOSE(CONTROL!$C$9, $C$13, 100%, $E$13) + CHOOSE(CONTROL!$C$28, 0, 0)</f>
        <v>92.106700000000004</v>
      </c>
      <c r="E829" s="4">
        <f>592.515569717327 * CHOOSE(CONTROL!$C$9, $C$13, 100%, $E$13) + CHOOSE(CONTROL!$C$28, 0, 0)</f>
        <v>592.51556971732703</v>
      </c>
    </row>
    <row r="830" spans="1:5" ht="15">
      <c r="A830" s="13">
        <v>66780</v>
      </c>
      <c r="B830" s="4">
        <f>104.1747 * CHOOSE(CONTROL!$C$9, $C$13, 100%, $E$13) + CHOOSE(CONTROL!$C$28, 0.0003, 0)</f>
        <v>104.175</v>
      </c>
      <c r="C830" s="4">
        <f>103.8622 * CHOOSE(CONTROL!$C$9, $C$13, 100%, $E$13) + CHOOSE(CONTROL!$C$28, 0.0003, 0)</f>
        <v>103.8625</v>
      </c>
      <c r="D830" s="4">
        <f>90.8489 * CHOOSE(CONTROL!$C$9, $C$13, 100%, $E$13) + CHOOSE(CONTROL!$C$28, 0, 0)</f>
        <v>90.8489</v>
      </c>
      <c r="E830" s="4">
        <f>572.828968263935 * CHOOSE(CONTROL!$C$9, $C$13, 100%, $E$13) + CHOOSE(CONTROL!$C$28, 0, 0)</f>
        <v>572.82896826393505</v>
      </c>
    </row>
    <row r="831" spans="1:5" ht="15">
      <c r="A831" s="13">
        <v>66810</v>
      </c>
      <c r="B831" s="4">
        <f>101.9103 * CHOOSE(CONTROL!$C$9, $C$13, 100%, $E$13) + CHOOSE(CONTROL!$C$28, 0.0003, 0)</f>
        <v>101.9106</v>
      </c>
      <c r="C831" s="4">
        <f>101.5978 * CHOOSE(CONTROL!$C$9, $C$13, 100%, $E$13) + CHOOSE(CONTROL!$C$28, 0.0003, 0)</f>
        <v>101.5981</v>
      </c>
      <c r="D831" s="4">
        <f>90.4165 * CHOOSE(CONTROL!$C$9, $C$13, 100%, $E$13) + CHOOSE(CONTROL!$C$28, 0, 0)</f>
        <v>90.416499999999999</v>
      </c>
      <c r="E831" s="4">
        <f>560.149326824596 * CHOOSE(CONTROL!$C$9, $C$13, 100%, $E$13) + CHOOSE(CONTROL!$C$28, 0, 0)</f>
        <v>560.14932682459596</v>
      </c>
    </row>
    <row r="832" spans="1:5" ht="15">
      <c r="A832" s="13">
        <v>66841</v>
      </c>
      <c r="B832" s="4">
        <f>100.3436 * CHOOSE(CONTROL!$C$9, $C$13, 100%, $E$13) + CHOOSE(CONTROL!$C$28, 0.0003, 0)</f>
        <v>100.34389999999999</v>
      </c>
      <c r="C832" s="4">
        <f>100.0311 * CHOOSE(CONTROL!$C$9, $C$13, 100%, $E$13) + CHOOSE(CONTROL!$C$28, 0.0003, 0)</f>
        <v>100.03139999999999</v>
      </c>
      <c r="D832" s="4">
        <f>87.2329 * CHOOSE(CONTROL!$C$9, $C$13, 100%, $E$13) + CHOOSE(CONTROL!$C$28, 0, 0)</f>
        <v>87.232900000000001</v>
      </c>
      <c r="E832" s="4">
        <f>551.376644845772 * CHOOSE(CONTROL!$C$9, $C$13, 100%, $E$13) + CHOOSE(CONTROL!$C$28, 0, 0)</f>
        <v>551.37664484577203</v>
      </c>
    </row>
    <row r="833" spans="1:5" ht="15">
      <c r="A833" s="13">
        <v>66872</v>
      </c>
      <c r="B833" s="4">
        <f>97.7981 * CHOOSE(CONTROL!$C$9, $C$13, 100%, $E$13) + CHOOSE(CONTROL!$C$28, 0.0003, 0)</f>
        <v>97.798400000000001</v>
      </c>
      <c r="C833" s="4">
        <f>97.4856 * CHOOSE(CONTROL!$C$9, $C$13, 100%, $E$13) + CHOOSE(CONTROL!$C$28, 0.0003, 0)</f>
        <v>97.485900000000001</v>
      </c>
      <c r="D833" s="4">
        <f>84.3069 * CHOOSE(CONTROL!$C$9, $C$13, 100%, $E$13) + CHOOSE(CONTROL!$C$28, 0, 0)</f>
        <v>84.306899999999999</v>
      </c>
      <c r="E833" s="4">
        <f>535.565263800836 * CHOOSE(CONTROL!$C$9, $C$13, 100%, $E$13) + CHOOSE(CONTROL!$C$28, 0, 0)</f>
        <v>535.56526380083596</v>
      </c>
    </row>
    <row r="834" spans="1:5" ht="15">
      <c r="A834" s="13">
        <v>66900</v>
      </c>
      <c r="B834" s="4">
        <f>100.0757 * CHOOSE(CONTROL!$C$9, $C$13, 100%, $E$13) + CHOOSE(CONTROL!$C$28, 0.0003, 0)</f>
        <v>100.07599999999999</v>
      </c>
      <c r="C834" s="4">
        <f>99.7632 * CHOOSE(CONTROL!$C$9, $C$13, 100%, $E$13) + CHOOSE(CONTROL!$C$28, 0.0003, 0)</f>
        <v>99.763499999999993</v>
      </c>
      <c r="D834" s="4">
        <f>87.2534 * CHOOSE(CONTROL!$C$9, $C$13, 100%, $E$13) + CHOOSE(CONTROL!$C$28, 0, 0)</f>
        <v>87.253399999999999</v>
      </c>
      <c r="E834" s="4">
        <f>548.281693777672 * CHOOSE(CONTROL!$C$9, $C$13, 100%, $E$13) + CHOOSE(CONTROL!$C$28, 0, 0)</f>
        <v>548.28169377767199</v>
      </c>
    </row>
    <row r="835" spans="1:5" ht="15">
      <c r="A835" s="13">
        <v>66931</v>
      </c>
      <c r="B835" s="4">
        <f>106.0567 * CHOOSE(CONTROL!$C$9, $C$13, 100%, $E$13) + CHOOSE(CONTROL!$C$28, 0.0003, 0)</f>
        <v>106.057</v>
      </c>
      <c r="C835" s="4">
        <f>105.7442 * CHOOSE(CONTROL!$C$9, $C$13, 100%, $E$13) + CHOOSE(CONTROL!$C$28, 0.0003, 0)</f>
        <v>105.7445</v>
      </c>
      <c r="D835" s="4">
        <f>91.8659 * CHOOSE(CONTROL!$C$9, $C$13, 100%, $E$13) + CHOOSE(CONTROL!$C$28, 0, 0)</f>
        <v>91.865899999999996</v>
      </c>
      <c r="E835" s="4">
        <f>581.675714688974 * CHOOSE(CONTROL!$C$9, $C$13, 100%, $E$13) + CHOOSE(CONTROL!$C$28, 0, 0)</f>
        <v>581.67571468897404</v>
      </c>
    </row>
    <row r="836" spans="1:5" ht="15">
      <c r="A836" s="13">
        <v>66961</v>
      </c>
      <c r="B836" s="4">
        <f>110.3064 * CHOOSE(CONTROL!$C$9, $C$13, 100%, $E$13) + CHOOSE(CONTROL!$C$28, 0.0003, 0)</f>
        <v>110.30669999999999</v>
      </c>
      <c r="C836" s="4">
        <f>109.9939 * CHOOSE(CONTROL!$C$9, $C$13, 100%, $E$13) + CHOOSE(CONTROL!$C$28, 0.0003, 0)</f>
        <v>109.99419999999999</v>
      </c>
      <c r="D836" s="4">
        <f>94.5229 * CHOOSE(CONTROL!$C$9, $C$13, 100%, $E$13) + CHOOSE(CONTROL!$C$28, 0, 0)</f>
        <v>94.522900000000007</v>
      </c>
      <c r="E836" s="4">
        <f>605.402611580297 * CHOOSE(CONTROL!$C$9, $C$13, 100%, $E$13) + CHOOSE(CONTROL!$C$28, 0, 0)</f>
        <v>605.40261158029705</v>
      </c>
    </row>
    <row r="837" spans="1:5" ht="15">
      <c r="A837" s="13">
        <v>66992</v>
      </c>
      <c r="B837" s="4">
        <f>112.9028 * CHOOSE(CONTROL!$C$9, $C$13, 100%, $E$13) + CHOOSE(CONTROL!$C$28, 0.0202, 0)</f>
        <v>112.923</v>
      </c>
      <c r="C837" s="4">
        <f>112.5903 * CHOOSE(CONTROL!$C$9, $C$13, 100%, $E$13) + CHOOSE(CONTROL!$C$28, 0.0202, 0)</f>
        <v>112.6105</v>
      </c>
      <c r="D837" s="4">
        <f>93.473 * CHOOSE(CONTROL!$C$9, $C$13, 100%, $E$13) + CHOOSE(CONTROL!$C$28, 0, 0)</f>
        <v>93.472999999999999</v>
      </c>
      <c r="E837" s="4">
        <f>619.899176926541 * CHOOSE(CONTROL!$C$9, $C$13, 100%, $E$13) + CHOOSE(CONTROL!$C$28, 0, 0)</f>
        <v>619.89917692654103</v>
      </c>
    </row>
    <row r="838" spans="1:5" ht="15">
      <c r="A838" s="13">
        <v>67022</v>
      </c>
      <c r="B838" s="4">
        <f>113.2541 * CHOOSE(CONTROL!$C$9, $C$13, 100%, $E$13) + CHOOSE(CONTROL!$C$28, 0.0202, 0)</f>
        <v>113.2743</v>
      </c>
      <c r="C838" s="4">
        <f>112.9416 * CHOOSE(CONTROL!$C$9, $C$13, 100%, $E$13) + CHOOSE(CONTROL!$C$28, 0.0202, 0)</f>
        <v>112.9618</v>
      </c>
      <c r="D838" s="4">
        <f>94.328 * CHOOSE(CONTROL!$C$9, $C$13, 100%, $E$13) + CHOOSE(CONTROL!$C$28, 0, 0)</f>
        <v>94.328000000000003</v>
      </c>
      <c r="E838" s="4">
        <f>621.86062237987 * CHOOSE(CONTROL!$C$9, $C$13, 100%, $E$13) + CHOOSE(CONTROL!$C$28, 0, 0)</f>
        <v>621.86062237987005</v>
      </c>
    </row>
    <row r="839" spans="1:5" ht="15">
      <c r="A839" s="13">
        <v>67053</v>
      </c>
      <c r="B839" s="4">
        <f>113.2187 * CHOOSE(CONTROL!$C$9, $C$13, 100%, $E$13) + CHOOSE(CONTROL!$C$28, 0.0202, 0)</f>
        <v>113.2389</v>
      </c>
      <c r="C839" s="4">
        <f>112.9062 * CHOOSE(CONTROL!$C$9, $C$13, 100%, $E$13) + CHOOSE(CONTROL!$C$28, 0.0202, 0)</f>
        <v>112.9264</v>
      </c>
      <c r="D839" s="4">
        <f>95.8709 * CHOOSE(CONTROL!$C$9, $C$13, 100%, $E$13) + CHOOSE(CONTROL!$C$28, 0, 0)</f>
        <v>95.870900000000006</v>
      </c>
      <c r="E839" s="4">
        <f>621.662829561047 * CHOOSE(CONTROL!$C$9, $C$13, 100%, $E$13) + CHOOSE(CONTROL!$C$28, 0, 0)</f>
        <v>621.66282956104703</v>
      </c>
    </row>
    <row r="840" spans="1:5" ht="15">
      <c r="A840" s="13">
        <v>67084</v>
      </c>
      <c r="B840" s="4">
        <f>115.8845 * CHOOSE(CONTROL!$C$9, $C$13, 100%, $E$13) + CHOOSE(CONTROL!$C$28, 0.0202, 0)</f>
        <v>115.90470000000001</v>
      </c>
      <c r="C840" s="4">
        <f>115.572 * CHOOSE(CONTROL!$C$9, $C$13, 100%, $E$13) + CHOOSE(CONTROL!$C$28, 0.0202, 0)</f>
        <v>115.59220000000001</v>
      </c>
      <c r="D840" s="4">
        <f>94.852 * CHOOSE(CONTROL!$C$9, $C$13, 100%, $E$13) + CHOOSE(CONTROL!$C$28, 0, 0)</f>
        <v>94.852000000000004</v>
      </c>
      <c r="E840" s="4">
        <f>636.546739177487 * CHOOSE(CONTROL!$C$9, $C$13, 100%, $E$13) + CHOOSE(CONTROL!$C$28, 0, 0)</f>
        <v>636.54673917748698</v>
      </c>
    </row>
    <row r="841" spans="1:5" ht="15">
      <c r="A841" s="13">
        <v>67114</v>
      </c>
      <c r="B841" s="4">
        <f>111.3411 * CHOOSE(CONTROL!$C$9, $C$13, 100%, $E$13) + CHOOSE(CONTROL!$C$28, 0.0202, 0)</f>
        <v>111.3613</v>
      </c>
      <c r="C841" s="4">
        <f>111.0286 * CHOOSE(CONTROL!$C$9, $C$13, 100%, $E$13) + CHOOSE(CONTROL!$C$28, 0.0202, 0)</f>
        <v>111.0488</v>
      </c>
      <c r="D841" s="4">
        <f>94.3706 * CHOOSE(CONTROL!$C$9, $C$13, 100%, $E$13) + CHOOSE(CONTROL!$C$28, 0, 0)</f>
        <v>94.370599999999996</v>
      </c>
      <c r="E841" s="4">
        <f>611.179810163422 * CHOOSE(CONTROL!$C$9, $C$13, 100%, $E$13) + CHOOSE(CONTROL!$C$28, 0, 0)</f>
        <v>611.17981016342196</v>
      </c>
    </row>
    <row r="842" spans="1:5" ht="15">
      <c r="A842" s="13">
        <v>67145</v>
      </c>
      <c r="B842" s="4">
        <f>107.704 * CHOOSE(CONTROL!$C$9, $C$13, 100%, $E$13) + CHOOSE(CONTROL!$C$28, 0.0003, 0)</f>
        <v>107.70429999999999</v>
      </c>
      <c r="C842" s="4">
        <f>107.3915 * CHOOSE(CONTROL!$C$9, $C$13, 100%, $E$13) + CHOOSE(CONTROL!$C$28, 0.0003, 0)</f>
        <v>107.39179999999999</v>
      </c>
      <c r="D842" s="4">
        <f>93.0816 * CHOOSE(CONTROL!$C$9, $C$13, 100%, $E$13) + CHOOSE(CONTROL!$C$28, 0, 0)</f>
        <v>93.081599999999995</v>
      </c>
      <c r="E842" s="4">
        <f>590.873080764249 * CHOOSE(CONTROL!$C$9, $C$13, 100%, $E$13) + CHOOSE(CONTROL!$C$28, 0, 0)</f>
        <v>590.87308076424904</v>
      </c>
    </row>
    <row r="843" spans="1:5" ht="15">
      <c r="A843" s="13">
        <v>67175</v>
      </c>
      <c r="B843" s="4">
        <f>105.3615 * CHOOSE(CONTROL!$C$9, $C$13, 100%, $E$13) + CHOOSE(CONTROL!$C$28, 0.0003, 0)</f>
        <v>105.3618</v>
      </c>
      <c r="C843" s="4">
        <f>105.049 * CHOOSE(CONTROL!$C$9, $C$13, 100%, $E$13) + CHOOSE(CONTROL!$C$28, 0.0003, 0)</f>
        <v>105.0493</v>
      </c>
      <c r="D843" s="4">
        <f>92.6384 * CHOOSE(CONTROL!$C$9, $C$13, 100%, $E$13) + CHOOSE(CONTROL!$C$28, 0, 0)</f>
        <v>92.638400000000004</v>
      </c>
      <c r="E843" s="4">
        <f>577.794030619571 * CHOOSE(CONTROL!$C$9, $C$13, 100%, $E$13) + CHOOSE(CONTROL!$C$28, 0, 0)</f>
        <v>577.794030619571</v>
      </c>
    </row>
    <row r="844" spans="1:5" ht="15">
      <c r="A844" s="13">
        <v>67206</v>
      </c>
      <c r="B844" s="4">
        <f>103.7408 * CHOOSE(CONTROL!$C$9, $C$13, 100%, $E$13) + CHOOSE(CONTROL!$C$28, 0.0003, 0)</f>
        <v>103.74109999999999</v>
      </c>
      <c r="C844" s="4">
        <f>103.4283 * CHOOSE(CONTROL!$C$9, $C$13, 100%, $E$13) + CHOOSE(CONTROL!$C$28, 0.0003, 0)</f>
        <v>103.42859999999999</v>
      </c>
      <c r="D844" s="4">
        <f>89.3759 * CHOOSE(CONTROL!$C$9, $C$13, 100%, $E$13) + CHOOSE(CONTROL!$C$28, 0, 0)</f>
        <v>89.375900000000001</v>
      </c>
      <c r="E844" s="4">
        <f>568.745009158413 * CHOOSE(CONTROL!$C$9, $C$13, 100%, $E$13) + CHOOSE(CONTROL!$C$28, 0, 0)</f>
        <v>568.74500915841304</v>
      </c>
    </row>
    <row r="845" spans="1:5" ht="15">
      <c r="A845" s="13">
        <v>67237</v>
      </c>
      <c r="B845" s="4">
        <f>101.1074 * CHOOSE(CONTROL!$C$9, $C$13, 100%, $E$13) + CHOOSE(CONTROL!$C$28, 0.0003, 0)</f>
        <v>101.10769999999999</v>
      </c>
      <c r="C845" s="4">
        <f>100.7949 * CHOOSE(CONTROL!$C$9, $C$13, 100%, $E$13) + CHOOSE(CONTROL!$C$28, 0.0003, 0)</f>
        <v>100.79519999999999</v>
      </c>
      <c r="D845" s="4">
        <f>86.3773 * CHOOSE(CONTROL!$C$9, $C$13, 100%, $E$13) + CHOOSE(CONTROL!$C$28, 0, 0)</f>
        <v>86.377300000000005</v>
      </c>
      <c r="E845" s="4">
        <f>552.435569610562 * CHOOSE(CONTROL!$C$9, $C$13, 100%, $E$13) + CHOOSE(CONTROL!$C$28, 0, 0)</f>
        <v>552.43556961056197</v>
      </c>
    </row>
    <row r="846" spans="1:5" ht="15">
      <c r="A846" s="13">
        <v>67266</v>
      </c>
      <c r="B846" s="4">
        <f>103.4636 * CHOOSE(CONTROL!$C$9, $C$13, 100%, $E$13) + CHOOSE(CONTROL!$C$28, 0.0003, 0)</f>
        <v>103.4639</v>
      </c>
      <c r="C846" s="4">
        <f>103.1511 * CHOOSE(CONTROL!$C$9, $C$13, 100%, $E$13) + CHOOSE(CONTROL!$C$28, 0.0003, 0)</f>
        <v>103.1514</v>
      </c>
      <c r="D846" s="4">
        <f>89.3969 * CHOOSE(CONTROL!$C$9, $C$13, 100%, $E$13) + CHOOSE(CONTROL!$C$28, 0, 0)</f>
        <v>89.396900000000002</v>
      </c>
      <c r="E846" s="4">
        <f>565.552567131669 * CHOOSE(CONTROL!$C$9, $C$13, 100%, $E$13) + CHOOSE(CONTROL!$C$28, 0, 0)</f>
        <v>565.55256713166898</v>
      </c>
    </row>
    <row r="847" spans="1:5" ht="15">
      <c r="A847" s="13">
        <v>67297</v>
      </c>
      <c r="B847" s="4">
        <f>109.651 * CHOOSE(CONTROL!$C$9, $C$13, 100%, $E$13) + CHOOSE(CONTROL!$C$28, 0.0003, 0)</f>
        <v>109.65129999999999</v>
      </c>
      <c r="C847" s="4">
        <f>109.3385 * CHOOSE(CONTROL!$C$9, $C$13, 100%, $E$13) + CHOOSE(CONTROL!$C$28, 0.0003, 0)</f>
        <v>109.33879999999999</v>
      </c>
      <c r="D847" s="4">
        <f>94.1238 * CHOOSE(CONTROL!$C$9, $C$13, 100%, $E$13) + CHOOSE(CONTROL!$C$28, 0, 0)</f>
        <v>94.123800000000003</v>
      </c>
      <c r="E847" s="4">
        <f>599.998499701677 * CHOOSE(CONTROL!$C$9, $C$13, 100%, $E$13) + CHOOSE(CONTROL!$C$28, 0, 0)</f>
        <v>599.99849970167702</v>
      </c>
    </row>
    <row r="848" spans="1:5" ht="15">
      <c r="A848" s="13">
        <v>67327</v>
      </c>
      <c r="B848" s="4">
        <f>114.0473 * CHOOSE(CONTROL!$C$9, $C$13, 100%, $E$13) + CHOOSE(CONTROL!$C$28, 0.0003, 0)</f>
        <v>114.0476</v>
      </c>
      <c r="C848" s="4">
        <f>113.7348 * CHOOSE(CONTROL!$C$9, $C$13, 100%, $E$13) + CHOOSE(CONTROL!$C$28, 0.0003, 0)</f>
        <v>113.7351</v>
      </c>
      <c r="D848" s="4">
        <f>96.8466 * CHOOSE(CONTROL!$C$9, $C$13, 100%, $E$13) + CHOOSE(CONTROL!$C$28, 0, 0)</f>
        <v>96.846599999999995</v>
      </c>
      <c r="E848" s="4">
        <f>624.472793845077 * CHOOSE(CONTROL!$C$9, $C$13, 100%, $E$13) + CHOOSE(CONTROL!$C$28, 0, 0)</f>
        <v>624.47279384507704</v>
      </c>
    </row>
    <row r="849" spans="1:5" ht="15">
      <c r="A849" s="13">
        <v>67358</v>
      </c>
      <c r="B849" s="4">
        <f>116.7333 * CHOOSE(CONTROL!$C$9, $C$13, 100%, $E$13) + CHOOSE(CONTROL!$C$28, 0.0202, 0)</f>
        <v>116.7535</v>
      </c>
      <c r="C849" s="4">
        <f>116.4208 * CHOOSE(CONTROL!$C$9, $C$13, 100%, $E$13) + CHOOSE(CONTROL!$C$28, 0.0202, 0)</f>
        <v>116.441</v>
      </c>
      <c r="D849" s="4">
        <f>95.7707 * CHOOSE(CONTROL!$C$9, $C$13, 100%, $E$13) + CHOOSE(CONTROL!$C$28, 0, 0)</f>
        <v>95.770700000000005</v>
      </c>
      <c r="E849" s="4">
        <f>639.426000999727 * CHOOSE(CONTROL!$C$9, $C$13, 100%, $E$13) + CHOOSE(CONTROL!$C$28, 0, 0)</f>
        <v>639.42600099972697</v>
      </c>
    </row>
    <row r="850" spans="1:5" ht="15">
      <c r="A850" s="13">
        <v>67388</v>
      </c>
      <c r="B850" s="4">
        <f>117.0967 * CHOOSE(CONTROL!$C$9, $C$13, 100%, $E$13) + CHOOSE(CONTROL!$C$28, 0.0202, 0)</f>
        <v>117.1169</v>
      </c>
      <c r="C850" s="4">
        <f>116.7842 * CHOOSE(CONTROL!$C$9, $C$13, 100%, $E$13) + CHOOSE(CONTROL!$C$28, 0.0202, 0)</f>
        <v>116.8044</v>
      </c>
      <c r="D850" s="4">
        <f>96.6469 * CHOOSE(CONTROL!$C$9, $C$13, 100%, $E$13) + CHOOSE(CONTROL!$C$28, 0, 0)</f>
        <v>96.646900000000002</v>
      </c>
      <c r="E850" s="4">
        <f>641.449231984836 * CHOOSE(CONTROL!$C$9, $C$13, 100%, $E$13) + CHOOSE(CONTROL!$C$28, 0, 0)</f>
        <v>641.44923198483605</v>
      </c>
    </row>
    <row r="851" spans="1:5" ht="15">
      <c r="A851" s="13">
        <v>67419</v>
      </c>
      <c r="B851" s="4">
        <f>117.06 * CHOOSE(CONTROL!$C$9, $C$13, 100%, $E$13) + CHOOSE(CONTROL!$C$28, 0.0202, 0)</f>
        <v>117.0802</v>
      </c>
      <c r="C851" s="4">
        <f>116.7475 * CHOOSE(CONTROL!$C$9, $C$13, 100%, $E$13) + CHOOSE(CONTROL!$C$28, 0.0202, 0)</f>
        <v>116.7677</v>
      </c>
      <c r="D851" s="4">
        <f>98.2281 * CHOOSE(CONTROL!$C$9, $C$13, 100%, $E$13) + CHOOSE(CONTROL!$C$28, 0, 0)</f>
        <v>98.228099999999998</v>
      </c>
      <c r="E851" s="4">
        <f>641.24520869222 * CHOOSE(CONTROL!$C$9, $C$13, 100%, $E$13) + CHOOSE(CONTROL!$C$28, 0, 0)</f>
        <v>641.24520869221999</v>
      </c>
    </row>
    <row r="852" spans="1:5" ht="15">
      <c r="A852" s="13">
        <v>67450</v>
      </c>
      <c r="B852" s="4">
        <f>119.8178 * CHOOSE(CONTROL!$C$9, $C$13, 100%, $E$13) + CHOOSE(CONTROL!$C$28, 0.0202, 0)</f>
        <v>119.83800000000001</v>
      </c>
      <c r="C852" s="4">
        <f>119.5053 * CHOOSE(CONTROL!$C$9, $C$13, 100%, $E$13) + CHOOSE(CONTROL!$C$28, 0.0202, 0)</f>
        <v>119.52550000000001</v>
      </c>
      <c r="D852" s="4">
        <f>97.1839 * CHOOSE(CONTROL!$C$9, $C$13, 100%, $E$13) + CHOOSE(CONTROL!$C$28, 0, 0)</f>
        <v>97.183899999999994</v>
      </c>
      <c r="E852" s="4">
        <f>656.597961461577 * CHOOSE(CONTROL!$C$9, $C$13, 100%, $E$13) + CHOOSE(CONTROL!$C$28, 0, 0)</f>
        <v>656.59796146157703</v>
      </c>
    </row>
    <row r="853" spans="1:5" ht="15">
      <c r="A853" s="13">
        <v>67480</v>
      </c>
      <c r="B853" s="4">
        <f>115.1177 * CHOOSE(CONTROL!$C$9, $C$13, 100%, $E$13) + CHOOSE(CONTROL!$C$28, 0.0202, 0)</f>
        <v>115.1379</v>
      </c>
      <c r="C853" s="4">
        <f>114.8052 * CHOOSE(CONTROL!$C$9, $C$13, 100%, $E$13) + CHOOSE(CONTROL!$C$28, 0.0202, 0)</f>
        <v>114.8254</v>
      </c>
      <c r="D853" s="4">
        <f>96.6905 * CHOOSE(CONTROL!$C$9, $C$13, 100%, $E$13) + CHOOSE(CONTROL!$C$28, 0, 0)</f>
        <v>96.6905</v>
      </c>
      <c r="E853" s="4">
        <f>630.43197418357 * CHOOSE(CONTROL!$C$9, $C$13, 100%, $E$13) + CHOOSE(CONTROL!$C$28, 0, 0)</f>
        <v>630.43197418356999</v>
      </c>
    </row>
    <row r="854" spans="1:5" ht="15">
      <c r="A854" s="13">
        <v>67511</v>
      </c>
      <c r="B854" s="4">
        <f>111.3551 * CHOOSE(CONTROL!$C$9, $C$13, 100%, $E$13) + CHOOSE(CONTROL!$C$28, 0.0003, 0)</f>
        <v>111.35539999999999</v>
      </c>
      <c r="C854" s="4">
        <f>111.0426 * CHOOSE(CONTROL!$C$9, $C$13, 100%, $E$13) + CHOOSE(CONTROL!$C$28, 0.0003, 0)</f>
        <v>111.04289999999999</v>
      </c>
      <c r="D854" s="4">
        <f>95.3696 * CHOOSE(CONTROL!$C$9, $C$13, 100%, $E$13) + CHOOSE(CONTROL!$C$28, 0, 0)</f>
        <v>95.369600000000005</v>
      </c>
      <c r="E854" s="4">
        <f>609.485582808323 * CHOOSE(CONTROL!$C$9, $C$13, 100%, $E$13) + CHOOSE(CONTROL!$C$28, 0, 0)</f>
        <v>609.48558280832299</v>
      </c>
    </row>
    <row r="855" spans="1:5" ht="15">
      <c r="A855" s="13">
        <v>67541</v>
      </c>
      <c r="B855" s="4">
        <f>108.9318 * CHOOSE(CONTROL!$C$9, $C$13, 100%, $E$13) + CHOOSE(CONTROL!$C$28, 0.0003, 0)</f>
        <v>108.93209999999999</v>
      </c>
      <c r="C855" s="4">
        <f>108.6193 * CHOOSE(CONTROL!$C$9, $C$13, 100%, $E$13) + CHOOSE(CONTROL!$C$28, 0.0003, 0)</f>
        <v>108.61959999999999</v>
      </c>
      <c r="D855" s="4">
        <f>94.9154 * CHOOSE(CONTROL!$C$9, $C$13, 100%, $E$13) + CHOOSE(CONTROL!$C$28, 0, 0)</f>
        <v>94.915400000000005</v>
      </c>
      <c r="E855" s="4">
        <f>595.994542584087 * CHOOSE(CONTROL!$C$9, $C$13, 100%, $E$13) + CHOOSE(CONTROL!$C$28, 0, 0)</f>
        <v>595.99454258408696</v>
      </c>
    </row>
    <row r="856" spans="1:5" ht="15">
      <c r="A856" s="13">
        <v>67572</v>
      </c>
      <c r="B856" s="4">
        <f>107.2551 * CHOOSE(CONTROL!$C$9, $C$13, 100%, $E$13) + CHOOSE(CONTROL!$C$28, 0.0003, 0)</f>
        <v>107.25539999999999</v>
      </c>
      <c r="C856" s="4">
        <f>106.9426 * CHOOSE(CONTROL!$C$9, $C$13, 100%, $E$13) + CHOOSE(CONTROL!$C$28, 0.0003, 0)</f>
        <v>106.94289999999999</v>
      </c>
      <c r="D856" s="4">
        <f>91.572 * CHOOSE(CONTROL!$C$9, $C$13, 100%, $E$13) + CHOOSE(CONTROL!$C$28, 0, 0)</f>
        <v>91.572000000000003</v>
      </c>
      <c r="E856" s="4">
        <f>586.660476946903 * CHOOSE(CONTROL!$C$9, $C$13, 100%, $E$13) + CHOOSE(CONTROL!$C$28, 0, 0)</f>
        <v>586.66047694690303</v>
      </c>
    </row>
    <row r="857" spans="1:5" ht="15">
      <c r="A857" s="13">
        <v>67603</v>
      </c>
      <c r="B857" s="4">
        <f>104.5309 * CHOOSE(CONTROL!$C$9, $C$13, 100%, $E$13) + CHOOSE(CONTROL!$C$28, 0.0003, 0)</f>
        <v>104.5312</v>
      </c>
      <c r="C857" s="4">
        <f>104.2184 * CHOOSE(CONTROL!$C$9, $C$13, 100%, $E$13) + CHOOSE(CONTROL!$C$28, 0.0003, 0)</f>
        <v>104.2187</v>
      </c>
      <c r="D857" s="4">
        <f>88.4991 * CHOOSE(CONTROL!$C$9, $C$13, 100%, $E$13) + CHOOSE(CONTROL!$C$28, 0, 0)</f>
        <v>88.499099999999999</v>
      </c>
      <c r="E857" s="4">
        <f>569.837290053295 * CHOOSE(CONTROL!$C$9, $C$13, 100%, $E$13) + CHOOSE(CONTROL!$C$28, 0, 0)</f>
        <v>569.83729005329496</v>
      </c>
    </row>
    <row r="858" spans="1:5" ht="15">
      <c r="A858" s="13">
        <v>67631</v>
      </c>
      <c r="B858" s="4">
        <f>106.9684 * CHOOSE(CONTROL!$C$9, $C$13, 100%, $E$13) + CHOOSE(CONTROL!$C$28, 0.0003, 0)</f>
        <v>106.9687</v>
      </c>
      <c r="C858" s="4">
        <f>106.6559 * CHOOSE(CONTROL!$C$9, $C$13, 100%, $E$13) + CHOOSE(CONTROL!$C$28, 0.0003, 0)</f>
        <v>106.6562</v>
      </c>
      <c r="D858" s="4">
        <f>91.5935 * CHOOSE(CONTROL!$C$9, $C$13, 100%, $E$13) + CHOOSE(CONTROL!$C$28, 0, 0)</f>
        <v>91.593500000000006</v>
      </c>
      <c r="E858" s="4">
        <f>583.367472996316 * CHOOSE(CONTROL!$C$9, $C$13, 100%, $E$13) + CHOOSE(CONTROL!$C$28, 0, 0)</f>
        <v>583.367472996316</v>
      </c>
    </row>
    <row r="859" spans="1:5" ht="15">
      <c r="A859" s="13">
        <v>67662</v>
      </c>
      <c r="B859" s="4">
        <f>113.3693 * CHOOSE(CONTROL!$C$9, $C$13, 100%, $E$13) + CHOOSE(CONTROL!$C$28, 0.0003, 0)</f>
        <v>113.36959999999999</v>
      </c>
      <c r="C859" s="4">
        <f>113.0568 * CHOOSE(CONTROL!$C$9, $C$13, 100%, $E$13) + CHOOSE(CONTROL!$C$28, 0.0003, 0)</f>
        <v>113.05709999999999</v>
      </c>
      <c r="D859" s="4">
        <f>96.4376 * CHOOSE(CONTROL!$C$9, $C$13, 100%, $E$13) + CHOOSE(CONTROL!$C$28, 0, 0)</f>
        <v>96.437600000000003</v>
      </c>
      <c r="E859" s="4">
        <f>618.89845244228 * CHOOSE(CONTROL!$C$9, $C$13, 100%, $E$13) + CHOOSE(CONTROL!$C$28, 0, 0)</f>
        <v>618.89845244228002</v>
      </c>
    </row>
    <row r="860" spans="1:5" ht="15">
      <c r="A860" s="13">
        <v>67692</v>
      </c>
      <c r="B860" s="4">
        <f>117.9172 * CHOOSE(CONTROL!$C$9, $C$13, 100%, $E$13) + CHOOSE(CONTROL!$C$28, 0.0003, 0)</f>
        <v>117.91749999999999</v>
      </c>
      <c r="C860" s="4">
        <f>117.6047 * CHOOSE(CONTROL!$C$9, $C$13, 100%, $E$13) + CHOOSE(CONTROL!$C$28, 0.0003, 0)</f>
        <v>117.60499999999999</v>
      </c>
      <c r="D860" s="4">
        <f>99.228 * CHOOSE(CONTROL!$C$9, $C$13, 100%, $E$13) + CHOOSE(CONTROL!$C$28, 0, 0)</f>
        <v>99.227999999999994</v>
      </c>
      <c r="E860" s="4">
        <f>644.143686851197 * CHOOSE(CONTROL!$C$9, $C$13, 100%, $E$13) + CHOOSE(CONTROL!$C$28, 0, 0)</f>
        <v>644.143686851197</v>
      </c>
    </row>
    <row r="861" spans="1:5" ht="15">
      <c r="A861" s="13">
        <v>67723</v>
      </c>
      <c r="B861" s="4">
        <f>120.6959 * CHOOSE(CONTROL!$C$9, $C$13, 100%, $E$13) + CHOOSE(CONTROL!$C$28, 0.0202, 0)</f>
        <v>120.7161</v>
      </c>
      <c r="C861" s="4">
        <f>120.3834 * CHOOSE(CONTROL!$C$9, $C$13, 100%, $E$13) + CHOOSE(CONTROL!$C$28, 0.0202, 0)</f>
        <v>120.4036</v>
      </c>
      <c r="D861" s="4">
        <f>98.1254 * CHOOSE(CONTROL!$C$9, $C$13, 100%, $E$13) + CHOOSE(CONTROL!$C$28, 0, 0)</f>
        <v>98.125399999999999</v>
      </c>
      <c r="E861" s="4">
        <f>659.567920031219 * CHOOSE(CONTROL!$C$9, $C$13, 100%, $E$13) + CHOOSE(CONTROL!$C$28, 0, 0)</f>
        <v>659.56792003121905</v>
      </c>
    </row>
    <row r="862" spans="1:5" ht="15">
      <c r="A862" s="13">
        <v>67753</v>
      </c>
      <c r="B862" s="4">
        <f>121.0718 * CHOOSE(CONTROL!$C$9, $C$13, 100%, $E$13) + CHOOSE(CONTROL!$C$28, 0.0202, 0)</f>
        <v>121.092</v>
      </c>
      <c r="C862" s="4">
        <f>120.7593 * CHOOSE(CONTROL!$C$9, $C$13, 100%, $E$13) + CHOOSE(CONTROL!$C$28, 0.0202, 0)</f>
        <v>120.7795</v>
      </c>
      <c r="D862" s="4">
        <f>99.0234 * CHOOSE(CONTROL!$C$9, $C$13, 100%, $E$13) + CHOOSE(CONTROL!$C$28, 0, 0)</f>
        <v>99.023399999999995</v>
      </c>
      <c r="E862" s="4">
        <f>661.654882792359 * CHOOSE(CONTROL!$C$9, $C$13, 100%, $E$13) + CHOOSE(CONTROL!$C$28, 0, 0)</f>
        <v>661.65488279235899</v>
      </c>
    </row>
    <row r="863" spans="1:5" ht="15">
      <c r="A863" s="13">
        <v>67784</v>
      </c>
      <c r="B863" s="4">
        <f>121.0339 * CHOOSE(CONTROL!$C$9, $C$13, 100%, $E$13) + CHOOSE(CONTROL!$C$28, 0.0202, 0)</f>
        <v>121.05410000000001</v>
      </c>
      <c r="C863" s="4">
        <f>120.7214 * CHOOSE(CONTROL!$C$9, $C$13, 100%, $E$13) + CHOOSE(CONTROL!$C$28, 0.0202, 0)</f>
        <v>120.74160000000001</v>
      </c>
      <c r="D863" s="4">
        <f>100.6437 * CHOOSE(CONTROL!$C$9, $C$13, 100%, $E$13) + CHOOSE(CONTROL!$C$28, 0, 0)</f>
        <v>100.6437</v>
      </c>
      <c r="E863" s="4">
        <f>661.444432766025 * CHOOSE(CONTROL!$C$9, $C$13, 100%, $E$13) + CHOOSE(CONTROL!$C$28, 0, 0)</f>
        <v>661.44443276602499</v>
      </c>
    </row>
    <row r="864" spans="1:5" ht="15">
      <c r="A864" s="13">
        <v>67815</v>
      </c>
      <c r="B864" s="4">
        <f>123.8868 * CHOOSE(CONTROL!$C$9, $C$13, 100%, $E$13) + CHOOSE(CONTROL!$C$28, 0.0202, 0)</f>
        <v>123.907</v>
      </c>
      <c r="C864" s="4">
        <f>123.5743 * CHOOSE(CONTROL!$C$9, $C$13, 100%, $E$13) + CHOOSE(CONTROL!$C$28, 0.0202, 0)</f>
        <v>123.5945</v>
      </c>
      <c r="D864" s="4">
        <f>99.5736 * CHOOSE(CONTROL!$C$9, $C$13, 100%, $E$13) + CHOOSE(CONTROL!$C$28, 0, 0)</f>
        <v>99.573599999999999</v>
      </c>
      <c r="E864" s="4">
        <f>677.280797247617 * CHOOSE(CONTROL!$C$9, $C$13, 100%, $E$13) + CHOOSE(CONTROL!$C$28, 0, 0)</f>
        <v>677.28079724761699</v>
      </c>
    </row>
    <row r="865" spans="1:5" ht="15">
      <c r="A865" s="13">
        <v>67845</v>
      </c>
      <c r="B865" s="4">
        <f>119.0246 * CHOOSE(CONTROL!$C$9, $C$13, 100%, $E$13) + CHOOSE(CONTROL!$C$28, 0.0202, 0)</f>
        <v>119.04480000000001</v>
      </c>
      <c r="C865" s="4">
        <f>118.7121 * CHOOSE(CONTROL!$C$9, $C$13, 100%, $E$13) + CHOOSE(CONTROL!$C$28, 0.0202, 0)</f>
        <v>118.73230000000001</v>
      </c>
      <c r="D865" s="4">
        <f>99.0681 * CHOOSE(CONTROL!$C$9, $C$13, 100%, $E$13) + CHOOSE(CONTROL!$C$28, 0, 0)</f>
        <v>99.068100000000001</v>
      </c>
      <c r="E865" s="4">
        <f>650.290581370353 * CHOOSE(CONTROL!$C$9, $C$13, 100%, $E$13) + CHOOSE(CONTROL!$C$28, 0, 0)</f>
        <v>650.29058137035304</v>
      </c>
    </row>
    <row r="866" spans="1:5" ht="15">
      <c r="A866" s="13">
        <v>67876</v>
      </c>
      <c r="B866" s="4">
        <f>115.1322 * CHOOSE(CONTROL!$C$9, $C$13, 100%, $E$13) + CHOOSE(CONTROL!$C$28, 0.0003, 0)</f>
        <v>115.13249999999999</v>
      </c>
      <c r="C866" s="4">
        <f>114.8197 * CHOOSE(CONTROL!$C$9, $C$13, 100%, $E$13) + CHOOSE(CONTROL!$C$28, 0.0003, 0)</f>
        <v>114.82</v>
      </c>
      <c r="D866" s="4">
        <f>97.7143 * CHOOSE(CONTROL!$C$9, $C$13, 100%, $E$13) + CHOOSE(CONTROL!$C$28, 0, 0)</f>
        <v>97.714299999999994</v>
      </c>
      <c r="E866" s="4">
        <f>628.684378666785 * CHOOSE(CONTROL!$C$9, $C$13, 100%, $E$13) + CHOOSE(CONTROL!$C$28, 0, 0)</f>
        <v>628.68437866678505</v>
      </c>
    </row>
    <row r="867" spans="1:5" ht="15">
      <c r="A867" s="13">
        <v>67906</v>
      </c>
      <c r="B867" s="4">
        <f>112.6253 * CHOOSE(CONTROL!$C$9, $C$13, 100%, $E$13) + CHOOSE(CONTROL!$C$28, 0.0003, 0)</f>
        <v>112.62559999999999</v>
      </c>
      <c r="C867" s="4">
        <f>112.3128 * CHOOSE(CONTROL!$C$9, $C$13, 100%, $E$13) + CHOOSE(CONTROL!$C$28, 0.0003, 0)</f>
        <v>112.31309999999999</v>
      </c>
      <c r="D867" s="4">
        <f>97.2489 * CHOOSE(CONTROL!$C$9, $C$13, 100%, $E$13) + CHOOSE(CONTROL!$C$28, 0, 0)</f>
        <v>97.248900000000006</v>
      </c>
      <c r="E867" s="4">
        <f>614.768370675486 * CHOOSE(CONTROL!$C$9, $C$13, 100%, $E$13) + CHOOSE(CONTROL!$C$28, 0, 0)</f>
        <v>614.76837067548604</v>
      </c>
    </row>
    <row r="868" spans="1:5" ht="15">
      <c r="A868" s="13">
        <v>67937</v>
      </c>
      <c r="B868" s="4">
        <f>110.8908 * CHOOSE(CONTROL!$C$9, $C$13, 100%, $E$13) + CHOOSE(CONTROL!$C$28, 0.0003, 0)</f>
        <v>110.89109999999999</v>
      </c>
      <c r="C868" s="4">
        <f>110.5783 * CHOOSE(CONTROL!$C$9, $C$13, 100%, $E$13) + CHOOSE(CONTROL!$C$28, 0.0003, 0)</f>
        <v>110.57859999999999</v>
      </c>
      <c r="D868" s="4">
        <f>93.8226 * CHOOSE(CONTROL!$C$9, $C$13, 100%, $E$13) + CHOOSE(CONTROL!$C$28, 0, 0)</f>
        <v>93.822599999999994</v>
      </c>
      <c r="E868" s="4">
        <f>605.140281970731 * CHOOSE(CONTROL!$C$9, $C$13, 100%, $E$13) + CHOOSE(CONTROL!$C$28, 0, 0)</f>
        <v>605.14028197073105</v>
      </c>
    </row>
    <row r="869" spans="1:5" ht="15">
      <c r="A869" s="13">
        <v>67968</v>
      </c>
      <c r="B869" s="4">
        <f>108.0726 * CHOOSE(CONTROL!$C$9, $C$13, 100%, $E$13) + CHOOSE(CONTROL!$C$28, 0.0003, 0)</f>
        <v>108.07289999999999</v>
      </c>
      <c r="C869" s="4">
        <f>107.7601 * CHOOSE(CONTROL!$C$9, $C$13, 100%, $E$13) + CHOOSE(CONTROL!$C$28, 0.0003, 0)</f>
        <v>107.76039999999999</v>
      </c>
      <c r="D869" s="4">
        <f>90.6735 * CHOOSE(CONTROL!$C$9, $C$13, 100%, $E$13) + CHOOSE(CONTROL!$C$28, 0, 0)</f>
        <v>90.673500000000004</v>
      </c>
      <c r="E869" s="4">
        <f>587.787164689974 * CHOOSE(CONTROL!$C$9, $C$13, 100%, $E$13) + CHOOSE(CONTROL!$C$28, 0, 0)</f>
        <v>587.78716468997402</v>
      </c>
    </row>
    <row r="870" spans="1:5" ht="15">
      <c r="A870" s="13">
        <v>67996</v>
      </c>
      <c r="B870" s="4">
        <f>110.5941 * CHOOSE(CONTROL!$C$9, $C$13, 100%, $E$13) + CHOOSE(CONTROL!$C$28, 0.0003, 0)</f>
        <v>110.59439999999999</v>
      </c>
      <c r="C870" s="4">
        <f>110.2816 * CHOOSE(CONTROL!$C$9, $C$13, 100%, $E$13) + CHOOSE(CONTROL!$C$28, 0.0003, 0)</f>
        <v>110.28189999999999</v>
      </c>
      <c r="D870" s="4">
        <f>93.8447 * CHOOSE(CONTROL!$C$9, $C$13, 100%, $E$13) + CHOOSE(CONTROL!$C$28, 0, 0)</f>
        <v>93.844700000000003</v>
      </c>
      <c r="E870" s="4">
        <f>601.7435483957 * CHOOSE(CONTROL!$C$9, $C$13, 100%, $E$13) + CHOOSE(CONTROL!$C$28, 0, 0)</f>
        <v>601.74354839570003</v>
      </c>
    </row>
    <row r="871" spans="1:5" ht="15">
      <c r="A871" s="13">
        <v>68027</v>
      </c>
      <c r="B871" s="4">
        <f>117.2158 * CHOOSE(CONTROL!$C$9, $C$13, 100%, $E$13) + CHOOSE(CONTROL!$C$28, 0.0003, 0)</f>
        <v>117.2161</v>
      </c>
      <c r="C871" s="4">
        <f>116.9033 * CHOOSE(CONTROL!$C$9, $C$13, 100%, $E$13) + CHOOSE(CONTROL!$C$28, 0.0003, 0)</f>
        <v>116.9036</v>
      </c>
      <c r="D871" s="4">
        <f>98.8089 * CHOOSE(CONTROL!$C$9, $C$13, 100%, $E$13) + CHOOSE(CONTROL!$C$28, 0, 0)</f>
        <v>98.808899999999994</v>
      </c>
      <c r="E871" s="4">
        <f>638.393753694212 * CHOOSE(CONTROL!$C$9, $C$13, 100%, $E$13) + CHOOSE(CONTROL!$C$28, 0, 0)</f>
        <v>638.39375369421202</v>
      </c>
    </row>
    <row r="872" spans="1:5" ht="15">
      <c r="A872" s="13">
        <v>68057</v>
      </c>
      <c r="B872" s="4">
        <f>121.9207 * CHOOSE(CONTROL!$C$9, $C$13, 100%, $E$13) + CHOOSE(CONTROL!$C$28, 0.0003, 0)</f>
        <v>121.92099999999999</v>
      </c>
      <c r="C872" s="4">
        <f>121.6082 * CHOOSE(CONTROL!$C$9, $C$13, 100%, $E$13) + CHOOSE(CONTROL!$C$28, 0.0003, 0)</f>
        <v>121.60849999999999</v>
      </c>
      <c r="D872" s="4">
        <f>101.6685 * CHOOSE(CONTROL!$C$9, $C$13, 100%, $E$13) + CHOOSE(CONTROL!$C$28, 0, 0)</f>
        <v>101.66849999999999</v>
      </c>
      <c r="E872" s="4">
        <f>664.434212987009 * CHOOSE(CONTROL!$C$9, $C$13, 100%, $E$13) + CHOOSE(CONTROL!$C$28, 0, 0)</f>
        <v>664.434212987009</v>
      </c>
    </row>
    <row r="873" spans="1:5" ht="15">
      <c r="A873" s="13">
        <v>68088</v>
      </c>
      <c r="B873" s="4">
        <f>124.7952 * CHOOSE(CONTROL!$C$9, $C$13, 100%, $E$13) + CHOOSE(CONTROL!$C$28, 0.0202, 0)</f>
        <v>124.8154</v>
      </c>
      <c r="C873" s="4">
        <f>124.4827 * CHOOSE(CONTROL!$C$9, $C$13, 100%, $E$13) + CHOOSE(CONTROL!$C$28, 0.0202, 0)</f>
        <v>124.5029</v>
      </c>
      <c r="D873" s="4">
        <f>100.5385 * CHOOSE(CONTROL!$C$9, $C$13, 100%, $E$13) + CHOOSE(CONTROL!$C$28, 0, 0)</f>
        <v>100.5385</v>
      </c>
      <c r="E873" s="4">
        <f>680.344309512202 * CHOOSE(CONTROL!$C$9, $C$13, 100%, $E$13) + CHOOSE(CONTROL!$C$28, 0, 0)</f>
        <v>680.34430951220202</v>
      </c>
    </row>
    <row r="874" spans="1:5" ht="15">
      <c r="A874" s="13">
        <v>68118</v>
      </c>
      <c r="B874" s="4">
        <f>125.1841 * CHOOSE(CONTROL!$C$9, $C$13, 100%, $E$13) + CHOOSE(CONTROL!$C$28, 0.0202, 0)</f>
        <v>125.2043</v>
      </c>
      <c r="C874" s="4">
        <f>124.8716 * CHOOSE(CONTROL!$C$9, $C$13, 100%, $E$13) + CHOOSE(CONTROL!$C$28, 0.0202, 0)</f>
        <v>124.8918</v>
      </c>
      <c r="D874" s="4">
        <f>101.4588 * CHOOSE(CONTROL!$C$9, $C$13, 100%, $E$13) + CHOOSE(CONTROL!$C$28, 0, 0)</f>
        <v>101.4588</v>
      </c>
      <c r="E874" s="4">
        <f>682.497011600318 * CHOOSE(CONTROL!$C$9, $C$13, 100%, $E$13) + CHOOSE(CONTROL!$C$28, 0, 0)</f>
        <v>682.49701160031805</v>
      </c>
    </row>
    <row r="875" spans="1:5" ht="15">
      <c r="A875" s="13">
        <v>68149</v>
      </c>
      <c r="B875" s="4">
        <f>125.1449 * CHOOSE(CONTROL!$C$9, $C$13, 100%, $E$13) + CHOOSE(CONTROL!$C$28, 0.0202, 0)</f>
        <v>125.16510000000001</v>
      </c>
      <c r="C875" s="4">
        <f>124.8324 * CHOOSE(CONTROL!$C$9, $C$13, 100%, $E$13) + CHOOSE(CONTROL!$C$28, 0.0202, 0)</f>
        <v>124.85260000000001</v>
      </c>
      <c r="D875" s="4">
        <f>103.1193 * CHOOSE(CONTROL!$C$9, $C$13, 100%, $E$13) + CHOOSE(CONTROL!$C$28, 0, 0)</f>
        <v>103.1193</v>
      </c>
      <c r="E875" s="4">
        <f>682.279932398155 * CHOOSE(CONTROL!$C$9, $C$13, 100%, $E$13) + CHOOSE(CONTROL!$C$28, 0, 0)</f>
        <v>682.27993239815498</v>
      </c>
    </row>
    <row r="876" spans="1:5" ht="15">
      <c r="A876" s="13">
        <v>68180</v>
      </c>
      <c r="B876" s="4">
        <f>128.0962 * CHOOSE(CONTROL!$C$9, $C$13, 100%, $E$13) + CHOOSE(CONTROL!$C$28, 0.0202, 0)</f>
        <v>128.1164</v>
      </c>
      <c r="C876" s="4">
        <f>127.7837 * CHOOSE(CONTROL!$C$9, $C$13, 100%, $E$13) + CHOOSE(CONTROL!$C$28, 0.0202, 0)</f>
        <v>127.8039</v>
      </c>
      <c r="D876" s="4">
        <f>102.0227 * CHOOSE(CONTROL!$C$9, $C$13, 100%, $E$13) + CHOOSE(CONTROL!$C$28, 0, 0)</f>
        <v>102.0227</v>
      </c>
      <c r="E876" s="4">
        <f>698.615142360917 * CHOOSE(CONTROL!$C$9, $C$13, 100%, $E$13) + CHOOSE(CONTROL!$C$28, 0, 0)</f>
        <v>698.61514236091705</v>
      </c>
    </row>
    <row r="877" spans="1:5" ht="15">
      <c r="A877" s="13">
        <v>68210</v>
      </c>
      <c r="B877" s="4">
        <f>123.0662 * CHOOSE(CONTROL!$C$9, $C$13, 100%, $E$13) + CHOOSE(CONTROL!$C$28, 0.0202, 0)</f>
        <v>123.0864</v>
      </c>
      <c r="C877" s="4">
        <f>122.7537 * CHOOSE(CONTROL!$C$9, $C$13, 100%, $E$13) + CHOOSE(CONTROL!$C$28, 0.0202, 0)</f>
        <v>122.7739</v>
      </c>
      <c r="D877" s="4">
        <f>101.5045 * CHOOSE(CONTROL!$C$9, $C$13, 100%, $E$13) + CHOOSE(CONTROL!$C$28, 0, 0)</f>
        <v>101.50449999999999</v>
      </c>
      <c r="E877" s="4">
        <f>670.774734683519 * CHOOSE(CONTROL!$C$9, $C$13, 100%, $E$13) + CHOOSE(CONTROL!$C$28, 0, 0)</f>
        <v>670.774734683519</v>
      </c>
    </row>
    <row r="878" spans="1:5" ht="15">
      <c r="A878" s="13">
        <v>68241</v>
      </c>
      <c r="B878" s="4">
        <f>119.0396 * CHOOSE(CONTROL!$C$9, $C$13, 100%, $E$13) + CHOOSE(CONTROL!$C$28, 0.0003, 0)</f>
        <v>119.03989999999999</v>
      </c>
      <c r="C878" s="4">
        <f>118.7271 * CHOOSE(CONTROL!$C$9, $C$13, 100%, $E$13) + CHOOSE(CONTROL!$C$28, 0.0003, 0)</f>
        <v>118.72739999999999</v>
      </c>
      <c r="D878" s="4">
        <f>100.1173 * CHOOSE(CONTROL!$C$9, $C$13, 100%, $E$13) + CHOOSE(CONTROL!$C$28, 0, 0)</f>
        <v>100.1173</v>
      </c>
      <c r="E878" s="4">
        <f>648.487936594789 * CHOOSE(CONTROL!$C$9, $C$13, 100%, $E$13) + CHOOSE(CONTROL!$C$28, 0, 0)</f>
        <v>648.48793659478895</v>
      </c>
    </row>
    <row r="879" spans="1:5" ht="15">
      <c r="A879" s="13">
        <v>68271</v>
      </c>
      <c r="B879" s="4">
        <f>116.4461 * CHOOSE(CONTROL!$C$9, $C$13, 100%, $E$13) + CHOOSE(CONTROL!$C$28, 0.0003, 0)</f>
        <v>116.4464</v>
      </c>
      <c r="C879" s="4">
        <f>116.1336 * CHOOSE(CONTROL!$C$9, $C$13, 100%, $E$13) + CHOOSE(CONTROL!$C$28, 0.0003, 0)</f>
        <v>116.1339</v>
      </c>
      <c r="D879" s="4">
        <f>99.6403 * CHOOSE(CONTROL!$C$9, $C$13, 100%, $E$13) + CHOOSE(CONTROL!$C$28, 0, 0)</f>
        <v>99.640299999999996</v>
      </c>
      <c r="E879" s="4">
        <f>634.133574351764 * CHOOSE(CONTROL!$C$9, $C$13, 100%, $E$13) + CHOOSE(CONTROL!$C$28, 0, 0)</f>
        <v>634.13357435176397</v>
      </c>
    </row>
    <row r="880" spans="1:5" ht="15">
      <c r="A880" s="13">
        <v>68302</v>
      </c>
      <c r="B880" s="4">
        <f>114.6518 * CHOOSE(CONTROL!$C$9, $C$13, 100%, $E$13) + CHOOSE(CONTROL!$C$28, 0.0003, 0)</f>
        <v>114.65209999999999</v>
      </c>
      <c r="C880" s="4">
        <f>114.3393 * CHOOSE(CONTROL!$C$9, $C$13, 100%, $E$13) + CHOOSE(CONTROL!$C$28, 0.0003, 0)</f>
        <v>114.33959999999999</v>
      </c>
      <c r="D880" s="4">
        <f>96.129 * CHOOSE(CONTROL!$C$9, $C$13, 100%, $E$13) + CHOOSE(CONTROL!$C$28, 0, 0)</f>
        <v>96.129000000000005</v>
      </c>
      <c r="E880" s="4">
        <f>624.202200852809 * CHOOSE(CONTROL!$C$9, $C$13, 100%, $E$13) + CHOOSE(CONTROL!$C$28, 0, 0)</f>
        <v>624.20220085280903</v>
      </c>
    </row>
    <row r="881" spans="1:5" ht="15">
      <c r="A881" s="13">
        <v>68333</v>
      </c>
      <c r="B881" s="4">
        <f>111.7364 * CHOOSE(CONTROL!$C$9, $C$13, 100%, $E$13) + CHOOSE(CONTROL!$C$28, 0.0003, 0)</f>
        <v>111.7367</v>
      </c>
      <c r="C881" s="4">
        <f>111.4239 * CHOOSE(CONTROL!$C$9, $C$13, 100%, $E$13) + CHOOSE(CONTROL!$C$28, 0.0003, 0)</f>
        <v>111.4242</v>
      </c>
      <c r="D881" s="4">
        <f>92.9018 * CHOOSE(CONTROL!$C$9, $C$13, 100%, $E$13) + CHOOSE(CONTROL!$C$28, 0, 0)</f>
        <v>92.901799999999994</v>
      </c>
      <c r="E881" s="4">
        <f>606.302460377708 * CHOOSE(CONTROL!$C$9, $C$13, 100%, $E$13) + CHOOSE(CONTROL!$C$28, 0, 0)</f>
        <v>606.30246037770803</v>
      </c>
    </row>
    <row r="882" spans="1:5" ht="15">
      <c r="A882" s="13">
        <v>68361</v>
      </c>
      <c r="B882" s="4">
        <f>114.3449 * CHOOSE(CONTROL!$C$9, $C$13, 100%, $E$13) + CHOOSE(CONTROL!$C$28, 0.0003, 0)</f>
        <v>114.34519999999999</v>
      </c>
      <c r="C882" s="4">
        <f>114.0324 * CHOOSE(CONTROL!$C$9, $C$13, 100%, $E$13) + CHOOSE(CONTROL!$C$28, 0.0003, 0)</f>
        <v>114.03269999999999</v>
      </c>
      <c r="D882" s="4">
        <f>96.1516 * CHOOSE(CONTROL!$C$9, $C$13, 100%, $E$13) + CHOOSE(CONTROL!$C$28, 0, 0)</f>
        <v>96.151600000000002</v>
      </c>
      <c r="E882" s="4">
        <f>620.698470170165 * CHOOSE(CONTROL!$C$9, $C$13, 100%, $E$13) + CHOOSE(CONTROL!$C$28, 0, 0)</f>
        <v>620.69847017016502</v>
      </c>
    </row>
    <row r="883" spans="1:5" ht="15">
      <c r="A883" s="13">
        <v>68392</v>
      </c>
      <c r="B883" s="4">
        <f>121.1951 * CHOOSE(CONTROL!$C$9, $C$13, 100%, $E$13) + CHOOSE(CONTROL!$C$28, 0.0003, 0)</f>
        <v>121.19539999999999</v>
      </c>
      <c r="C883" s="4">
        <f>120.8826 * CHOOSE(CONTROL!$C$9, $C$13, 100%, $E$13) + CHOOSE(CONTROL!$C$28, 0.0003, 0)</f>
        <v>120.88289999999999</v>
      </c>
      <c r="D883" s="4">
        <f>101.239 * CHOOSE(CONTROL!$C$9, $C$13, 100%, $E$13) + CHOOSE(CONTROL!$C$28, 0, 0)</f>
        <v>101.239</v>
      </c>
      <c r="E883" s="4">
        <f>658.50315693558 * CHOOSE(CONTROL!$C$9, $C$13, 100%, $E$13) + CHOOSE(CONTROL!$C$28, 0, 0)</f>
        <v>658.50315693558002</v>
      </c>
    </row>
    <row r="884" spans="1:5" ht="15">
      <c r="A884" s="13">
        <v>68422</v>
      </c>
      <c r="B884" s="4">
        <f>126.0622 * CHOOSE(CONTROL!$C$9, $C$13, 100%, $E$13) + CHOOSE(CONTROL!$C$28, 0.0003, 0)</f>
        <v>126.0625</v>
      </c>
      <c r="C884" s="4">
        <f>125.7497 * CHOOSE(CONTROL!$C$9, $C$13, 100%, $E$13) + CHOOSE(CONTROL!$C$28, 0.0003, 0)</f>
        <v>125.75</v>
      </c>
      <c r="D884" s="4">
        <f>104.1694 * CHOOSE(CONTROL!$C$9, $C$13, 100%, $E$13) + CHOOSE(CONTROL!$C$28, 0, 0)</f>
        <v>104.1694</v>
      </c>
      <c r="E884" s="4">
        <f>685.3638906961 * CHOOSE(CONTROL!$C$9, $C$13, 100%, $E$13) + CHOOSE(CONTROL!$C$28, 0, 0)</f>
        <v>685.36389069610004</v>
      </c>
    </row>
    <row r="885" spans="1:5" ht="15">
      <c r="A885" s="13">
        <v>68453</v>
      </c>
      <c r="B885" s="4">
        <f>129.0359 * CHOOSE(CONTROL!$C$9, $C$13, 100%, $E$13) + CHOOSE(CONTROL!$C$28, 0.0202, 0)</f>
        <v>129.05609999999999</v>
      </c>
      <c r="C885" s="4">
        <f>128.7234 * CHOOSE(CONTROL!$C$9, $C$13, 100%, $E$13) + CHOOSE(CONTROL!$C$28, 0.0202, 0)</f>
        <v>128.74359999999999</v>
      </c>
      <c r="D885" s="4">
        <f>103.0114 * CHOOSE(CONTROL!$C$9, $C$13, 100%, $E$13) + CHOOSE(CONTROL!$C$28, 0, 0)</f>
        <v>103.01139999999999</v>
      </c>
      <c r="E885" s="4">
        <f>701.775155261837 * CHOOSE(CONTROL!$C$9, $C$13, 100%, $E$13) + CHOOSE(CONTROL!$C$28, 0, 0)</f>
        <v>701.77515526183697</v>
      </c>
    </row>
    <row r="886" spans="1:5" ht="15">
      <c r="A886" s="13">
        <v>68483</v>
      </c>
      <c r="B886" s="4">
        <f>129.4383 * CHOOSE(CONTROL!$C$9, $C$13, 100%, $E$13) + CHOOSE(CONTROL!$C$28, 0.0202, 0)</f>
        <v>129.45849999999999</v>
      </c>
      <c r="C886" s="4">
        <f>129.1258 * CHOOSE(CONTROL!$C$9, $C$13, 100%, $E$13) + CHOOSE(CONTROL!$C$28, 0.0202, 0)</f>
        <v>129.14599999999999</v>
      </c>
      <c r="D886" s="4">
        <f>103.9545 * CHOOSE(CONTROL!$C$9, $C$13, 100%, $E$13) + CHOOSE(CONTROL!$C$28, 0, 0)</f>
        <v>103.9545</v>
      </c>
      <c r="E886" s="4">
        <f>703.995667465728 * CHOOSE(CONTROL!$C$9, $C$13, 100%, $E$13) + CHOOSE(CONTROL!$C$28, 0, 0)</f>
        <v>703.99566746572805</v>
      </c>
    </row>
    <row r="887" spans="1:5" ht="15">
      <c r="A887" s="13">
        <v>68514</v>
      </c>
      <c r="B887" s="4">
        <f>129.3977 * CHOOSE(CONTROL!$C$9, $C$13, 100%, $E$13) + CHOOSE(CONTROL!$C$28, 0.0202, 0)</f>
        <v>129.41789999999997</v>
      </c>
      <c r="C887" s="4">
        <f>129.0852 * CHOOSE(CONTROL!$C$9, $C$13, 100%, $E$13) + CHOOSE(CONTROL!$C$28, 0.0202, 0)</f>
        <v>129.10539999999997</v>
      </c>
      <c r="D887" s="4">
        <f>105.6562 * CHOOSE(CONTROL!$C$9, $C$13, 100%, $E$13) + CHOOSE(CONTROL!$C$28, 0, 0)</f>
        <v>105.6562</v>
      </c>
      <c r="E887" s="4">
        <f>703.771750268697 * CHOOSE(CONTROL!$C$9, $C$13, 100%, $E$13) + CHOOSE(CONTROL!$C$28, 0, 0)</f>
        <v>703.77175026869702</v>
      </c>
    </row>
    <row r="888" spans="1:5" ht="15">
      <c r="A888" s="13">
        <v>68545</v>
      </c>
      <c r="B888" s="4">
        <f>132.4509 * CHOOSE(CONTROL!$C$9, $C$13, 100%, $E$13) + CHOOSE(CONTROL!$C$28, 0.0202, 0)</f>
        <v>132.47109999999998</v>
      </c>
      <c r="C888" s="4">
        <f>132.1384 * CHOOSE(CONTROL!$C$9, $C$13, 100%, $E$13) + CHOOSE(CONTROL!$C$28, 0.0202, 0)</f>
        <v>132.15859999999998</v>
      </c>
      <c r="D888" s="4">
        <f>104.5324 * CHOOSE(CONTROL!$C$9, $C$13, 100%, $E$13) + CHOOSE(CONTROL!$C$28, 0, 0)</f>
        <v>104.5324</v>
      </c>
      <c r="E888" s="4">
        <f>720.621519345286 * CHOOSE(CONTROL!$C$9, $C$13, 100%, $E$13) + CHOOSE(CONTROL!$C$28, 0, 0)</f>
        <v>720.62151934528595</v>
      </c>
    </row>
    <row r="889" spans="1:5" ht="15">
      <c r="A889" s="13">
        <v>68575</v>
      </c>
      <c r="B889" s="4">
        <f>127.2473 * CHOOSE(CONTROL!$C$9, $C$13, 100%, $E$13) + CHOOSE(CONTROL!$C$28, 0.0202, 0)</f>
        <v>127.2675</v>
      </c>
      <c r="C889" s="4">
        <f>126.9348 * CHOOSE(CONTROL!$C$9, $C$13, 100%, $E$13) + CHOOSE(CONTROL!$C$28, 0.0202, 0)</f>
        <v>126.955</v>
      </c>
      <c r="D889" s="4">
        <f>104.0015 * CHOOSE(CONTROL!$C$9, $C$13, 100%, $E$13) + CHOOSE(CONTROL!$C$28, 0, 0)</f>
        <v>104.00149999999999</v>
      </c>
      <c r="E889" s="4">
        <f>691.90413882605 * CHOOSE(CONTROL!$C$9, $C$13, 100%, $E$13) + CHOOSE(CONTROL!$C$28, 0, 0)</f>
        <v>691.90413882605003</v>
      </c>
    </row>
    <row r="890" spans="1:5" ht="15">
      <c r="A890" s="13">
        <v>68606</v>
      </c>
      <c r="B890" s="4">
        <f>123.0818 * CHOOSE(CONTROL!$C$9, $C$13, 100%, $E$13) + CHOOSE(CONTROL!$C$28, 0.0003, 0)</f>
        <v>123.0821</v>
      </c>
      <c r="C890" s="4">
        <f>122.7693 * CHOOSE(CONTROL!$C$9, $C$13, 100%, $E$13) + CHOOSE(CONTROL!$C$28, 0.0003, 0)</f>
        <v>122.7696</v>
      </c>
      <c r="D890" s="4">
        <f>102.5798 * CHOOSE(CONTROL!$C$9, $C$13, 100%, $E$13) + CHOOSE(CONTROL!$C$28, 0, 0)</f>
        <v>102.57980000000001</v>
      </c>
      <c r="E890" s="4">
        <f>668.915306597525 * CHOOSE(CONTROL!$C$9, $C$13, 100%, $E$13) + CHOOSE(CONTROL!$C$28, 0, 0)</f>
        <v>668.91530659752505</v>
      </c>
    </row>
    <row r="891" spans="1:5" ht="15">
      <c r="A891" s="13">
        <v>68636</v>
      </c>
      <c r="B891" s="4">
        <f>120.3988 * CHOOSE(CONTROL!$C$9, $C$13, 100%, $E$13) + CHOOSE(CONTROL!$C$28, 0.0003, 0)</f>
        <v>120.39909999999999</v>
      </c>
      <c r="C891" s="4">
        <f>120.0863 * CHOOSE(CONTROL!$C$9, $C$13, 100%, $E$13) + CHOOSE(CONTROL!$C$28, 0.0003, 0)</f>
        <v>120.08659999999999</v>
      </c>
      <c r="D891" s="4">
        <f>102.091 * CHOOSE(CONTROL!$C$9, $C$13, 100%, $E$13) + CHOOSE(CONTROL!$C$28, 0, 0)</f>
        <v>102.09099999999999</v>
      </c>
      <c r="E891" s="4">
        <f>654.108781943845 * CHOOSE(CONTROL!$C$9, $C$13, 100%, $E$13) + CHOOSE(CONTROL!$C$28, 0, 0)</f>
        <v>654.10878194384497</v>
      </c>
    </row>
    <row r="892" spans="1:5" ht="15">
      <c r="A892" s="13">
        <v>68667</v>
      </c>
      <c r="B892" s="4">
        <f>118.5426 * CHOOSE(CONTROL!$C$9, $C$13, 100%, $E$13) + CHOOSE(CONTROL!$C$28, 0.0003, 0)</f>
        <v>118.54289999999999</v>
      </c>
      <c r="C892" s="4">
        <f>118.2301 * CHOOSE(CONTROL!$C$9, $C$13, 100%, $E$13) + CHOOSE(CONTROL!$C$28, 0.0003, 0)</f>
        <v>118.23039999999999</v>
      </c>
      <c r="D892" s="4">
        <f>98.4926 * CHOOSE(CONTROL!$C$9, $C$13, 100%, $E$13) + CHOOSE(CONTROL!$C$28, 0, 0)</f>
        <v>98.492599999999996</v>
      </c>
      <c r="E892" s="4">
        <f>643.864570179673 * CHOOSE(CONTROL!$C$9, $C$13, 100%, $E$13) + CHOOSE(CONTROL!$C$28, 0, 0)</f>
        <v>643.86457017967302</v>
      </c>
    </row>
    <row r="893" spans="1:5" ht="15">
      <c r="A893" s="13">
        <v>68698</v>
      </c>
      <c r="B893" s="4">
        <f>115.5266 * CHOOSE(CONTROL!$C$9, $C$13, 100%, $E$13) + CHOOSE(CONTROL!$C$28, 0.0003, 0)</f>
        <v>115.5269</v>
      </c>
      <c r="C893" s="4">
        <f>115.2141 * CHOOSE(CONTROL!$C$9, $C$13, 100%, $E$13) + CHOOSE(CONTROL!$C$28, 0.0003, 0)</f>
        <v>115.2144</v>
      </c>
      <c r="D893" s="4">
        <f>95.1853 * CHOOSE(CONTROL!$C$9, $C$13, 100%, $E$13) + CHOOSE(CONTROL!$C$28, 0, 0)</f>
        <v>95.185299999999998</v>
      </c>
      <c r="E893" s="4">
        <f>625.400987879605 * CHOOSE(CONTROL!$C$9, $C$13, 100%, $E$13) + CHOOSE(CONTROL!$C$28, 0, 0)</f>
        <v>625.40098787960505</v>
      </c>
    </row>
    <row r="894" spans="1:5" ht="15">
      <c r="A894" s="13">
        <v>68727</v>
      </c>
      <c r="B894" s="4">
        <f>118.2251 * CHOOSE(CONTROL!$C$9, $C$13, 100%, $E$13) + CHOOSE(CONTROL!$C$28, 0.0003, 0)</f>
        <v>118.22539999999999</v>
      </c>
      <c r="C894" s="4">
        <f>117.9126 * CHOOSE(CONTROL!$C$9, $C$13, 100%, $E$13) + CHOOSE(CONTROL!$C$28, 0.0003, 0)</f>
        <v>117.91289999999999</v>
      </c>
      <c r="D894" s="4">
        <f>98.5157 * CHOOSE(CONTROL!$C$9, $C$13, 100%, $E$13) + CHOOSE(CONTROL!$C$28, 0, 0)</f>
        <v>98.515699999999995</v>
      </c>
      <c r="E894" s="4">
        <f>640.250471980525 * CHOOSE(CONTROL!$C$9, $C$13, 100%, $E$13) + CHOOSE(CONTROL!$C$28, 0, 0)</f>
        <v>640.25047198052505</v>
      </c>
    </row>
    <row r="895" spans="1:5" ht="15">
      <c r="A895" s="13">
        <v>68758</v>
      </c>
      <c r="B895" s="4">
        <f>125.3116 * CHOOSE(CONTROL!$C$9, $C$13, 100%, $E$13) + CHOOSE(CONTROL!$C$28, 0.0003, 0)</f>
        <v>125.31189999999999</v>
      </c>
      <c r="C895" s="4">
        <f>124.9991 * CHOOSE(CONTROL!$C$9, $C$13, 100%, $E$13) + CHOOSE(CONTROL!$C$28, 0.0003, 0)</f>
        <v>124.99939999999999</v>
      </c>
      <c r="D895" s="4">
        <f>103.7293 * CHOOSE(CONTROL!$C$9, $C$13, 100%, $E$13) + CHOOSE(CONTROL!$C$28, 0, 0)</f>
        <v>103.72929999999999</v>
      </c>
      <c r="E895" s="4">
        <f>679.24600637905 * CHOOSE(CONTROL!$C$9, $C$13, 100%, $E$13) + CHOOSE(CONTROL!$C$28, 0, 0)</f>
        <v>679.24600637904996</v>
      </c>
    </row>
    <row r="896" spans="1:5" ht="15">
      <c r="A896" s="13">
        <v>68788</v>
      </c>
      <c r="B896" s="4">
        <f>130.3467 * CHOOSE(CONTROL!$C$9, $C$13, 100%, $E$13) + CHOOSE(CONTROL!$C$28, 0.0003, 0)</f>
        <v>130.34700000000001</v>
      </c>
      <c r="C896" s="4">
        <f>130.0342 * CHOOSE(CONTROL!$C$9, $C$13, 100%, $E$13) + CHOOSE(CONTROL!$C$28, 0.0003, 0)</f>
        <v>130.03450000000001</v>
      </c>
      <c r="D896" s="4">
        <f>106.7324 * CHOOSE(CONTROL!$C$9, $C$13, 100%, $E$13) + CHOOSE(CONTROL!$C$28, 0, 0)</f>
        <v>106.7324</v>
      </c>
      <c r="E896" s="4">
        <f>706.952853253027 * CHOOSE(CONTROL!$C$9, $C$13, 100%, $E$13) + CHOOSE(CONTROL!$C$28, 0, 0)</f>
        <v>706.952853253027</v>
      </c>
    </row>
    <row r="897" spans="1:5" ht="15">
      <c r="A897" s="13">
        <v>68819</v>
      </c>
      <c r="B897" s="4">
        <f>133.423 * CHOOSE(CONTROL!$C$9, $C$13, 100%, $E$13) + CHOOSE(CONTROL!$C$28, 0.0202, 0)</f>
        <v>133.44319999999999</v>
      </c>
      <c r="C897" s="4">
        <f>133.1105 * CHOOSE(CONTROL!$C$9, $C$13, 100%, $E$13) + CHOOSE(CONTROL!$C$28, 0.0202, 0)</f>
        <v>133.13069999999999</v>
      </c>
      <c r="D897" s="4">
        <f>105.5457 * CHOOSE(CONTROL!$C$9, $C$13, 100%, $E$13) + CHOOSE(CONTROL!$C$28, 0, 0)</f>
        <v>105.5457</v>
      </c>
      <c r="E897" s="4">
        <f>723.881072652585 * CHOOSE(CONTROL!$C$9, $C$13, 100%, $E$13) + CHOOSE(CONTROL!$C$28, 0, 0)</f>
        <v>723.88107265258498</v>
      </c>
    </row>
    <row r="898" spans="1:5" ht="15">
      <c r="A898" s="13">
        <v>68849</v>
      </c>
      <c r="B898" s="4">
        <f>133.8392 * CHOOSE(CONTROL!$C$9, $C$13, 100%, $E$13) + CHOOSE(CONTROL!$C$28, 0.0202, 0)</f>
        <v>133.85939999999999</v>
      </c>
      <c r="C898" s="4">
        <f>133.5267 * CHOOSE(CONTROL!$C$9, $C$13, 100%, $E$13) + CHOOSE(CONTROL!$C$28, 0.0202, 0)</f>
        <v>133.54689999999999</v>
      </c>
      <c r="D898" s="4">
        <f>106.5122 * CHOOSE(CONTROL!$C$9, $C$13, 100%, $E$13) + CHOOSE(CONTROL!$C$28, 0, 0)</f>
        <v>106.51220000000001</v>
      </c>
      <c r="E898" s="4">
        <f>726.171530990899 * CHOOSE(CONTROL!$C$9, $C$13, 100%, $E$13) + CHOOSE(CONTROL!$C$28, 0, 0)</f>
        <v>726.17153099089899</v>
      </c>
    </row>
    <row r="899" spans="1:5" ht="15">
      <c r="A899" s="13">
        <v>68880</v>
      </c>
      <c r="B899" s="4">
        <f>133.7973 * CHOOSE(CONTROL!$C$9, $C$13, 100%, $E$13) + CHOOSE(CONTROL!$C$28, 0.0202, 0)</f>
        <v>133.8175</v>
      </c>
      <c r="C899" s="4">
        <f>133.4848 * CHOOSE(CONTROL!$C$9, $C$13, 100%, $E$13) + CHOOSE(CONTROL!$C$28, 0.0202, 0)</f>
        <v>133.505</v>
      </c>
      <c r="D899" s="4">
        <f>108.2561 * CHOOSE(CONTROL!$C$9, $C$13, 100%, $E$13) + CHOOSE(CONTROL!$C$28, 0, 0)</f>
        <v>108.2561</v>
      </c>
      <c r="E899" s="4">
        <f>725.940560402161 * CHOOSE(CONTROL!$C$9, $C$13, 100%, $E$13) + CHOOSE(CONTROL!$C$28, 0, 0)</f>
        <v>725.94056040216105</v>
      </c>
    </row>
    <row r="900" spans="1:5" ht="15">
      <c r="A900" s="13">
        <v>68911</v>
      </c>
      <c r="B900" s="4">
        <f>136.9557 * CHOOSE(CONTROL!$C$9, $C$13, 100%, $E$13) + CHOOSE(CONTROL!$C$28, 0.0202, 0)</f>
        <v>136.9759</v>
      </c>
      <c r="C900" s="4">
        <f>136.6432 * CHOOSE(CONTROL!$C$9, $C$13, 100%, $E$13) + CHOOSE(CONTROL!$C$28, 0.0202, 0)</f>
        <v>136.6634</v>
      </c>
      <c r="D900" s="4">
        <f>107.1044 * CHOOSE(CONTROL!$C$9, $C$13, 100%, $E$13) + CHOOSE(CONTROL!$C$28, 0, 0)</f>
        <v>107.1044</v>
      </c>
      <c r="E900" s="4">
        <f>743.321097204663 * CHOOSE(CONTROL!$C$9, $C$13, 100%, $E$13) + CHOOSE(CONTROL!$C$28, 0, 0)</f>
        <v>743.32109720466303</v>
      </c>
    </row>
    <row r="901" spans="1:5" ht="15">
      <c r="A901" s="13">
        <v>68941</v>
      </c>
      <c r="B901" s="4">
        <f>131.5727 * CHOOSE(CONTROL!$C$9, $C$13, 100%, $E$13) + CHOOSE(CONTROL!$C$28, 0.0202, 0)</f>
        <v>131.59289999999999</v>
      </c>
      <c r="C901" s="4">
        <f>131.2602 * CHOOSE(CONTROL!$C$9, $C$13, 100%, $E$13) + CHOOSE(CONTROL!$C$28, 0.0202, 0)</f>
        <v>131.28039999999999</v>
      </c>
      <c r="D901" s="4">
        <f>106.5603 * CHOOSE(CONTROL!$C$9, $C$13, 100%, $E$13) + CHOOSE(CONTROL!$C$28, 0, 0)</f>
        <v>106.5603</v>
      </c>
      <c r="E901" s="4">
        <f>713.69911919907 * CHOOSE(CONTROL!$C$9, $C$13, 100%, $E$13) + CHOOSE(CONTROL!$C$28, 0, 0)</f>
        <v>713.69911919906997</v>
      </c>
    </row>
    <row r="902" spans="1:5" ht="15">
      <c r="A902" s="13">
        <v>68972</v>
      </c>
      <c r="B902" s="4">
        <f>127.2634 * CHOOSE(CONTROL!$C$9, $C$13, 100%, $E$13) + CHOOSE(CONTROL!$C$28, 0.0003, 0)</f>
        <v>127.2637</v>
      </c>
      <c r="C902" s="4">
        <f>126.9509 * CHOOSE(CONTROL!$C$9, $C$13, 100%, $E$13) + CHOOSE(CONTROL!$C$28, 0.0003, 0)</f>
        <v>126.9512</v>
      </c>
      <c r="D902" s="4">
        <f>105.1033 * CHOOSE(CONTROL!$C$9, $C$13, 100%, $E$13) + CHOOSE(CONTROL!$C$28, 0, 0)</f>
        <v>105.1033</v>
      </c>
      <c r="E902" s="4">
        <f>689.986138755347 * CHOOSE(CONTROL!$C$9, $C$13, 100%, $E$13) + CHOOSE(CONTROL!$C$28, 0, 0)</f>
        <v>689.98613875534704</v>
      </c>
    </row>
    <row r="903" spans="1:5" ht="15">
      <c r="A903" s="13">
        <v>69002</v>
      </c>
      <c r="B903" s="4">
        <f>124.4879 * CHOOSE(CONTROL!$C$9, $C$13, 100%, $E$13) + CHOOSE(CONTROL!$C$28, 0.0003, 0)</f>
        <v>124.48819999999999</v>
      </c>
      <c r="C903" s="4">
        <f>124.1754 * CHOOSE(CONTROL!$C$9, $C$13, 100%, $E$13) + CHOOSE(CONTROL!$C$28, 0.0003, 0)</f>
        <v>124.17569999999999</v>
      </c>
      <c r="D903" s="4">
        <f>104.6024 * CHOOSE(CONTROL!$C$9, $C$13, 100%, $E$13) + CHOOSE(CONTROL!$C$28, 0, 0)</f>
        <v>104.6024</v>
      </c>
      <c r="E903" s="4">
        <f>674.713208575076 * CHOOSE(CONTROL!$C$9, $C$13, 100%, $E$13) + CHOOSE(CONTROL!$C$28, 0, 0)</f>
        <v>674.71320857507601</v>
      </c>
    </row>
    <row r="904" spans="1:5" ht="15">
      <c r="A904" s="13">
        <v>69033</v>
      </c>
      <c r="B904" s="4">
        <f>122.5676 * CHOOSE(CONTROL!$C$9, $C$13, 100%, $E$13) + CHOOSE(CONTROL!$C$28, 0.0003, 0)</f>
        <v>122.56789999999999</v>
      </c>
      <c r="C904" s="4">
        <f>122.2551 * CHOOSE(CONTROL!$C$9, $C$13, 100%, $E$13) + CHOOSE(CONTROL!$C$28, 0.0003, 0)</f>
        <v>122.25539999999999</v>
      </c>
      <c r="D904" s="4">
        <f>100.9148 * CHOOSE(CONTROL!$C$9, $C$13, 100%, $E$13) + CHOOSE(CONTROL!$C$28, 0, 0)</f>
        <v>100.9148</v>
      </c>
      <c r="E904" s="4">
        <f>664.146304140332 * CHOOSE(CONTROL!$C$9, $C$13, 100%, $E$13) + CHOOSE(CONTROL!$C$28, 0, 0)</f>
        <v>664.14630414033195</v>
      </c>
    </row>
    <row r="905" spans="1:5" ht="15">
      <c r="A905" s="13">
        <v>69064</v>
      </c>
      <c r="B905" s="4">
        <f>119.4476 * CHOOSE(CONTROL!$C$9, $C$13, 100%, $E$13) + CHOOSE(CONTROL!$C$28, 0.0003, 0)</f>
        <v>119.44789999999999</v>
      </c>
      <c r="C905" s="4">
        <f>119.1351 * CHOOSE(CONTROL!$C$9, $C$13, 100%, $E$13) + CHOOSE(CONTROL!$C$28, 0.0003, 0)</f>
        <v>119.13539999999999</v>
      </c>
      <c r="D905" s="4">
        <f>97.5255 * CHOOSE(CONTROL!$C$9, $C$13, 100%, $E$13) + CHOOSE(CONTROL!$C$28, 0, 0)</f>
        <v>97.525499999999994</v>
      </c>
      <c r="E905" s="4">
        <f>645.101118997814 * CHOOSE(CONTROL!$C$9, $C$13, 100%, $E$13) + CHOOSE(CONTROL!$C$28, 0, 0)</f>
        <v>645.10111899781396</v>
      </c>
    </row>
    <row r="906" spans="1:5" ht="15">
      <c r="A906" s="13">
        <v>69092</v>
      </c>
      <c r="B906" s="4">
        <f>122.2392 * CHOOSE(CONTROL!$C$9, $C$13, 100%, $E$13) + CHOOSE(CONTROL!$C$28, 0.0003, 0)</f>
        <v>122.23949999999999</v>
      </c>
      <c r="C906" s="4">
        <f>121.9267 * CHOOSE(CONTROL!$C$9, $C$13, 100%, $E$13) + CHOOSE(CONTROL!$C$28, 0.0003, 0)</f>
        <v>121.92699999999999</v>
      </c>
      <c r="D906" s="4">
        <f>100.9385 * CHOOSE(CONTROL!$C$9, $C$13, 100%, $E$13) + CHOOSE(CONTROL!$C$28, 0, 0)</f>
        <v>100.9385</v>
      </c>
      <c r="E906" s="4">
        <f>660.418361847912 * CHOOSE(CONTROL!$C$9, $C$13, 100%, $E$13) + CHOOSE(CONTROL!$C$28, 0, 0)</f>
        <v>660.41836184791202</v>
      </c>
    </row>
    <row r="907" spans="1:5" ht="15">
      <c r="A907" s="13">
        <v>69123</v>
      </c>
      <c r="B907" s="4">
        <f>129.5702 * CHOOSE(CONTROL!$C$9, $C$13, 100%, $E$13) + CHOOSE(CONTROL!$C$28, 0.0003, 0)</f>
        <v>129.57050000000001</v>
      </c>
      <c r="C907" s="4">
        <f>129.2577 * CHOOSE(CONTROL!$C$9, $C$13, 100%, $E$13) + CHOOSE(CONTROL!$C$28, 0.0003, 0)</f>
        <v>129.25800000000001</v>
      </c>
      <c r="D907" s="4">
        <f>106.2814 * CHOOSE(CONTROL!$C$9, $C$13, 100%, $E$13) + CHOOSE(CONTROL!$C$28, 0, 0)</f>
        <v>106.2814</v>
      </c>
      <c r="E907" s="4">
        <f>700.64225557999 * CHOOSE(CONTROL!$C$9, $C$13, 100%, $E$13) + CHOOSE(CONTROL!$C$28, 0, 0)</f>
        <v>700.64225557998998</v>
      </c>
    </row>
    <row r="908" spans="1:5" ht="15">
      <c r="A908" s="13">
        <v>69153</v>
      </c>
      <c r="B908" s="4">
        <f>134.779 * CHOOSE(CONTROL!$C$9, $C$13, 100%, $E$13) + CHOOSE(CONTROL!$C$28, 0.0003, 0)</f>
        <v>134.77930000000001</v>
      </c>
      <c r="C908" s="4">
        <f>134.4665 * CHOOSE(CONTROL!$C$9, $C$13, 100%, $E$13) + CHOOSE(CONTROL!$C$28, 0.0003, 0)</f>
        <v>134.46680000000001</v>
      </c>
      <c r="D908" s="4">
        <f>109.359 * CHOOSE(CONTROL!$C$9, $C$13, 100%, $E$13) + CHOOSE(CONTROL!$C$28, 0, 0)</f>
        <v>109.35899999999999</v>
      </c>
      <c r="E908" s="4">
        <f>729.221868130498 * CHOOSE(CONTROL!$C$9, $C$13, 100%, $E$13) + CHOOSE(CONTROL!$C$28, 0, 0)</f>
        <v>729.22186813049802</v>
      </c>
    </row>
    <row r="909" spans="1:5" ht="15">
      <c r="A909" s="13">
        <v>69184</v>
      </c>
      <c r="B909" s="4">
        <f>137.9614 * CHOOSE(CONTROL!$C$9, $C$13, 100%, $E$13) + CHOOSE(CONTROL!$C$28, 0.0202, 0)</f>
        <v>137.98159999999999</v>
      </c>
      <c r="C909" s="4">
        <f>137.6489 * CHOOSE(CONTROL!$C$9, $C$13, 100%, $E$13) + CHOOSE(CONTROL!$C$28, 0.0202, 0)</f>
        <v>137.66909999999999</v>
      </c>
      <c r="D909" s="4">
        <f>108.1429 * CHOOSE(CONTROL!$C$9, $C$13, 100%, $E$13) + CHOOSE(CONTROL!$C$28, 0, 0)</f>
        <v>108.1429</v>
      </c>
      <c r="E909" s="4">
        <f>746.683326441141 * CHOOSE(CONTROL!$C$9, $C$13, 100%, $E$13) + CHOOSE(CONTROL!$C$28, 0, 0)</f>
        <v>746.68332644114105</v>
      </c>
    </row>
    <row r="910" spans="1:5" ht="15">
      <c r="A910" s="13">
        <v>69214</v>
      </c>
      <c r="B910" s="4">
        <f>138.392 * CHOOSE(CONTROL!$C$9, $C$13, 100%, $E$13) + CHOOSE(CONTROL!$C$28, 0.0202, 0)</f>
        <v>138.41219999999998</v>
      </c>
      <c r="C910" s="4">
        <f>138.0795 * CHOOSE(CONTROL!$C$9, $C$13, 100%, $E$13) + CHOOSE(CONTROL!$C$28, 0.0202, 0)</f>
        <v>138.09969999999998</v>
      </c>
      <c r="D910" s="4">
        <f>109.1333 * CHOOSE(CONTROL!$C$9, $C$13, 100%, $E$13) + CHOOSE(CONTROL!$C$28, 0, 0)</f>
        <v>109.13330000000001</v>
      </c>
      <c r="E910" s="4">
        <f>749.045934217112 * CHOOSE(CONTROL!$C$9, $C$13, 100%, $E$13) + CHOOSE(CONTROL!$C$28, 0, 0)</f>
        <v>749.04593421711195</v>
      </c>
    </row>
    <row r="911" spans="1:5" ht="15">
      <c r="A911" s="13">
        <v>69245</v>
      </c>
      <c r="B911" s="4">
        <f>138.3486 * CHOOSE(CONTROL!$C$9, $C$13, 100%, $E$13) + CHOOSE(CONTROL!$C$28, 0.0202, 0)</f>
        <v>138.36879999999999</v>
      </c>
      <c r="C911" s="4">
        <f>138.0361 * CHOOSE(CONTROL!$C$9, $C$13, 100%, $E$13) + CHOOSE(CONTROL!$C$28, 0.0202, 0)</f>
        <v>138.05629999999999</v>
      </c>
      <c r="D911" s="4">
        <f>110.9204 * CHOOSE(CONTROL!$C$9, $C$13, 100%, $E$13) + CHOOSE(CONTROL!$C$28, 0, 0)</f>
        <v>110.9204</v>
      </c>
      <c r="E911" s="4">
        <f>748.807688054829 * CHOOSE(CONTROL!$C$9, $C$13, 100%, $E$13) + CHOOSE(CONTROL!$C$28, 0, 0)</f>
        <v>748.80768805482899</v>
      </c>
    </row>
    <row r="912" spans="1:5" ht="15">
      <c r="A912" s="13">
        <v>69276</v>
      </c>
      <c r="B912" s="4">
        <f>141.616 * CHOOSE(CONTROL!$C$9, $C$13, 100%, $E$13) + CHOOSE(CONTROL!$C$28, 0.0202, 0)</f>
        <v>141.6362</v>
      </c>
      <c r="C912" s="4">
        <f>141.3035 * CHOOSE(CONTROL!$C$9, $C$13, 100%, $E$13) + CHOOSE(CONTROL!$C$28, 0.0202, 0)</f>
        <v>141.3237</v>
      </c>
      <c r="D912" s="4">
        <f>109.7402 * CHOOSE(CONTROL!$C$9, $C$13, 100%, $E$13) + CHOOSE(CONTROL!$C$28, 0, 0)</f>
        <v>109.7402</v>
      </c>
      <c r="E912" s="4">
        <f>766.73571176661 * CHOOSE(CONTROL!$C$9, $C$13, 100%, $E$13) + CHOOSE(CONTROL!$C$28, 0, 0)</f>
        <v>766.73571176661005</v>
      </c>
    </row>
    <row r="913" spans="1:5" ht="15">
      <c r="A913" s="13">
        <v>69306</v>
      </c>
      <c r="B913" s="4">
        <f>136.0472 * CHOOSE(CONTROL!$C$9, $C$13, 100%, $E$13) + CHOOSE(CONTROL!$C$28, 0.0202, 0)</f>
        <v>136.06739999999999</v>
      </c>
      <c r="C913" s="4">
        <f>135.7347 * CHOOSE(CONTROL!$C$9, $C$13, 100%, $E$13) + CHOOSE(CONTROL!$C$28, 0.0202, 0)</f>
        <v>135.75489999999999</v>
      </c>
      <c r="D913" s="4">
        <f>109.1826 * CHOOSE(CONTROL!$C$9, $C$13, 100%, $E$13) + CHOOSE(CONTROL!$C$28, 0, 0)</f>
        <v>109.18259999999999</v>
      </c>
      <c r="E913" s="4">
        <f>736.180641453841 * CHOOSE(CONTROL!$C$9, $C$13, 100%, $E$13) + CHOOSE(CONTROL!$C$28, 0, 0)</f>
        <v>736.18064145384096</v>
      </c>
    </row>
    <row r="914" spans="1:5" ht="15">
      <c r="A914" s="13">
        <v>69337</v>
      </c>
      <c r="B914" s="4">
        <f>131.5893 * CHOOSE(CONTROL!$C$9, $C$13, 100%, $E$13) + CHOOSE(CONTROL!$C$28, 0.0003, 0)</f>
        <v>131.58960000000002</v>
      </c>
      <c r="C914" s="4">
        <f>131.2768 * CHOOSE(CONTROL!$C$9, $C$13, 100%, $E$13) + CHOOSE(CONTROL!$C$28, 0.0003, 0)</f>
        <v>131.27710000000002</v>
      </c>
      <c r="D914" s="4">
        <f>107.6895 * CHOOSE(CONTROL!$C$9, $C$13, 100%, $E$13) + CHOOSE(CONTROL!$C$28, 0, 0)</f>
        <v>107.6895</v>
      </c>
      <c r="E914" s="4">
        <f>711.720702126141 * CHOOSE(CONTROL!$C$9, $C$13, 100%, $E$13) + CHOOSE(CONTROL!$C$28, 0, 0)</f>
        <v>711.72070212614096</v>
      </c>
    </row>
    <row r="915" spans="1:5" ht="15">
      <c r="A915" s="13">
        <v>69367</v>
      </c>
      <c r="B915" s="4">
        <f>128.7181 * CHOOSE(CONTROL!$C$9, $C$13, 100%, $E$13) + CHOOSE(CONTROL!$C$28, 0.0003, 0)</f>
        <v>128.7184</v>
      </c>
      <c r="C915" s="4">
        <f>128.4056 * CHOOSE(CONTROL!$C$9, $C$13, 100%, $E$13) + CHOOSE(CONTROL!$C$28, 0.0003, 0)</f>
        <v>128.4059</v>
      </c>
      <c r="D915" s="4">
        <f>107.1762 * CHOOSE(CONTROL!$C$9, $C$13, 100%, $E$13) + CHOOSE(CONTROL!$C$28, 0, 0)</f>
        <v>107.17619999999999</v>
      </c>
      <c r="E915" s="4">
        <f>695.966674645191 * CHOOSE(CONTROL!$C$9, $C$13, 100%, $E$13) + CHOOSE(CONTROL!$C$28, 0, 0)</f>
        <v>695.96667464519101</v>
      </c>
    </row>
    <row r="916" spans="1:5" ht="15">
      <c r="A916" s="13">
        <v>69398</v>
      </c>
      <c r="B916" s="4">
        <f>126.7315 * CHOOSE(CONTROL!$C$9, $C$13, 100%, $E$13) + CHOOSE(CONTROL!$C$28, 0.0003, 0)</f>
        <v>126.73179999999999</v>
      </c>
      <c r="C916" s="4">
        <f>126.419 * CHOOSE(CONTROL!$C$9, $C$13, 100%, $E$13) + CHOOSE(CONTROL!$C$28, 0.0003, 0)</f>
        <v>126.41929999999999</v>
      </c>
      <c r="D916" s="4">
        <f>103.3971 * CHOOSE(CONTROL!$C$9, $C$13, 100%, $E$13) + CHOOSE(CONTROL!$C$28, 0, 0)</f>
        <v>103.39709999999999</v>
      </c>
      <c r="E916" s="4">
        <f>685.066912720753 * CHOOSE(CONTROL!$C$9, $C$13, 100%, $E$13) + CHOOSE(CONTROL!$C$28, 0, 0)</f>
        <v>685.06691272075295</v>
      </c>
    </row>
    <row r="917" spans="1:5" ht="15">
      <c r="A917" s="13">
        <v>69429</v>
      </c>
      <c r="B917" s="4">
        <f>123.5038 * CHOOSE(CONTROL!$C$9, $C$13, 100%, $E$13) + CHOOSE(CONTROL!$C$28, 0.0003, 0)</f>
        <v>123.50409999999999</v>
      </c>
      <c r="C917" s="4">
        <f>123.1913 * CHOOSE(CONTROL!$C$9, $C$13, 100%, $E$13) + CHOOSE(CONTROL!$C$28, 0.0003, 0)</f>
        <v>123.19159999999999</v>
      </c>
      <c r="D917" s="4">
        <f>99.9237 * CHOOSE(CONTROL!$C$9, $C$13, 100%, $E$13) + CHOOSE(CONTROL!$C$28, 0, 0)</f>
        <v>99.923699999999997</v>
      </c>
      <c r="E917" s="4">
        <f>665.421804246245 * CHOOSE(CONTROL!$C$9, $C$13, 100%, $E$13) + CHOOSE(CONTROL!$C$28, 0, 0)</f>
        <v>665.42180424624496</v>
      </c>
    </row>
    <row r="918" spans="1:5" ht="15">
      <c r="A918" s="13">
        <v>69457</v>
      </c>
      <c r="B918" s="4">
        <f>126.3918 * CHOOSE(CONTROL!$C$9, $C$13, 100%, $E$13) + CHOOSE(CONTROL!$C$28, 0.0003, 0)</f>
        <v>126.3921</v>
      </c>
      <c r="C918" s="4">
        <f>126.0793 * CHOOSE(CONTROL!$C$9, $C$13, 100%, $E$13) + CHOOSE(CONTROL!$C$28, 0.0003, 0)</f>
        <v>126.0796</v>
      </c>
      <c r="D918" s="4">
        <f>103.4214 * CHOOSE(CONTROL!$C$9, $C$13, 100%, $E$13) + CHOOSE(CONTROL!$C$28, 0, 0)</f>
        <v>103.42140000000001</v>
      </c>
      <c r="E918" s="4">
        <f>681.221540246121 * CHOOSE(CONTROL!$C$9, $C$13, 100%, $E$13) + CHOOSE(CONTROL!$C$28, 0, 0)</f>
        <v>681.22154024612098</v>
      </c>
    </row>
    <row r="919" spans="1:5" ht="15">
      <c r="A919" s="13">
        <v>69488</v>
      </c>
      <c r="B919" s="4">
        <f>133.9757 * CHOOSE(CONTROL!$C$9, $C$13, 100%, $E$13) + CHOOSE(CONTROL!$C$28, 0.0003, 0)</f>
        <v>133.976</v>
      </c>
      <c r="C919" s="4">
        <f>133.6632 * CHOOSE(CONTROL!$C$9, $C$13, 100%, $E$13) + CHOOSE(CONTROL!$C$28, 0.0003, 0)</f>
        <v>133.6635</v>
      </c>
      <c r="D919" s="4">
        <f>108.8967 * CHOOSE(CONTROL!$C$9, $C$13, 100%, $E$13) + CHOOSE(CONTROL!$C$28, 0, 0)</f>
        <v>108.8967</v>
      </c>
      <c r="E919" s="4">
        <f>722.71248663076 * CHOOSE(CONTROL!$C$9, $C$13, 100%, $E$13) + CHOOSE(CONTROL!$C$28, 0, 0)</f>
        <v>722.71248663076005</v>
      </c>
    </row>
    <row r="920" spans="1:5" ht="15">
      <c r="A920" s="13">
        <v>69518</v>
      </c>
      <c r="B920" s="4">
        <f>139.3642 * CHOOSE(CONTROL!$C$9, $C$13, 100%, $E$13) + CHOOSE(CONTROL!$C$28, 0.0003, 0)</f>
        <v>139.36450000000002</v>
      </c>
      <c r="C920" s="4">
        <f>139.0517 * CHOOSE(CONTROL!$C$9, $C$13, 100%, $E$13) + CHOOSE(CONTROL!$C$28, 0.0003, 0)</f>
        <v>139.05200000000002</v>
      </c>
      <c r="D920" s="4">
        <f>112.0507 * CHOOSE(CONTROL!$C$9, $C$13, 100%, $E$13) + CHOOSE(CONTROL!$C$28, 0, 0)</f>
        <v>112.05070000000001</v>
      </c>
      <c r="E920" s="4">
        <f>752.192356976608 * CHOOSE(CONTROL!$C$9, $C$13, 100%, $E$13) + CHOOSE(CONTROL!$C$28, 0, 0)</f>
        <v>752.19235697660804</v>
      </c>
    </row>
    <row r="921" spans="1:5" ht="15">
      <c r="A921" s="13">
        <v>69549</v>
      </c>
      <c r="B921" s="4">
        <f>142.6564 * CHOOSE(CONTROL!$C$9, $C$13, 100%, $E$13) + CHOOSE(CONTROL!$C$28, 0.0202, 0)</f>
        <v>142.67659999999998</v>
      </c>
      <c r="C921" s="4">
        <f>142.3439 * CHOOSE(CONTROL!$C$9, $C$13, 100%, $E$13) + CHOOSE(CONTROL!$C$28, 0.0202, 0)</f>
        <v>142.36409999999998</v>
      </c>
      <c r="D921" s="4">
        <f>110.8044 * CHOOSE(CONTROL!$C$9, $C$13, 100%, $E$13) + CHOOSE(CONTROL!$C$28, 0, 0)</f>
        <v>110.8044</v>
      </c>
      <c r="E921" s="4">
        <f>770.203851224037 * CHOOSE(CONTROL!$C$9, $C$13, 100%, $E$13) + CHOOSE(CONTROL!$C$28, 0, 0)</f>
        <v>770.20385122403695</v>
      </c>
    </row>
    <row r="922" spans="1:5" ht="15">
      <c r="A922" s="13">
        <v>69579</v>
      </c>
      <c r="B922" s="4">
        <f>143.1018 * CHOOSE(CONTROL!$C$9, $C$13, 100%, $E$13) + CHOOSE(CONTROL!$C$28, 0.0202, 0)</f>
        <v>143.12199999999999</v>
      </c>
      <c r="C922" s="4">
        <f>142.7893 * CHOOSE(CONTROL!$C$9, $C$13, 100%, $E$13) + CHOOSE(CONTROL!$C$28, 0.0202, 0)</f>
        <v>142.80949999999999</v>
      </c>
      <c r="D922" s="4">
        <f>111.8194 * CHOOSE(CONTROL!$C$9, $C$13, 100%, $E$13) + CHOOSE(CONTROL!$C$28, 0, 0)</f>
        <v>111.8194</v>
      </c>
      <c r="E922" s="4">
        <f>772.640881144951 * CHOOSE(CONTROL!$C$9, $C$13, 100%, $E$13) + CHOOSE(CONTROL!$C$28, 0, 0)</f>
        <v>772.64088114495098</v>
      </c>
    </row>
    <row r="923" spans="1:5" ht="15">
      <c r="A923" s="13">
        <v>69610</v>
      </c>
      <c r="B923" s="4">
        <f>143.0569 * CHOOSE(CONTROL!$C$9, $C$13, 100%, $E$13) + CHOOSE(CONTROL!$C$28, 0.0202, 0)</f>
        <v>143.0771</v>
      </c>
      <c r="C923" s="4">
        <f>142.7444 * CHOOSE(CONTROL!$C$9, $C$13, 100%, $E$13) + CHOOSE(CONTROL!$C$28, 0.0202, 0)</f>
        <v>142.7646</v>
      </c>
      <c r="D923" s="4">
        <f>113.6508 * CHOOSE(CONTROL!$C$9, $C$13, 100%, $E$13) + CHOOSE(CONTROL!$C$28, 0, 0)</f>
        <v>113.6508</v>
      </c>
      <c r="E923" s="4">
        <f>772.395130228556 * CHOOSE(CONTROL!$C$9, $C$13, 100%, $E$13) + CHOOSE(CONTROL!$C$28, 0, 0)</f>
        <v>772.39513022855601</v>
      </c>
    </row>
    <row r="924" spans="1:5" ht="15">
      <c r="A924" s="13">
        <v>69641</v>
      </c>
      <c r="B924" s="4">
        <f>146.4371 * CHOOSE(CONTROL!$C$9, $C$13, 100%, $E$13) + CHOOSE(CONTROL!$C$28, 0.0202, 0)</f>
        <v>146.45729999999998</v>
      </c>
      <c r="C924" s="4">
        <f>146.1246 * CHOOSE(CONTROL!$C$9, $C$13, 100%, $E$13) + CHOOSE(CONTROL!$C$28, 0.0202, 0)</f>
        <v>146.14479999999998</v>
      </c>
      <c r="D924" s="4">
        <f>112.4413 * CHOOSE(CONTROL!$C$9, $C$13, 100%, $E$13) + CHOOSE(CONTROL!$C$28, 0, 0)</f>
        <v>112.4413</v>
      </c>
      <c r="E924" s="4">
        <f>790.887886687258 * CHOOSE(CONTROL!$C$9, $C$13, 100%, $E$13) + CHOOSE(CONTROL!$C$28, 0, 0)</f>
        <v>790.88788668725795</v>
      </c>
    </row>
    <row r="925" spans="1:5" ht="15">
      <c r="A925" s="13">
        <v>69671</v>
      </c>
      <c r="B925" s="4">
        <f>140.6762 * CHOOSE(CONTROL!$C$9, $C$13, 100%, $E$13) + CHOOSE(CONTROL!$C$28, 0.0202, 0)</f>
        <v>140.69639999999998</v>
      </c>
      <c r="C925" s="4">
        <f>140.3637 * CHOOSE(CONTROL!$C$9, $C$13, 100%, $E$13) + CHOOSE(CONTROL!$C$28, 0.0202, 0)</f>
        <v>140.38389999999998</v>
      </c>
      <c r="D925" s="4">
        <f>111.8699 * CHOOSE(CONTROL!$C$9, $C$13, 100%, $E$13) + CHOOSE(CONTROL!$C$28, 0, 0)</f>
        <v>111.8699</v>
      </c>
      <c r="E925" s="4">
        <f>759.370331659637 * CHOOSE(CONTROL!$C$9, $C$13, 100%, $E$13) + CHOOSE(CONTROL!$C$28, 0, 0)</f>
        <v>759.37033165963703</v>
      </c>
    </row>
    <row r="926" spans="1:5" ht="15">
      <c r="A926" s="13">
        <v>69702</v>
      </c>
      <c r="B926" s="4">
        <f>136.0644 * CHOOSE(CONTROL!$C$9, $C$13, 100%, $E$13) + CHOOSE(CONTROL!$C$28, 0.0003, 0)</f>
        <v>136.06470000000002</v>
      </c>
      <c r="C926" s="4">
        <f>135.7519 * CHOOSE(CONTROL!$C$9, $C$13, 100%, $E$13) + CHOOSE(CONTROL!$C$28, 0.0003, 0)</f>
        <v>135.75220000000002</v>
      </c>
      <c r="D926" s="4">
        <f>110.3398 * CHOOSE(CONTROL!$C$9, $C$13, 100%, $E$13) + CHOOSE(CONTROL!$C$28, 0, 0)</f>
        <v>110.3398</v>
      </c>
      <c r="E926" s="4">
        <f>734.139904243114 * CHOOSE(CONTROL!$C$9, $C$13, 100%, $E$13) + CHOOSE(CONTROL!$C$28, 0, 0)</f>
        <v>734.13990424311396</v>
      </c>
    </row>
    <row r="927" spans="1:5" ht="15">
      <c r="A927" s="13">
        <v>69732</v>
      </c>
      <c r="B927" s="4">
        <f>133.0941 * CHOOSE(CONTROL!$C$9, $C$13, 100%, $E$13) + CHOOSE(CONTROL!$C$28, 0.0003, 0)</f>
        <v>133.09440000000001</v>
      </c>
      <c r="C927" s="4">
        <f>132.7816 * CHOOSE(CONTROL!$C$9, $C$13, 100%, $E$13) + CHOOSE(CONTROL!$C$28, 0.0003, 0)</f>
        <v>132.78190000000001</v>
      </c>
      <c r="D927" s="4">
        <f>109.8137 * CHOOSE(CONTROL!$C$9, $C$13, 100%, $E$13) + CHOOSE(CONTROL!$C$28, 0, 0)</f>
        <v>109.8137</v>
      </c>
      <c r="E927" s="4">
        <f>717.889624896514 * CHOOSE(CONTROL!$C$9, $C$13, 100%, $E$13) + CHOOSE(CONTROL!$C$28, 0, 0)</f>
        <v>717.88962489651396</v>
      </c>
    </row>
    <row r="928" spans="1:5" ht="15">
      <c r="A928" s="13">
        <v>69763</v>
      </c>
      <c r="B928" s="4">
        <f>131.0391 * CHOOSE(CONTROL!$C$9, $C$13, 100%, $E$13) + CHOOSE(CONTROL!$C$28, 0.0003, 0)</f>
        <v>131.0394</v>
      </c>
      <c r="C928" s="4">
        <f>130.7266 * CHOOSE(CONTROL!$C$9, $C$13, 100%, $E$13) + CHOOSE(CONTROL!$C$28, 0.0003, 0)</f>
        <v>130.7269</v>
      </c>
      <c r="D928" s="4">
        <f>105.9409 * CHOOSE(CONTROL!$C$9, $C$13, 100%, $E$13) + CHOOSE(CONTROL!$C$28, 0, 0)</f>
        <v>105.9409</v>
      </c>
      <c r="E928" s="4">
        <f>706.646520471456 * CHOOSE(CONTROL!$C$9, $C$13, 100%, $E$13) + CHOOSE(CONTROL!$C$28, 0, 0)</f>
        <v>706.64652047145603</v>
      </c>
    </row>
    <row r="929" spans="1:5" ht="15">
      <c r="A929" s="13">
        <v>69794</v>
      </c>
      <c r="B929" s="4">
        <f>127.7 * CHOOSE(CONTROL!$C$9, $C$13, 100%, $E$13) + CHOOSE(CONTROL!$C$28, 0.0003, 0)</f>
        <v>127.7003</v>
      </c>
      <c r="C929" s="4">
        <f>127.3875 * CHOOSE(CONTROL!$C$9, $C$13, 100%, $E$13) + CHOOSE(CONTROL!$C$28, 0.0003, 0)</f>
        <v>127.3878</v>
      </c>
      <c r="D929" s="4">
        <f>102.3814 * CHOOSE(CONTROL!$C$9, $C$13, 100%, $E$13) + CHOOSE(CONTROL!$C$28, 0, 0)</f>
        <v>102.3814</v>
      </c>
      <c r="E929" s="4">
        <f>686.382591080001 * CHOOSE(CONTROL!$C$9, $C$13, 100%, $E$13) + CHOOSE(CONTROL!$C$28, 0, 0)</f>
        <v>686.38259108000102</v>
      </c>
    </row>
    <row r="930" spans="1:5" ht="15">
      <c r="A930" s="13">
        <v>69822</v>
      </c>
      <c r="B930" s="4">
        <f>130.6876 * CHOOSE(CONTROL!$C$9, $C$13, 100%, $E$13) + CHOOSE(CONTROL!$C$28, 0.0003, 0)</f>
        <v>130.68790000000001</v>
      </c>
      <c r="C930" s="4">
        <f>130.3751 * CHOOSE(CONTROL!$C$9, $C$13, 100%, $E$13) + CHOOSE(CONTROL!$C$28, 0.0003, 0)</f>
        <v>130.37540000000001</v>
      </c>
      <c r="D930" s="4">
        <f>105.9658 * CHOOSE(CONTROL!$C$9, $C$13, 100%, $E$13) + CHOOSE(CONTROL!$C$28, 0, 0)</f>
        <v>105.9658</v>
      </c>
      <c r="E930" s="4">
        <f>702.680018763874 * CHOOSE(CONTROL!$C$9, $C$13, 100%, $E$13) + CHOOSE(CONTROL!$C$28, 0, 0)</f>
        <v>702.68001876387405</v>
      </c>
    </row>
    <row r="931" spans="1:5" ht="15">
      <c r="A931" s="13">
        <v>69853</v>
      </c>
      <c r="B931" s="4">
        <f>138.5332 * CHOOSE(CONTROL!$C$9, $C$13, 100%, $E$13) + CHOOSE(CONTROL!$C$28, 0.0003, 0)</f>
        <v>138.5335</v>
      </c>
      <c r="C931" s="4">
        <f>138.2207 * CHOOSE(CONTROL!$C$9, $C$13, 100%, $E$13) + CHOOSE(CONTROL!$C$28, 0.0003, 0)</f>
        <v>138.221</v>
      </c>
      <c r="D931" s="4">
        <f>111.577 * CHOOSE(CONTROL!$C$9, $C$13, 100%, $E$13) + CHOOSE(CONTROL!$C$28, 0, 0)</f>
        <v>111.577</v>
      </c>
      <c r="E931" s="4">
        <f>745.477929959629 * CHOOSE(CONTROL!$C$9, $C$13, 100%, $E$13) + CHOOSE(CONTROL!$C$28, 0, 0)</f>
        <v>745.47792995962902</v>
      </c>
    </row>
    <row r="932" spans="1:5" ht="15">
      <c r="A932" s="13">
        <v>69883</v>
      </c>
      <c r="B932" s="4">
        <f>144.1075 * CHOOSE(CONTROL!$C$9, $C$13, 100%, $E$13) + CHOOSE(CONTROL!$C$28, 0.0003, 0)</f>
        <v>144.1078</v>
      </c>
      <c r="C932" s="4">
        <f>143.795 * CHOOSE(CONTROL!$C$9, $C$13, 100%, $E$13) + CHOOSE(CONTROL!$C$28, 0.0003, 0)</f>
        <v>143.7953</v>
      </c>
      <c r="D932" s="4">
        <f>114.8091 * CHOOSE(CONTROL!$C$9, $C$13, 100%, $E$13) + CHOOSE(CONTROL!$C$28, 0, 0)</f>
        <v>114.8091</v>
      </c>
      <c r="E932" s="4">
        <f>775.886416221372 * CHOOSE(CONTROL!$C$9, $C$13, 100%, $E$13) + CHOOSE(CONTROL!$C$28, 0, 0)</f>
        <v>775.88641622137197</v>
      </c>
    </row>
    <row r="933" spans="1:5" ht="15">
      <c r="A933" s="13">
        <v>69914</v>
      </c>
      <c r="B933" s="4">
        <f>147.5133 * CHOOSE(CONTROL!$C$9, $C$13, 100%, $E$13) + CHOOSE(CONTROL!$C$28, 0.0202, 0)</f>
        <v>147.53349999999998</v>
      </c>
      <c r="C933" s="4">
        <f>147.2008 * CHOOSE(CONTROL!$C$9, $C$13, 100%, $E$13) + CHOOSE(CONTROL!$C$28, 0.0202, 0)</f>
        <v>147.22099999999998</v>
      </c>
      <c r="D933" s="4">
        <f>113.5319 * CHOOSE(CONTROL!$C$9, $C$13, 100%, $E$13) + CHOOSE(CONTROL!$C$28, 0, 0)</f>
        <v>113.53189999999999</v>
      </c>
      <c r="E933" s="4">
        <f>794.465272537594 * CHOOSE(CONTROL!$C$9, $C$13, 100%, $E$13) + CHOOSE(CONTROL!$C$28, 0, 0)</f>
        <v>794.46527253759405</v>
      </c>
    </row>
    <row r="934" spans="1:5" ht="15">
      <c r="A934" s="13">
        <v>69944</v>
      </c>
      <c r="B934" s="4">
        <f>147.9742 * CHOOSE(CONTROL!$C$9, $C$13, 100%, $E$13) + CHOOSE(CONTROL!$C$28, 0.0202, 0)</f>
        <v>147.99439999999998</v>
      </c>
      <c r="C934" s="4">
        <f>147.6617 * CHOOSE(CONTROL!$C$9, $C$13, 100%, $E$13) + CHOOSE(CONTROL!$C$28, 0.0202, 0)</f>
        <v>147.68189999999998</v>
      </c>
      <c r="D934" s="4">
        <f>114.5721 * CHOOSE(CONTROL!$C$9, $C$13, 100%, $E$13) + CHOOSE(CONTROL!$C$28, 0, 0)</f>
        <v>114.57210000000001</v>
      </c>
      <c r="E934" s="4">
        <f>796.979068901017 * CHOOSE(CONTROL!$C$9, $C$13, 100%, $E$13) + CHOOSE(CONTROL!$C$28, 0, 0)</f>
        <v>796.97906890101694</v>
      </c>
    </row>
    <row r="935" spans="1:5" ht="15">
      <c r="A935" s="13">
        <v>69975</v>
      </c>
      <c r="B935" s="4">
        <f>147.9277 * CHOOSE(CONTROL!$C$9, $C$13, 100%, $E$13) + CHOOSE(CONTROL!$C$28, 0.0202, 0)</f>
        <v>147.94789999999998</v>
      </c>
      <c r="C935" s="4">
        <f>147.6152 * CHOOSE(CONTROL!$C$9, $C$13, 100%, $E$13) + CHOOSE(CONTROL!$C$28, 0.0202, 0)</f>
        <v>147.63539999999998</v>
      </c>
      <c r="D935" s="4">
        <f>116.449 * CHOOSE(CONTROL!$C$9, $C$13, 100%, $E$13) + CHOOSE(CONTROL!$C$28, 0, 0)</f>
        <v>116.449</v>
      </c>
      <c r="E935" s="4">
        <f>796.725576830756 * CHOOSE(CONTROL!$C$9, $C$13, 100%, $E$13) + CHOOSE(CONTROL!$C$28, 0, 0)</f>
        <v>796.72557683075604</v>
      </c>
    </row>
    <row r="936" spans="1:5" ht="15">
      <c r="A936" s="13">
        <v>70006</v>
      </c>
      <c r="B936" s="4">
        <f>151.4245 * CHOOSE(CONTROL!$C$9, $C$13, 100%, $E$13) + CHOOSE(CONTROL!$C$28, 0.0202, 0)</f>
        <v>151.44469999999998</v>
      </c>
      <c r="C936" s="4">
        <f>151.112 * CHOOSE(CONTROL!$C$9, $C$13, 100%, $E$13) + CHOOSE(CONTROL!$C$28, 0.0202, 0)</f>
        <v>151.13219999999998</v>
      </c>
      <c r="D936" s="4">
        <f>115.2095 * CHOOSE(CONTROL!$C$9, $C$13, 100%, $E$13) + CHOOSE(CONTROL!$C$28, 0, 0)</f>
        <v>115.20950000000001</v>
      </c>
      <c r="E936" s="4">
        <f>815.800855117906 * CHOOSE(CONTROL!$C$9, $C$13, 100%, $E$13) + CHOOSE(CONTROL!$C$28, 0, 0)</f>
        <v>815.80085511790605</v>
      </c>
    </row>
    <row r="937" spans="1:5" ht="15">
      <c r="A937" s="13">
        <v>70036</v>
      </c>
      <c r="B937" s="4">
        <f>145.4648 * CHOOSE(CONTROL!$C$9, $C$13, 100%, $E$13) + CHOOSE(CONTROL!$C$28, 0.0202, 0)</f>
        <v>145.48499999999999</v>
      </c>
      <c r="C937" s="4">
        <f>145.1523 * CHOOSE(CONTROL!$C$9, $C$13, 100%, $E$13) + CHOOSE(CONTROL!$C$28, 0.0202, 0)</f>
        <v>145.17249999999999</v>
      </c>
      <c r="D937" s="4">
        <f>114.6239 * CHOOSE(CONTROL!$C$9, $C$13, 100%, $E$13) + CHOOSE(CONTROL!$C$28, 0, 0)</f>
        <v>114.62390000000001</v>
      </c>
      <c r="E937" s="4">
        <f>783.290497106916 * CHOOSE(CONTROL!$C$9, $C$13, 100%, $E$13) + CHOOSE(CONTROL!$C$28, 0, 0)</f>
        <v>783.29049710691595</v>
      </c>
    </row>
    <row r="938" spans="1:5" ht="15">
      <c r="A938" s="13">
        <v>70067</v>
      </c>
      <c r="B938" s="4">
        <f>140.694 * CHOOSE(CONTROL!$C$9, $C$13, 100%, $E$13) + CHOOSE(CONTROL!$C$28, 0.0003, 0)</f>
        <v>140.6943</v>
      </c>
      <c r="C938" s="4">
        <f>140.3815 * CHOOSE(CONTROL!$C$9, $C$13, 100%, $E$13) + CHOOSE(CONTROL!$C$28, 0.0003, 0)</f>
        <v>140.3818</v>
      </c>
      <c r="D938" s="4">
        <f>113.0558 * CHOOSE(CONTROL!$C$9, $C$13, 100%, $E$13) + CHOOSE(CONTROL!$C$28, 0, 0)</f>
        <v>113.0558</v>
      </c>
      <c r="E938" s="4">
        <f>757.265311226772 * CHOOSE(CONTROL!$C$9, $C$13, 100%, $E$13) + CHOOSE(CONTROL!$C$28, 0, 0)</f>
        <v>757.26531122677204</v>
      </c>
    </row>
    <row r="939" spans="1:5" ht="15">
      <c r="A939" s="13">
        <v>70097</v>
      </c>
      <c r="B939" s="4">
        <f>137.6212 * CHOOSE(CONTROL!$C$9, $C$13, 100%, $E$13) + CHOOSE(CONTROL!$C$28, 0.0003, 0)</f>
        <v>137.6215</v>
      </c>
      <c r="C939" s="4">
        <f>137.3087 * CHOOSE(CONTROL!$C$9, $C$13, 100%, $E$13) + CHOOSE(CONTROL!$C$28, 0.0003, 0)</f>
        <v>137.309</v>
      </c>
      <c r="D939" s="4">
        <f>112.5167 * CHOOSE(CONTROL!$C$9, $C$13, 100%, $E$13) + CHOOSE(CONTROL!$C$28, 0, 0)</f>
        <v>112.5167</v>
      </c>
      <c r="E939" s="4">
        <f>740.503148080754 * CHOOSE(CONTROL!$C$9, $C$13, 100%, $E$13) + CHOOSE(CONTROL!$C$28, 0, 0)</f>
        <v>740.50314808075404</v>
      </c>
    </row>
    <row r="940" spans="1:5" ht="15">
      <c r="A940" s="13">
        <v>70128</v>
      </c>
      <c r="B940" s="4">
        <f>135.4952 * CHOOSE(CONTROL!$C$9, $C$13, 100%, $E$13) + CHOOSE(CONTROL!$C$28, 0.0003, 0)</f>
        <v>135.49550000000002</v>
      </c>
      <c r="C940" s="4">
        <f>135.1827 * CHOOSE(CONTROL!$C$9, $C$13, 100%, $E$13) + CHOOSE(CONTROL!$C$28, 0.0003, 0)</f>
        <v>135.18300000000002</v>
      </c>
      <c r="D940" s="4">
        <f>108.5478 * CHOOSE(CONTROL!$C$9, $C$13, 100%, $E$13) + CHOOSE(CONTROL!$C$28, 0, 0)</f>
        <v>108.5478</v>
      </c>
      <c r="E940" s="4">
        <f>728.905885866307 * CHOOSE(CONTROL!$C$9, $C$13, 100%, $E$13) + CHOOSE(CONTROL!$C$28, 0, 0)</f>
        <v>728.90588586630702</v>
      </c>
    </row>
    <row r="941" spans="1:5" ht="15">
      <c r="A941" s="13">
        <v>70159</v>
      </c>
      <c r="B941" s="4">
        <f>132.041 * CHOOSE(CONTROL!$C$9, $C$13, 100%, $E$13) + CHOOSE(CONTROL!$C$28, 0.0003, 0)</f>
        <v>132.04130000000001</v>
      </c>
      <c r="C941" s="4">
        <f>131.7285 * CHOOSE(CONTROL!$C$9, $C$13, 100%, $E$13) + CHOOSE(CONTROL!$C$28, 0.0003, 0)</f>
        <v>131.72880000000001</v>
      </c>
      <c r="D941" s="4">
        <f>104.9001 * CHOOSE(CONTROL!$C$9, $C$13, 100%, $E$13) + CHOOSE(CONTROL!$C$28, 0, 0)</f>
        <v>104.90009999999999</v>
      </c>
      <c r="E941" s="4">
        <f>708.003642699022 * CHOOSE(CONTROL!$C$9, $C$13, 100%, $E$13) + CHOOSE(CONTROL!$C$28, 0, 0)</f>
        <v>708.00364269902195</v>
      </c>
    </row>
    <row r="942" spans="1:5" ht="15">
      <c r="A942" s="13">
        <v>70188</v>
      </c>
      <c r="B942" s="4">
        <f>135.1316 * CHOOSE(CONTROL!$C$9, $C$13, 100%, $E$13) + CHOOSE(CONTROL!$C$28, 0.0003, 0)</f>
        <v>135.1319</v>
      </c>
      <c r="C942" s="4">
        <f>134.8191 * CHOOSE(CONTROL!$C$9, $C$13, 100%, $E$13) + CHOOSE(CONTROL!$C$28, 0.0003, 0)</f>
        <v>134.8194</v>
      </c>
      <c r="D942" s="4">
        <f>108.5734 * CHOOSE(CONTROL!$C$9, $C$13, 100%, $E$13) + CHOOSE(CONTROL!$C$28, 0, 0)</f>
        <v>108.57340000000001</v>
      </c>
      <c r="E942" s="4">
        <f>724.814439354936 * CHOOSE(CONTROL!$C$9, $C$13, 100%, $E$13) + CHOOSE(CONTROL!$C$28, 0, 0)</f>
        <v>724.81443935493598</v>
      </c>
    </row>
    <row r="943" spans="1:5" ht="15">
      <c r="A943" s="13">
        <v>70219</v>
      </c>
      <c r="B943" s="4">
        <f>143.2479 * CHOOSE(CONTROL!$C$9, $C$13, 100%, $E$13) + CHOOSE(CONTROL!$C$28, 0.0003, 0)</f>
        <v>143.2482</v>
      </c>
      <c r="C943" s="4">
        <f>142.9354 * CHOOSE(CONTROL!$C$9, $C$13, 100%, $E$13) + CHOOSE(CONTROL!$C$28, 0.0003, 0)</f>
        <v>142.9357</v>
      </c>
      <c r="D943" s="4">
        <f>114.3237 * CHOOSE(CONTROL!$C$9, $C$13, 100%, $E$13) + CHOOSE(CONTROL!$C$28, 0, 0)</f>
        <v>114.3237</v>
      </c>
      <c r="E943" s="4">
        <f>768.960484753357 * CHOOSE(CONTROL!$C$9, $C$13, 100%, $E$13) + CHOOSE(CONTROL!$C$28, 0, 0)</f>
        <v>768.96048475335704</v>
      </c>
    </row>
    <row r="944" spans="1:5" ht="15">
      <c r="A944" s="13">
        <v>70249</v>
      </c>
      <c r="B944" s="4">
        <f>149.0145 * CHOOSE(CONTROL!$C$9, $C$13, 100%, $E$13) + CHOOSE(CONTROL!$C$28, 0.0003, 0)</f>
        <v>149.01480000000001</v>
      </c>
      <c r="C944" s="4">
        <f>148.702 * CHOOSE(CONTROL!$C$9, $C$13, 100%, $E$13) + CHOOSE(CONTROL!$C$28, 0.0003, 0)</f>
        <v>148.70230000000001</v>
      </c>
      <c r="D944" s="4">
        <f>117.636 * CHOOSE(CONTROL!$C$9, $C$13, 100%, $E$13) + CHOOSE(CONTROL!$C$28, 0, 0)</f>
        <v>117.636</v>
      </c>
      <c r="E944" s="4">
        <f>800.326838332345 * CHOOSE(CONTROL!$C$9, $C$13, 100%, $E$13) + CHOOSE(CONTROL!$C$28, 0, 0)</f>
        <v>800.32683833234501</v>
      </c>
    </row>
    <row r="945" spans="1:5" ht="15">
      <c r="A945" s="13">
        <v>70280</v>
      </c>
      <c r="B945" s="4">
        <f>152.5379 * CHOOSE(CONTROL!$C$9, $C$13, 100%, $E$13) + CHOOSE(CONTROL!$C$28, 0.0202, 0)</f>
        <v>152.5581</v>
      </c>
      <c r="C945" s="4">
        <f>152.2254 * CHOOSE(CONTROL!$C$9, $C$13, 100%, $E$13) + CHOOSE(CONTROL!$C$28, 0.0202, 0)</f>
        <v>152.2456</v>
      </c>
      <c r="D945" s="4">
        <f>116.3271 * CHOOSE(CONTROL!$C$9, $C$13, 100%, $E$13) + CHOOSE(CONTROL!$C$28, 0, 0)</f>
        <v>116.3271</v>
      </c>
      <c r="E945" s="4">
        <f>819.490928622528 * CHOOSE(CONTROL!$C$9, $C$13, 100%, $E$13) + CHOOSE(CONTROL!$C$28, 0, 0)</f>
        <v>819.49092862252803</v>
      </c>
    </row>
    <row r="946" spans="1:5" ht="15">
      <c r="A946" s="13">
        <v>70310</v>
      </c>
      <c r="B946" s="4">
        <f>153.0146 * CHOOSE(CONTROL!$C$9, $C$13, 100%, $E$13) + CHOOSE(CONTROL!$C$28, 0.0202, 0)</f>
        <v>153.03479999999999</v>
      </c>
      <c r="C946" s="4">
        <f>152.7021 * CHOOSE(CONTROL!$C$9, $C$13, 100%, $E$13) + CHOOSE(CONTROL!$C$28, 0.0202, 0)</f>
        <v>152.72229999999999</v>
      </c>
      <c r="D946" s="4">
        <f>117.3931 * CHOOSE(CONTROL!$C$9, $C$13, 100%, $E$13) + CHOOSE(CONTROL!$C$28, 0, 0)</f>
        <v>117.3931</v>
      </c>
      <c r="E946" s="4">
        <f>822.083909571399 * CHOOSE(CONTROL!$C$9, $C$13, 100%, $E$13) + CHOOSE(CONTROL!$C$28, 0, 0)</f>
        <v>822.08390957139898</v>
      </c>
    </row>
    <row r="947" spans="1:5" ht="15">
      <c r="A947" s="13">
        <v>70341</v>
      </c>
      <c r="B947" s="4">
        <f>152.9665 * CHOOSE(CONTROL!$C$9, $C$13, 100%, $E$13) + CHOOSE(CONTROL!$C$28, 0.0202, 0)</f>
        <v>152.98669999999998</v>
      </c>
      <c r="C947" s="4">
        <f>152.654 * CHOOSE(CONTROL!$C$9, $C$13, 100%, $E$13) + CHOOSE(CONTROL!$C$28, 0.0202, 0)</f>
        <v>152.67419999999998</v>
      </c>
      <c r="D947" s="4">
        <f>119.3165 * CHOOSE(CONTROL!$C$9, $C$13, 100%, $E$13) + CHOOSE(CONTROL!$C$28, 0, 0)</f>
        <v>119.3165</v>
      </c>
      <c r="E947" s="4">
        <f>821.822432500925 * CHOOSE(CONTROL!$C$9, $C$13, 100%, $E$13) + CHOOSE(CONTROL!$C$28, 0, 0)</f>
        <v>821.82243250092495</v>
      </c>
    </row>
    <row r="948" spans="1:5" ht="15">
      <c r="A948" s="13">
        <v>70372</v>
      </c>
      <c r="B948" s="4">
        <f>156.5839 * CHOOSE(CONTROL!$C$9, $C$13, 100%, $E$13) + CHOOSE(CONTROL!$C$28, 0.0202, 0)</f>
        <v>156.60409999999999</v>
      </c>
      <c r="C948" s="4">
        <f>156.2714 * CHOOSE(CONTROL!$C$9, $C$13, 100%, $E$13) + CHOOSE(CONTROL!$C$28, 0.0202, 0)</f>
        <v>156.29159999999999</v>
      </c>
      <c r="D948" s="4">
        <f>118.0463 * CHOOSE(CONTROL!$C$9, $C$13, 100%, $E$13) + CHOOSE(CONTROL!$C$28, 0, 0)</f>
        <v>118.0463</v>
      </c>
      <c r="E948" s="4">
        <f>841.49858205412 * CHOOSE(CONTROL!$C$9, $C$13, 100%, $E$13) + CHOOSE(CONTROL!$C$28, 0, 0)</f>
        <v>841.49858205411999</v>
      </c>
    </row>
    <row r="949" spans="1:5" ht="15">
      <c r="A949" s="13">
        <v>70402</v>
      </c>
      <c r="B949" s="4">
        <f>150.4187 * CHOOSE(CONTROL!$C$9, $C$13, 100%, $E$13) + CHOOSE(CONTROL!$C$28, 0.0202, 0)</f>
        <v>150.43889999999999</v>
      </c>
      <c r="C949" s="4">
        <f>150.1062 * CHOOSE(CONTROL!$C$9, $C$13, 100%, $E$13) + CHOOSE(CONTROL!$C$28, 0.0202, 0)</f>
        <v>150.12639999999999</v>
      </c>
      <c r="D949" s="4">
        <f>117.4461 * CHOOSE(CONTROL!$C$9, $C$13, 100%, $E$13) + CHOOSE(CONTROL!$C$28, 0, 0)</f>
        <v>117.4461</v>
      </c>
      <c r="E949" s="4">
        <f>807.964147765784 * CHOOSE(CONTROL!$C$9, $C$13, 100%, $E$13) + CHOOSE(CONTROL!$C$28, 0, 0)</f>
        <v>807.96414776578399</v>
      </c>
    </row>
    <row r="950" spans="1:5" ht="15">
      <c r="A950" s="13">
        <v>70433</v>
      </c>
      <c r="B950" s="4">
        <f>145.4832 * CHOOSE(CONTROL!$C$9, $C$13, 100%, $E$13) + CHOOSE(CONTROL!$C$28, 0.0003, 0)</f>
        <v>145.48350000000002</v>
      </c>
      <c r="C950" s="4">
        <f>145.1707 * CHOOSE(CONTROL!$C$9, $C$13, 100%, $E$13) + CHOOSE(CONTROL!$C$28, 0.0003, 0)</f>
        <v>145.17100000000002</v>
      </c>
      <c r="D950" s="4">
        <f>115.8392 * CHOOSE(CONTROL!$C$9, $C$13, 100%, $E$13) + CHOOSE(CONTROL!$C$28, 0, 0)</f>
        <v>115.83920000000001</v>
      </c>
      <c r="E950" s="4">
        <f>781.119168530415 * CHOOSE(CONTROL!$C$9, $C$13, 100%, $E$13) + CHOOSE(CONTROL!$C$28, 0, 0)</f>
        <v>781.11916853041498</v>
      </c>
    </row>
    <row r="951" spans="1:5" ht="15">
      <c r="A951" s="13">
        <v>70463</v>
      </c>
      <c r="B951" s="4">
        <f>142.3044 * CHOOSE(CONTROL!$C$9, $C$13, 100%, $E$13) + CHOOSE(CONTROL!$C$28, 0.0003, 0)</f>
        <v>142.3047</v>
      </c>
      <c r="C951" s="4">
        <f>141.9919 * CHOOSE(CONTROL!$C$9, $C$13, 100%, $E$13) + CHOOSE(CONTROL!$C$28, 0.0003, 0)</f>
        <v>141.9922</v>
      </c>
      <c r="D951" s="4">
        <f>115.2867 * CHOOSE(CONTROL!$C$9, $C$13, 100%, $E$13) + CHOOSE(CONTROL!$C$28, 0, 0)</f>
        <v>115.2867</v>
      </c>
      <c r="E951" s="4">
        <f>763.828997245298 * CHOOSE(CONTROL!$C$9, $C$13, 100%, $E$13) + CHOOSE(CONTROL!$C$28, 0, 0)</f>
        <v>763.82899724529796</v>
      </c>
    </row>
    <row r="952" spans="1:5" ht="15">
      <c r="A952" s="13">
        <v>70494</v>
      </c>
      <c r="B952" s="4">
        <f>140.1051 * CHOOSE(CONTROL!$C$9, $C$13, 100%, $E$13) + CHOOSE(CONTROL!$C$28, 0.0003, 0)</f>
        <v>140.1054</v>
      </c>
      <c r="C952" s="4">
        <f>139.7926 * CHOOSE(CONTROL!$C$9, $C$13, 100%, $E$13) + CHOOSE(CONTROL!$C$28, 0.0003, 0)</f>
        <v>139.7929</v>
      </c>
      <c r="D952" s="4">
        <f>111.2194 * CHOOSE(CONTROL!$C$9, $C$13, 100%, $E$13) + CHOOSE(CONTROL!$C$28, 0, 0)</f>
        <v>111.21939999999999</v>
      </c>
      <c r="E952" s="4">
        <f>751.866421271096 * CHOOSE(CONTROL!$C$9, $C$13, 100%, $E$13) + CHOOSE(CONTROL!$C$28, 0, 0)</f>
        <v>751.86642127109599</v>
      </c>
    </row>
    <row r="953" spans="1:5" ht="15">
      <c r="A953" s="13">
        <v>70525</v>
      </c>
      <c r="B953" s="4">
        <f>136.5317 * CHOOSE(CONTROL!$C$9, $C$13, 100%, $E$13) + CHOOSE(CONTROL!$C$28, 0.0003, 0)</f>
        <v>136.53200000000001</v>
      </c>
      <c r="C953" s="4">
        <f>136.2192 * CHOOSE(CONTROL!$C$9, $C$13, 100%, $E$13) + CHOOSE(CONTROL!$C$28, 0.0003, 0)</f>
        <v>136.21950000000001</v>
      </c>
      <c r="D953" s="4">
        <f>107.4812 * CHOOSE(CONTROL!$C$9, $C$13, 100%, $E$13) + CHOOSE(CONTROL!$C$28, 0, 0)</f>
        <v>107.4812</v>
      </c>
      <c r="E953" s="4">
        <f>730.305757444041 * CHOOSE(CONTROL!$C$9, $C$13, 100%, $E$13) + CHOOSE(CONTROL!$C$28, 0, 0)</f>
        <v>730.30575744404098</v>
      </c>
    </row>
    <row r="954" spans="1:5" ht="15">
      <c r="A954" s="13">
        <v>70553</v>
      </c>
      <c r="B954" s="4">
        <f>139.729 * CHOOSE(CONTROL!$C$9, $C$13, 100%, $E$13) + CHOOSE(CONTROL!$C$28, 0.0003, 0)</f>
        <v>139.72930000000002</v>
      </c>
      <c r="C954" s="4">
        <f>139.4165 * CHOOSE(CONTROL!$C$9, $C$13, 100%, $E$13) + CHOOSE(CONTROL!$C$28, 0.0003, 0)</f>
        <v>139.41680000000002</v>
      </c>
      <c r="D954" s="4">
        <f>111.2456 * CHOOSE(CONTROL!$C$9, $C$13, 100%, $E$13) + CHOOSE(CONTROL!$C$28, 0, 0)</f>
        <v>111.2456</v>
      </c>
      <c r="E954" s="4">
        <f>747.646094194616 * CHOOSE(CONTROL!$C$9, $C$13, 100%, $E$13) + CHOOSE(CONTROL!$C$28, 0, 0)</f>
        <v>747.64609419461601</v>
      </c>
    </row>
    <row r="955" spans="1:5" ht="15">
      <c r="A955" s="13">
        <v>70584</v>
      </c>
      <c r="B955" s="4">
        <f>148.1252 * CHOOSE(CONTROL!$C$9, $C$13, 100%, $E$13) + CHOOSE(CONTROL!$C$28, 0.0003, 0)</f>
        <v>148.12550000000002</v>
      </c>
      <c r="C955" s="4">
        <f>147.8127 * CHOOSE(CONTROL!$C$9, $C$13, 100%, $E$13) + CHOOSE(CONTROL!$C$28, 0.0003, 0)</f>
        <v>147.81300000000002</v>
      </c>
      <c r="D955" s="4">
        <f>117.1385 * CHOOSE(CONTROL!$C$9, $C$13, 100%, $E$13) + CHOOSE(CONTROL!$C$28, 0, 0)</f>
        <v>117.13849999999999</v>
      </c>
      <c r="E955" s="4">
        <f>793.182740023088 * CHOOSE(CONTROL!$C$9, $C$13, 100%, $E$13) + CHOOSE(CONTROL!$C$28, 0, 0)</f>
        <v>793.18274002308794</v>
      </c>
    </row>
    <row r="956" spans="1:5" ht="15">
      <c r="A956" s="13">
        <v>70614</v>
      </c>
      <c r="B956" s="4">
        <f>154.0909 * CHOOSE(CONTROL!$C$9, $C$13, 100%, $E$13) + CHOOSE(CONTROL!$C$28, 0.0003, 0)</f>
        <v>154.09120000000001</v>
      </c>
      <c r="C956" s="4">
        <f>153.7784 * CHOOSE(CONTROL!$C$9, $C$13, 100%, $E$13) + CHOOSE(CONTROL!$C$28, 0.0003, 0)</f>
        <v>153.77870000000001</v>
      </c>
      <c r="D956" s="4">
        <f>120.533 * CHOOSE(CONTROL!$C$9, $C$13, 100%, $E$13) + CHOOSE(CONTROL!$C$28, 0, 0)</f>
        <v>120.533</v>
      </c>
      <c r="E956" s="4">
        <f>825.537133739814 * CHOOSE(CONTROL!$C$9, $C$13, 100%, $E$13) + CHOOSE(CONTROL!$C$28, 0, 0)</f>
        <v>825.53713373981395</v>
      </c>
    </row>
    <row r="957" spans="1:5" ht="15">
      <c r="A957" s="13">
        <v>70645</v>
      </c>
      <c r="B957" s="4">
        <f>157.7357 * CHOOSE(CONTROL!$C$9, $C$13, 100%, $E$13) + CHOOSE(CONTROL!$C$28, 0.0202, 0)</f>
        <v>157.7559</v>
      </c>
      <c r="C957" s="4">
        <f>157.4232 * CHOOSE(CONTROL!$C$9, $C$13, 100%, $E$13) + CHOOSE(CONTROL!$C$28, 0.0202, 0)</f>
        <v>157.4434</v>
      </c>
      <c r="D957" s="4">
        <f>119.1916 * CHOOSE(CONTROL!$C$9, $C$13, 100%, $E$13) + CHOOSE(CONTROL!$C$28, 0, 0)</f>
        <v>119.19159999999999</v>
      </c>
      <c r="E957" s="4">
        <f>845.304892874138 * CHOOSE(CONTROL!$C$9, $C$13, 100%, $E$13) + CHOOSE(CONTROL!$C$28, 0, 0)</f>
        <v>845.30489287413798</v>
      </c>
    </row>
    <row r="958" spans="1:5" ht="15">
      <c r="A958" s="13">
        <v>70675</v>
      </c>
      <c r="B958" s="4">
        <f>158.2289 * CHOOSE(CONTROL!$C$9, $C$13, 100%, $E$13) + CHOOSE(CONTROL!$C$28, 0.0202, 0)</f>
        <v>158.2491</v>
      </c>
      <c r="C958" s="4">
        <f>157.9164 * CHOOSE(CONTROL!$C$9, $C$13, 100%, $E$13) + CHOOSE(CONTROL!$C$28, 0.0202, 0)</f>
        <v>157.9366</v>
      </c>
      <c r="D958" s="4">
        <f>120.284 * CHOOSE(CONTROL!$C$9, $C$13, 100%, $E$13) + CHOOSE(CONTROL!$C$28, 0, 0)</f>
        <v>120.28400000000001</v>
      </c>
      <c r="E958" s="4">
        <f>847.979552722898 * CHOOSE(CONTROL!$C$9, $C$13, 100%, $E$13) + CHOOSE(CONTROL!$C$28, 0, 0)</f>
        <v>847.97955272289801</v>
      </c>
    </row>
    <row r="959" spans="1:5" ht="15">
      <c r="A959" s="13">
        <v>70706</v>
      </c>
      <c r="B959" s="4">
        <f>158.1792 * CHOOSE(CONTROL!$C$9, $C$13, 100%, $E$13) + CHOOSE(CONTROL!$C$28, 0.0202, 0)</f>
        <v>158.1994</v>
      </c>
      <c r="C959" s="4">
        <f>157.8667 * CHOOSE(CONTROL!$C$9, $C$13, 100%, $E$13) + CHOOSE(CONTROL!$C$28, 0.0202, 0)</f>
        <v>157.8869</v>
      </c>
      <c r="D959" s="4">
        <f>122.2552 * CHOOSE(CONTROL!$C$9, $C$13, 100%, $E$13) + CHOOSE(CONTROL!$C$28, 0, 0)</f>
        <v>122.2552</v>
      </c>
      <c r="E959" s="4">
        <f>847.709839124704 * CHOOSE(CONTROL!$C$9, $C$13, 100%, $E$13) + CHOOSE(CONTROL!$C$28, 0, 0)</f>
        <v>847.70983912470399</v>
      </c>
    </row>
    <row r="960" spans="1:5" ht="15">
      <c r="A960" s="13">
        <v>70737</v>
      </c>
      <c r="B960" s="4">
        <f>161.9214 * CHOOSE(CONTROL!$C$9, $C$13, 100%, $E$13) + CHOOSE(CONTROL!$C$28, 0.0202, 0)</f>
        <v>161.94159999999999</v>
      </c>
      <c r="C960" s="4">
        <f>161.6089 * CHOOSE(CONTROL!$C$9, $C$13, 100%, $E$13) + CHOOSE(CONTROL!$C$28, 0.0202, 0)</f>
        <v>161.62909999999999</v>
      </c>
      <c r="D960" s="4">
        <f>120.9534 * CHOOSE(CONTROL!$C$9, $C$13, 100%, $E$13) + CHOOSE(CONTROL!$C$28, 0, 0)</f>
        <v>120.9534</v>
      </c>
      <c r="E960" s="4">
        <f>868.005787388825 * CHOOSE(CONTROL!$C$9, $C$13, 100%, $E$13) + CHOOSE(CONTROL!$C$28, 0, 0)</f>
        <v>868.00578738882496</v>
      </c>
    </row>
    <row r="961" spans="1:5" ht="15">
      <c r="A961" s="13">
        <v>70767</v>
      </c>
      <c r="B961" s="4">
        <f>155.5434 * CHOOSE(CONTROL!$C$9, $C$13, 100%, $E$13) + CHOOSE(CONTROL!$C$28, 0.0202, 0)</f>
        <v>155.56359999999998</v>
      </c>
      <c r="C961" s="4">
        <f>155.2309 * CHOOSE(CONTROL!$C$9, $C$13, 100%, $E$13) + CHOOSE(CONTROL!$C$28, 0.0202, 0)</f>
        <v>155.25109999999998</v>
      </c>
      <c r="D961" s="4">
        <f>120.3384 * CHOOSE(CONTROL!$C$9, $C$13, 100%, $E$13) + CHOOSE(CONTROL!$C$28, 0, 0)</f>
        <v>120.33839999999999</v>
      </c>
      <c r="E961" s="4">
        <f>833.415018420406 * CHOOSE(CONTROL!$C$9, $C$13, 100%, $E$13) + CHOOSE(CONTROL!$C$28, 0, 0)</f>
        <v>833.415018420406</v>
      </c>
    </row>
    <row r="962" spans="1:5" ht="15">
      <c r="A962" s="13">
        <v>70798</v>
      </c>
      <c r="B962" s="4">
        <f>150.4377 * CHOOSE(CONTROL!$C$9, $C$13, 100%, $E$13) + CHOOSE(CONTROL!$C$28, 0.0003, 0)</f>
        <v>150.43800000000002</v>
      </c>
      <c r="C962" s="4">
        <f>150.1252 * CHOOSE(CONTROL!$C$9, $C$13, 100%, $E$13) + CHOOSE(CONTROL!$C$28, 0.0003, 0)</f>
        <v>150.12550000000002</v>
      </c>
      <c r="D962" s="4">
        <f>118.6916 * CHOOSE(CONTROL!$C$9, $C$13, 100%, $E$13) + CHOOSE(CONTROL!$C$28, 0, 0)</f>
        <v>118.69159999999999</v>
      </c>
      <c r="E962" s="4">
        <f>805.724422339124 * CHOOSE(CONTROL!$C$9, $C$13, 100%, $E$13) + CHOOSE(CONTROL!$C$28, 0, 0)</f>
        <v>805.72442233912398</v>
      </c>
    </row>
    <row r="963" spans="1:5" ht="15">
      <c r="A963" s="13">
        <v>70828</v>
      </c>
      <c r="B963" s="4">
        <f>147.1493 * CHOOSE(CONTROL!$C$9, $C$13, 100%, $E$13) + CHOOSE(CONTROL!$C$28, 0.0003, 0)</f>
        <v>147.14960000000002</v>
      </c>
      <c r="C963" s="4">
        <f>146.8368 * CHOOSE(CONTROL!$C$9, $C$13, 100%, $E$13) + CHOOSE(CONTROL!$C$28, 0.0003, 0)</f>
        <v>146.83710000000002</v>
      </c>
      <c r="D963" s="4">
        <f>118.1254 * CHOOSE(CONTROL!$C$9, $C$13, 100%, $E$13) + CHOOSE(CONTROL!$C$28, 0, 0)</f>
        <v>118.1254</v>
      </c>
      <c r="E963" s="4">
        <f>787.889610658525 * CHOOSE(CONTROL!$C$9, $C$13, 100%, $E$13) + CHOOSE(CONTROL!$C$28, 0, 0)</f>
        <v>787.88961065852504</v>
      </c>
    </row>
    <row r="964" spans="1:5" ht="15">
      <c r="A964" s="13">
        <v>70859</v>
      </c>
      <c r="B964" s="4">
        <f>144.8741 * CHOOSE(CONTROL!$C$9, $C$13, 100%, $E$13) + CHOOSE(CONTROL!$C$28, 0.0003, 0)</f>
        <v>144.87440000000001</v>
      </c>
      <c r="C964" s="4">
        <f>144.5616 * CHOOSE(CONTROL!$C$9, $C$13, 100%, $E$13) + CHOOSE(CONTROL!$C$28, 0.0003, 0)</f>
        <v>144.56190000000001</v>
      </c>
      <c r="D964" s="4">
        <f>113.9573 * CHOOSE(CONTROL!$C$9, $C$13, 100%, $E$13) + CHOOSE(CONTROL!$C$28, 0, 0)</f>
        <v>113.9573</v>
      </c>
      <c r="E964" s="4">
        <f>775.550213541136 * CHOOSE(CONTROL!$C$9, $C$13, 100%, $E$13) + CHOOSE(CONTROL!$C$28, 0, 0)</f>
        <v>775.55021354113603</v>
      </c>
    </row>
    <row r="965" spans="1:5" ht="15">
      <c r="A965" s="13">
        <v>70890</v>
      </c>
      <c r="B965" s="4">
        <f>141.1774 * CHOOSE(CONTROL!$C$9, $C$13, 100%, $E$13) + CHOOSE(CONTROL!$C$28, 0.0003, 0)</f>
        <v>141.17770000000002</v>
      </c>
      <c r="C965" s="4">
        <f>140.8649 * CHOOSE(CONTROL!$C$9, $C$13, 100%, $E$13) + CHOOSE(CONTROL!$C$28, 0.0003, 0)</f>
        <v>140.86520000000002</v>
      </c>
      <c r="D965" s="4">
        <f>110.1263 * CHOOSE(CONTROL!$C$9, $C$13, 100%, $E$13) + CHOOSE(CONTROL!$C$28, 0, 0)</f>
        <v>110.1263</v>
      </c>
      <c r="E965" s="4">
        <f>753.310388803528 * CHOOSE(CONTROL!$C$9, $C$13, 100%, $E$13) + CHOOSE(CONTROL!$C$28, 0, 0)</f>
        <v>753.31038880352799</v>
      </c>
    </row>
    <row r="966" spans="1:5" ht="15">
      <c r="A966" s="13">
        <v>70918</v>
      </c>
      <c r="B966" s="4">
        <f>144.485 * CHOOSE(CONTROL!$C$9, $C$13, 100%, $E$13) + CHOOSE(CONTROL!$C$28, 0.0003, 0)</f>
        <v>144.48530000000002</v>
      </c>
      <c r="C966" s="4">
        <f>144.1725 * CHOOSE(CONTROL!$C$9, $C$13, 100%, $E$13) + CHOOSE(CONTROL!$C$28, 0.0003, 0)</f>
        <v>144.17280000000002</v>
      </c>
      <c r="D966" s="4">
        <f>113.9841 * CHOOSE(CONTROL!$C$9, $C$13, 100%, $E$13) + CHOOSE(CONTROL!$C$28, 0, 0)</f>
        <v>113.9841</v>
      </c>
      <c r="E966" s="4">
        <f>771.196946161747 * CHOOSE(CONTROL!$C$9, $C$13, 100%, $E$13) + CHOOSE(CONTROL!$C$28, 0, 0)</f>
        <v>771.19694616174695</v>
      </c>
    </row>
    <row r="967" spans="1:5" ht="15">
      <c r="A967" s="13">
        <v>70949</v>
      </c>
      <c r="B967" s="4">
        <f>153.1709 * CHOOSE(CONTROL!$C$9, $C$13, 100%, $E$13) + CHOOSE(CONTROL!$C$28, 0.0003, 0)</f>
        <v>153.1712</v>
      </c>
      <c r="C967" s="4">
        <f>152.8584 * CHOOSE(CONTROL!$C$9, $C$13, 100%, $E$13) + CHOOSE(CONTROL!$C$28, 0.0003, 0)</f>
        <v>152.8587</v>
      </c>
      <c r="D967" s="4">
        <f>120.0231 * CHOOSE(CONTROL!$C$9, $C$13, 100%, $E$13) + CHOOSE(CONTROL!$C$28, 0, 0)</f>
        <v>120.0231</v>
      </c>
      <c r="E967" s="4">
        <f>818.167996333816 * CHOOSE(CONTROL!$C$9, $C$13, 100%, $E$13) + CHOOSE(CONTROL!$C$28, 0, 0)</f>
        <v>818.16799633381595</v>
      </c>
    </row>
    <row r="968" spans="1:5" ht="15">
      <c r="A968" s="13">
        <v>70979</v>
      </c>
      <c r="B968" s="4">
        <f>159.3423 * CHOOSE(CONTROL!$C$9, $C$13, 100%, $E$13) + CHOOSE(CONTROL!$C$28, 0.0003, 0)</f>
        <v>159.3426</v>
      </c>
      <c r="C968" s="4">
        <f>159.0298 * CHOOSE(CONTROL!$C$9, $C$13, 100%, $E$13) + CHOOSE(CONTROL!$C$28, 0.0003, 0)</f>
        <v>159.0301</v>
      </c>
      <c r="D968" s="4">
        <f>123.5018 * CHOOSE(CONTROL!$C$9, $C$13, 100%, $E$13) + CHOOSE(CONTROL!$C$28, 0, 0)</f>
        <v>123.5018</v>
      </c>
      <c r="E968" s="4">
        <f>851.541553452618 * CHOOSE(CONTROL!$C$9, $C$13, 100%, $E$13) + CHOOSE(CONTROL!$C$28, 0, 0)</f>
        <v>851.54155345261802</v>
      </c>
    </row>
    <row r="969" spans="1:5" ht="15">
      <c r="A969" s="13">
        <v>71010</v>
      </c>
      <c r="B969" s="4">
        <f>163.1129 * CHOOSE(CONTROL!$C$9, $C$13, 100%, $E$13) + CHOOSE(CONTROL!$C$28, 0.0202, 0)</f>
        <v>163.13309999999998</v>
      </c>
      <c r="C969" s="4">
        <f>162.8004 * CHOOSE(CONTROL!$C$9, $C$13, 100%, $E$13) + CHOOSE(CONTROL!$C$28, 0.0202, 0)</f>
        <v>162.82059999999998</v>
      </c>
      <c r="D969" s="4">
        <f>122.1272 * CHOOSE(CONTROL!$C$9, $C$13, 100%, $E$13) + CHOOSE(CONTROL!$C$28, 0, 0)</f>
        <v>122.1272</v>
      </c>
      <c r="E969" s="4">
        <f>871.931996999673 * CHOOSE(CONTROL!$C$9, $C$13, 100%, $E$13) + CHOOSE(CONTROL!$C$28, 0, 0)</f>
        <v>871.93199699967295</v>
      </c>
    </row>
    <row r="970" spans="1:5" ht="15">
      <c r="A970" s="13">
        <v>71040</v>
      </c>
      <c r="B970" s="4">
        <f>163.6231 * CHOOSE(CONTROL!$C$9, $C$13, 100%, $E$13) + CHOOSE(CONTROL!$C$28, 0.0202, 0)</f>
        <v>163.64329999999998</v>
      </c>
      <c r="C970" s="4">
        <f>163.3106 * CHOOSE(CONTROL!$C$9, $C$13, 100%, $E$13) + CHOOSE(CONTROL!$C$28, 0.0202, 0)</f>
        <v>163.33079999999998</v>
      </c>
      <c r="D970" s="4">
        <f>123.2467 * CHOOSE(CONTROL!$C$9, $C$13, 100%, $E$13) + CHOOSE(CONTROL!$C$28, 0, 0)</f>
        <v>123.2467</v>
      </c>
      <c r="E970" s="4">
        <f>874.690908633669 * CHOOSE(CONTROL!$C$9, $C$13, 100%, $E$13) + CHOOSE(CONTROL!$C$28, 0, 0)</f>
        <v>874.69090863366898</v>
      </c>
    </row>
    <row r="971" spans="1:5" ht="15">
      <c r="A971" s="13">
        <v>71071</v>
      </c>
      <c r="B971" s="4">
        <f>163.5717 * CHOOSE(CONTROL!$C$9, $C$13, 100%, $E$13) + CHOOSE(CONTROL!$C$28, 0.0202, 0)</f>
        <v>163.59189999999998</v>
      </c>
      <c r="C971" s="4">
        <f>163.2592 * CHOOSE(CONTROL!$C$9, $C$13, 100%, $E$13) + CHOOSE(CONTROL!$C$28, 0.0202, 0)</f>
        <v>163.27939999999998</v>
      </c>
      <c r="D971" s="4">
        <f>125.2667 * CHOOSE(CONTROL!$C$9, $C$13, 100%, $E$13) + CHOOSE(CONTROL!$C$28, 0, 0)</f>
        <v>125.2667</v>
      </c>
      <c r="E971" s="4">
        <f>874.412699057132 * CHOOSE(CONTROL!$C$9, $C$13, 100%, $E$13) + CHOOSE(CONTROL!$C$28, 0, 0)</f>
        <v>874.41269905713204</v>
      </c>
    </row>
    <row r="972" spans="1:5" ht="15">
      <c r="A972" s="13">
        <v>71102</v>
      </c>
      <c r="B972" s="4">
        <f>167.443 * CHOOSE(CONTROL!$C$9, $C$13, 100%, $E$13) + CHOOSE(CONTROL!$C$28, 0.0202, 0)</f>
        <v>167.4632</v>
      </c>
      <c r="C972" s="4">
        <f>167.1305 * CHOOSE(CONTROL!$C$9, $C$13, 100%, $E$13) + CHOOSE(CONTROL!$C$28, 0.0202, 0)</f>
        <v>167.1507</v>
      </c>
      <c r="D972" s="4">
        <f>123.9327 * CHOOSE(CONTROL!$C$9, $C$13, 100%, $E$13) + CHOOSE(CONTROL!$C$28, 0, 0)</f>
        <v>123.9327</v>
      </c>
      <c r="E972" s="4">
        <f>895.347969691573 * CHOOSE(CONTROL!$C$9, $C$13, 100%, $E$13) + CHOOSE(CONTROL!$C$28, 0, 0)</f>
        <v>895.34796969157298</v>
      </c>
    </row>
    <row r="973" spans="1:5" ht="15">
      <c r="A973" s="13">
        <v>71132</v>
      </c>
      <c r="B973" s="4">
        <f>160.845 * CHOOSE(CONTROL!$C$9, $C$13, 100%, $E$13) + CHOOSE(CONTROL!$C$28, 0.0202, 0)</f>
        <v>160.86519999999999</v>
      </c>
      <c r="C973" s="4">
        <f>160.5325 * CHOOSE(CONTROL!$C$9, $C$13, 100%, $E$13) + CHOOSE(CONTROL!$C$28, 0.0202, 0)</f>
        <v>160.55269999999999</v>
      </c>
      <c r="D973" s="4">
        <f>123.3024 * CHOOSE(CONTROL!$C$9, $C$13, 100%, $E$13) + CHOOSE(CONTROL!$C$28, 0, 0)</f>
        <v>123.30240000000001</v>
      </c>
      <c r="E973" s="4">
        <f>859.667591500649 * CHOOSE(CONTROL!$C$9, $C$13, 100%, $E$13) + CHOOSE(CONTROL!$C$28, 0, 0)</f>
        <v>859.667591500649</v>
      </c>
    </row>
    <row r="974" spans="1:5" ht="15">
      <c r="A974" s="13">
        <v>71163</v>
      </c>
      <c r="B974" s="4">
        <f>155.5631 * CHOOSE(CONTROL!$C$9, $C$13, 100%, $E$13) + CHOOSE(CONTROL!$C$28, 0.0003, 0)</f>
        <v>155.5634</v>
      </c>
      <c r="C974" s="4">
        <f>155.2506 * CHOOSE(CONTROL!$C$9, $C$13, 100%, $E$13) + CHOOSE(CONTROL!$C$28, 0.0003, 0)</f>
        <v>155.2509</v>
      </c>
      <c r="D974" s="4">
        <f>121.6147 * CHOOSE(CONTROL!$C$9, $C$13, 100%, $E$13) + CHOOSE(CONTROL!$C$28, 0, 0)</f>
        <v>121.6147</v>
      </c>
      <c r="E974" s="4">
        <f>831.104741642806 * CHOOSE(CONTROL!$C$9, $C$13, 100%, $E$13) + CHOOSE(CONTROL!$C$28, 0, 0)</f>
        <v>831.10474164280595</v>
      </c>
    </row>
    <row r="975" spans="1:5" ht="15">
      <c r="A975" s="13">
        <v>71193</v>
      </c>
      <c r="B975" s="4">
        <f>152.1612 * CHOOSE(CONTROL!$C$9, $C$13, 100%, $E$13) + CHOOSE(CONTROL!$C$28, 0.0003, 0)</f>
        <v>152.16150000000002</v>
      </c>
      <c r="C975" s="4">
        <f>151.8487 * CHOOSE(CONTROL!$C$9, $C$13, 100%, $E$13) + CHOOSE(CONTROL!$C$28, 0.0003, 0)</f>
        <v>151.84900000000002</v>
      </c>
      <c r="D975" s="4">
        <f>121.0345 * CHOOSE(CONTROL!$C$9, $C$13, 100%, $E$13) + CHOOSE(CONTROL!$C$28, 0, 0)</f>
        <v>121.03449999999999</v>
      </c>
      <c r="E975" s="4">
        <f>812.708133394269 * CHOOSE(CONTROL!$C$9, $C$13, 100%, $E$13) + CHOOSE(CONTROL!$C$28, 0, 0)</f>
        <v>812.708133394269</v>
      </c>
    </row>
    <row r="976" spans="1:5" ht="15">
      <c r="A976" s="13">
        <v>71224</v>
      </c>
      <c r="B976" s="4">
        <f>149.8075 * CHOOSE(CONTROL!$C$9, $C$13, 100%, $E$13) + CHOOSE(CONTROL!$C$28, 0.0003, 0)</f>
        <v>149.80780000000001</v>
      </c>
      <c r="C976" s="4">
        <f>149.495 * CHOOSE(CONTROL!$C$9, $C$13, 100%, $E$13) + CHOOSE(CONTROL!$C$28, 0.0003, 0)</f>
        <v>149.49530000000001</v>
      </c>
      <c r="D976" s="4">
        <f>116.763 * CHOOSE(CONTROL!$C$9, $C$13, 100%, $E$13) + CHOOSE(CONTROL!$C$28, 0, 0)</f>
        <v>116.76300000000001</v>
      </c>
      <c r="E976" s="4">
        <f>799.980045267681 * CHOOSE(CONTROL!$C$9, $C$13, 100%, $E$13) + CHOOSE(CONTROL!$C$28, 0, 0)</f>
        <v>799.98004526768102</v>
      </c>
    </row>
    <row r="977" spans="1:5" ht="15">
      <c r="A977" s="13">
        <v>71255</v>
      </c>
      <c r="B977" s="4">
        <f>145.9833 * CHOOSE(CONTROL!$C$9, $C$13, 100%, $E$13) + CHOOSE(CONTROL!$C$28, 0.0003, 0)</f>
        <v>145.98360000000002</v>
      </c>
      <c r="C977" s="4">
        <f>145.6708 * CHOOSE(CONTROL!$C$9, $C$13, 100%, $E$13) + CHOOSE(CONTROL!$C$28, 0.0003, 0)</f>
        <v>145.67110000000002</v>
      </c>
      <c r="D977" s="4">
        <f>112.8371 * CHOOSE(CONTROL!$C$9, $C$13, 100%, $E$13) + CHOOSE(CONTROL!$C$28, 0, 0)</f>
        <v>112.83710000000001</v>
      </c>
      <c r="E977" s="4">
        <f>777.039666050839 * CHOOSE(CONTROL!$C$9, $C$13, 100%, $E$13) + CHOOSE(CONTROL!$C$28, 0, 0)</f>
        <v>777.03966605083895</v>
      </c>
    </row>
    <row r="978" spans="1:5" ht="15">
      <c r="A978" s="13">
        <v>71283</v>
      </c>
      <c r="B978" s="4">
        <f>149.405 * CHOOSE(CONTROL!$C$9, $C$13, 100%, $E$13) + CHOOSE(CONTROL!$C$28, 0.0003, 0)</f>
        <v>149.40530000000001</v>
      </c>
      <c r="C978" s="4">
        <f>149.0925 * CHOOSE(CONTROL!$C$9, $C$13, 100%, $E$13) + CHOOSE(CONTROL!$C$28, 0.0003, 0)</f>
        <v>149.09280000000001</v>
      </c>
      <c r="D978" s="4">
        <f>116.7905 * CHOOSE(CONTROL!$C$9, $C$13, 100%, $E$13) + CHOOSE(CONTROL!$C$28, 0, 0)</f>
        <v>116.79049999999999</v>
      </c>
      <c r="E978" s="4">
        <f>795.489649965842 * CHOOSE(CONTROL!$C$9, $C$13, 100%, $E$13) + CHOOSE(CONTROL!$C$28, 0, 0)</f>
        <v>795.48964996584198</v>
      </c>
    </row>
    <row r="979" spans="1:5" ht="15">
      <c r="A979" s="13">
        <v>71314</v>
      </c>
      <c r="B979" s="4">
        <f>158.3906 * CHOOSE(CONTROL!$C$9, $C$13, 100%, $E$13) + CHOOSE(CONTROL!$C$28, 0.0003, 0)</f>
        <v>158.39090000000002</v>
      </c>
      <c r="C979" s="4">
        <f>158.0781 * CHOOSE(CONTROL!$C$9, $C$13, 100%, $E$13) + CHOOSE(CONTROL!$C$28, 0.0003, 0)</f>
        <v>158.07840000000002</v>
      </c>
      <c r="D979" s="4">
        <f>122.9793 * CHOOSE(CONTROL!$C$9, $C$13, 100%, $E$13) + CHOOSE(CONTROL!$C$28, 0, 0)</f>
        <v>122.97929999999999</v>
      </c>
      <c r="E979" s="4">
        <f>843.940288218331 * CHOOSE(CONTROL!$C$9, $C$13, 100%, $E$13) + CHOOSE(CONTROL!$C$28, 0, 0)</f>
        <v>843.94028821833103</v>
      </c>
    </row>
    <row r="980" spans="1:5" ht="15">
      <c r="A980" s="13">
        <v>71344</v>
      </c>
      <c r="B980" s="4">
        <f>164.7749 * CHOOSE(CONTROL!$C$9, $C$13, 100%, $E$13) + CHOOSE(CONTROL!$C$28, 0.0003, 0)</f>
        <v>164.77520000000001</v>
      </c>
      <c r="C980" s="4">
        <f>164.4624 * CHOOSE(CONTROL!$C$9, $C$13, 100%, $E$13) + CHOOSE(CONTROL!$C$28, 0.0003, 0)</f>
        <v>164.46270000000001</v>
      </c>
      <c r="D980" s="4">
        <f>126.5442 * CHOOSE(CONTROL!$C$9, $C$13, 100%, $E$13) + CHOOSE(CONTROL!$C$28, 0, 0)</f>
        <v>126.5442</v>
      </c>
      <c r="E980" s="4">
        <f>878.365112386376 * CHOOSE(CONTROL!$C$9, $C$13, 100%, $E$13) + CHOOSE(CONTROL!$C$28, 0, 0)</f>
        <v>878.36511238637604</v>
      </c>
    </row>
    <row r="981" spans="1:5" ht="15">
      <c r="A981" s="13">
        <v>71375</v>
      </c>
      <c r="B981" s="4">
        <f>168.6756 * CHOOSE(CONTROL!$C$9, $C$13, 100%, $E$13) + CHOOSE(CONTROL!$C$28, 0.0202, 0)</f>
        <v>168.69579999999999</v>
      </c>
      <c r="C981" s="4">
        <f>168.3631 * CHOOSE(CONTROL!$C$9, $C$13, 100%, $E$13) + CHOOSE(CONTROL!$C$28, 0.0202, 0)</f>
        <v>168.38329999999999</v>
      </c>
      <c r="D981" s="4">
        <f>125.1355 * CHOOSE(CONTROL!$C$9, $C$13, 100%, $E$13) + CHOOSE(CONTROL!$C$28, 0, 0)</f>
        <v>125.13549999999999</v>
      </c>
      <c r="E981" s="4">
        <f>899.397854905163 * CHOOSE(CONTROL!$C$9, $C$13, 100%, $E$13) + CHOOSE(CONTROL!$C$28, 0, 0)</f>
        <v>899.39785490516294</v>
      </c>
    </row>
    <row r="982" spans="1:5" ht="15">
      <c r="A982" s="13">
        <v>71405</v>
      </c>
      <c r="B982" s="4">
        <f>169.2034 * CHOOSE(CONTROL!$C$9, $C$13, 100%, $E$13) + CHOOSE(CONTROL!$C$28, 0.0202, 0)</f>
        <v>169.22359999999998</v>
      </c>
      <c r="C982" s="4">
        <f>168.8909 * CHOOSE(CONTROL!$C$9, $C$13, 100%, $E$13) + CHOOSE(CONTROL!$C$28, 0.0202, 0)</f>
        <v>168.91109999999998</v>
      </c>
      <c r="D982" s="4">
        <f>126.2828 * CHOOSE(CONTROL!$C$9, $C$13, 100%, $E$13) + CHOOSE(CONTROL!$C$28, 0, 0)</f>
        <v>126.28279999999999</v>
      </c>
      <c r="E982" s="4">
        <f>902.24367225563 * CHOOSE(CONTROL!$C$9, $C$13, 100%, $E$13) + CHOOSE(CONTROL!$C$28, 0, 0)</f>
        <v>902.24367225563003</v>
      </c>
    </row>
    <row r="983" spans="1:5" ht="15">
      <c r="A983" s="13">
        <v>71436</v>
      </c>
      <c r="B983" s="4">
        <f>169.1502 * CHOOSE(CONTROL!$C$9, $C$13, 100%, $E$13) + CHOOSE(CONTROL!$C$28, 0.0202, 0)</f>
        <v>169.1704</v>
      </c>
      <c r="C983" s="4">
        <f>168.8377 * CHOOSE(CONTROL!$C$9, $C$13, 100%, $E$13) + CHOOSE(CONTROL!$C$28, 0.0202, 0)</f>
        <v>168.8579</v>
      </c>
      <c r="D983" s="4">
        <f>128.3529 * CHOOSE(CONTROL!$C$9, $C$13, 100%, $E$13) + CHOOSE(CONTROL!$C$28, 0, 0)</f>
        <v>128.35290000000001</v>
      </c>
      <c r="E983" s="4">
        <f>901.956699077432 * CHOOSE(CONTROL!$C$9, $C$13, 100%, $E$13) + CHOOSE(CONTROL!$C$28, 0, 0)</f>
        <v>901.95669907743195</v>
      </c>
    </row>
    <row r="984" spans="1:5" ht="15">
      <c r="A984" s="13">
        <v>71467</v>
      </c>
      <c r="B984" s="4">
        <f>173.1551 * CHOOSE(CONTROL!$C$9, $C$13, 100%, $E$13) + CHOOSE(CONTROL!$C$28, 0.0202, 0)</f>
        <v>173.17529999999999</v>
      </c>
      <c r="C984" s="4">
        <f>172.8426 * CHOOSE(CONTROL!$C$9, $C$13, 100%, $E$13) + CHOOSE(CONTROL!$C$28, 0.0202, 0)</f>
        <v>172.86279999999999</v>
      </c>
      <c r="D984" s="4">
        <f>126.9858 * CHOOSE(CONTROL!$C$9, $C$13, 100%, $E$13) + CHOOSE(CONTROL!$C$28, 0, 0)</f>
        <v>126.9858</v>
      </c>
      <c r="E984" s="4">
        <f>923.551430736858 * CHOOSE(CONTROL!$C$9, $C$13, 100%, $E$13) + CHOOSE(CONTROL!$C$28, 0, 0)</f>
        <v>923.55143073685804</v>
      </c>
    </row>
    <row r="985" spans="1:5" ht="15">
      <c r="A985" s="13">
        <v>71497</v>
      </c>
      <c r="B985" s="4">
        <f>166.3294 * CHOOSE(CONTROL!$C$9, $C$13, 100%, $E$13) + CHOOSE(CONTROL!$C$28, 0.0202, 0)</f>
        <v>166.34959999999998</v>
      </c>
      <c r="C985" s="4">
        <f>166.0169 * CHOOSE(CONTROL!$C$9, $C$13, 100%, $E$13) + CHOOSE(CONTROL!$C$28, 0.0202, 0)</f>
        <v>166.03709999999998</v>
      </c>
      <c r="D985" s="4">
        <f>126.3399 * CHOOSE(CONTROL!$C$9, $C$13, 100%, $E$13) + CHOOSE(CONTROL!$C$28, 0, 0)</f>
        <v>126.3399</v>
      </c>
      <c r="E985" s="4">
        <f>886.747120632919 * CHOOSE(CONTROL!$C$9, $C$13, 100%, $E$13) + CHOOSE(CONTROL!$C$28, 0, 0)</f>
        <v>886.74712063291895</v>
      </c>
    </row>
    <row r="986" spans="1:5" ht="15">
      <c r="A986" s="13">
        <v>71528</v>
      </c>
      <c r="B986" s="4">
        <f>160.8654 * CHOOSE(CONTROL!$C$9, $C$13, 100%, $E$13) + CHOOSE(CONTROL!$C$28, 0.0003, 0)</f>
        <v>160.8657</v>
      </c>
      <c r="C986" s="4">
        <f>160.5529 * CHOOSE(CONTROL!$C$9, $C$13, 100%, $E$13) + CHOOSE(CONTROL!$C$28, 0.0003, 0)</f>
        <v>160.5532</v>
      </c>
      <c r="D986" s="4">
        <f>124.6104 * CHOOSE(CONTROL!$C$9, $C$13, 100%, $E$13) + CHOOSE(CONTROL!$C$28, 0, 0)</f>
        <v>124.6104</v>
      </c>
      <c r="E986" s="4">
        <f>857.284541004555 * CHOOSE(CONTROL!$C$9, $C$13, 100%, $E$13) + CHOOSE(CONTROL!$C$28, 0, 0)</f>
        <v>857.28454100455497</v>
      </c>
    </row>
    <row r="987" spans="1:5" ht="15">
      <c r="A987" s="13">
        <v>71558</v>
      </c>
      <c r="B987" s="4">
        <f>157.3461 * CHOOSE(CONTROL!$C$9, $C$13, 100%, $E$13) + CHOOSE(CONTROL!$C$28, 0.0003, 0)</f>
        <v>157.34640000000002</v>
      </c>
      <c r="C987" s="4">
        <f>157.0336 * CHOOSE(CONTROL!$C$9, $C$13, 100%, $E$13) + CHOOSE(CONTROL!$C$28, 0.0003, 0)</f>
        <v>157.03390000000002</v>
      </c>
      <c r="D987" s="4">
        <f>124.0158 * CHOOSE(CONTROL!$C$9, $C$13, 100%, $E$13) + CHOOSE(CONTROL!$C$28, 0, 0)</f>
        <v>124.0158</v>
      </c>
      <c r="E987" s="4">
        <f>838.308439596188 * CHOOSE(CONTROL!$C$9, $C$13, 100%, $E$13) + CHOOSE(CONTROL!$C$28, 0, 0)</f>
        <v>838.30843959618801</v>
      </c>
    </row>
    <row r="988" spans="1:5" ht="15">
      <c r="A988" s="13">
        <v>71589</v>
      </c>
      <c r="B988" s="4">
        <f>154.9112 * CHOOSE(CONTROL!$C$9, $C$13, 100%, $E$13) + CHOOSE(CONTROL!$C$28, 0.0003, 0)</f>
        <v>154.91150000000002</v>
      </c>
      <c r="C988" s="4">
        <f>154.5987 * CHOOSE(CONTROL!$C$9, $C$13, 100%, $E$13) + CHOOSE(CONTROL!$C$28, 0.0003, 0)</f>
        <v>154.59900000000002</v>
      </c>
      <c r="D988" s="4">
        <f>119.6383 * CHOOSE(CONTROL!$C$9, $C$13, 100%, $E$13) + CHOOSE(CONTROL!$C$28, 0, 0)</f>
        <v>119.6383</v>
      </c>
      <c r="E988" s="4">
        <f>825.179416693614 * CHOOSE(CONTROL!$C$9, $C$13, 100%, $E$13) + CHOOSE(CONTROL!$C$28, 0, 0)</f>
        <v>825.17941669361403</v>
      </c>
    </row>
    <row r="989" spans="1:5" ht="15">
      <c r="A989" s="13">
        <v>71620</v>
      </c>
      <c r="B989" s="4">
        <f>150.955 * CHOOSE(CONTROL!$C$9, $C$13, 100%, $E$13) + CHOOSE(CONTROL!$C$28, 0.0003, 0)</f>
        <v>150.95530000000002</v>
      </c>
      <c r="C989" s="4">
        <f>150.6425 * CHOOSE(CONTROL!$C$9, $C$13, 100%, $E$13) + CHOOSE(CONTROL!$C$28, 0.0003, 0)</f>
        <v>150.64280000000002</v>
      </c>
      <c r="D989" s="4">
        <f>115.615 * CHOOSE(CONTROL!$C$9, $C$13, 100%, $E$13) + CHOOSE(CONTROL!$C$28, 0, 0)</f>
        <v>115.61499999999999</v>
      </c>
      <c r="E989" s="4">
        <f>801.516415531441 * CHOOSE(CONTROL!$C$9, $C$13, 100%, $E$13) + CHOOSE(CONTROL!$C$28, 0, 0)</f>
        <v>801.516415531441</v>
      </c>
    </row>
    <row r="990" spans="1:5" ht="15">
      <c r="A990" s="13">
        <v>71649</v>
      </c>
      <c r="B990" s="4">
        <f>154.4948 * CHOOSE(CONTROL!$C$9, $C$13, 100%, $E$13) + CHOOSE(CONTROL!$C$28, 0.0003, 0)</f>
        <v>154.49510000000001</v>
      </c>
      <c r="C990" s="4">
        <f>154.1823 * CHOOSE(CONTROL!$C$9, $C$13, 100%, $E$13) + CHOOSE(CONTROL!$C$28, 0.0003, 0)</f>
        <v>154.18260000000001</v>
      </c>
      <c r="D990" s="4">
        <f>119.6665 * CHOOSE(CONTROL!$C$9, $C$13, 100%, $E$13) + CHOOSE(CONTROL!$C$28, 0, 0)</f>
        <v>119.6665</v>
      </c>
      <c r="E990" s="4">
        <f>820.547573939766 * CHOOSE(CONTROL!$C$9, $C$13, 100%, $E$13) + CHOOSE(CONTROL!$C$28, 0, 0)</f>
        <v>820.54757393976604</v>
      </c>
    </row>
    <row r="991" spans="1:5" ht="15">
      <c r="A991" s="13">
        <v>71680</v>
      </c>
      <c r="B991" s="4">
        <f>163.7904 * CHOOSE(CONTROL!$C$9, $C$13, 100%, $E$13) + CHOOSE(CONTROL!$C$28, 0.0003, 0)</f>
        <v>163.79070000000002</v>
      </c>
      <c r="C991" s="4">
        <f>163.4779 * CHOOSE(CONTROL!$C$9, $C$13, 100%, $E$13) + CHOOSE(CONTROL!$C$28, 0.0003, 0)</f>
        <v>163.47820000000002</v>
      </c>
      <c r="D991" s="4">
        <f>126.0088 * CHOOSE(CONTROL!$C$9, $C$13, 100%, $E$13) + CHOOSE(CONTROL!$C$28, 0, 0)</f>
        <v>126.00879999999999</v>
      </c>
      <c r="E991" s="4">
        <f>870.524407297208 * CHOOSE(CONTROL!$C$9, $C$13, 100%, $E$13) + CHOOSE(CONTROL!$C$28, 0, 0)</f>
        <v>870.52440729720797</v>
      </c>
    </row>
    <row r="992" spans="1:5" ht="15">
      <c r="A992" s="13">
        <v>71710</v>
      </c>
      <c r="B992" s="4">
        <f>170.395 * CHOOSE(CONTROL!$C$9, $C$13, 100%, $E$13) + CHOOSE(CONTROL!$C$28, 0.0003, 0)</f>
        <v>170.39530000000002</v>
      </c>
      <c r="C992" s="4">
        <f>170.0825 * CHOOSE(CONTROL!$C$9, $C$13, 100%, $E$13) + CHOOSE(CONTROL!$C$28, 0.0003, 0)</f>
        <v>170.08280000000002</v>
      </c>
      <c r="D992" s="4">
        <f>129.6621 * CHOOSE(CONTROL!$C$9, $C$13, 100%, $E$13) + CHOOSE(CONTROL!$C$28, 0, 0)</f>
        <v>129.66210000000001</v>
      </c>
      <c r="E992" s="4">
        <f>906.033613426546 * CHOOSE(CONTROL!$C$9, $C$13, 100%, $E$13) + CHOOSE(CONTROL!$C$28, 0, 0)</f>
        <v>906.03361342654603</v>
      </c>
    </row>
    <row r="993" spans="1:5" ht="15">
      <c r="A993" s="13">
        <v>71741</v>
      </c>
      <c r="B993" s="4">
        <f>174.4302 * CHOOSE(CONTROL!$C$9, $C$13, 100%, $E$13) + CHOOSE(CONTROL!$C$28, 0.0202, 0)</f>
        <v>174.4504</v>
      </c>
      <c r="C993" s="4">
        <f>174.1177 * CHOOSE(CONTROL!$C$9, $C$13, 100%, $E$13) + CHOOSE(CONTROL!$C$28, 0.0202, 0)</f>
        <v>174.1379</v>
      </c>
      <c r="D993" s="4">
        <f>128.2185 * CHOOSE(CONTROL!$C$9, $C$13, 100%, $E$13) + CHOOSE(CONTROL!$C$28, 0, 0)</f>
        <v>128.21850000000001</v>
      </c>
      <c r="E993" s="4">
        <f>927.728887334676 * CHOOSE(CONTROL!$C$9, $C$13, 100%, $E$13) + CHOOSE(CONTROL!$C$28, 0, 0)</f>
        <v>927.72888733467596</v>
      </c>
    </row>
    <row r="994" spans="1:5" ht="15">
      <c r="A994" s="13">
        <v>71771</v>
      </c>
      <c r="B994" s="4">
        <f>174.9762 * CHOOSE(CONTROL!$C$9, $C$13, 100%, $E$13) + CHOOSE(CONTROL!$C$28, 0.0202, 0)</f>
        <v>174.99639999999999</v>
      </c>
      <c r="C994" s="4">
        <f>174.6637 * CHOOSE(CONTROL!$C$9, $C$13, 100%, $E$13) + CHOOSE(CONTROL!$C$28, 0.0202, 0)</f>
        <v>174.68389999999999</v>
      </c>
      <c r="D994" s="4">
        <f>129.3942 * CHOOSE(CONTROL!$C$9, $C$13, 100%, $E$13) + CHOOSE(CONTROL!$C$28, 0, 0)</f>
        <v>129.39420000000001</v>
      </c>
      <c r="E994" s="4">
        <f>930.664347931683 * CHOOSE(CONTROL!$C$9, $C$13, 100%, $E$13) + CHOOSE(CONTROL!$C$28, 0, 0)</f>
        <v>930.66434793168298</v>
      </c>
    </row>
    <row r="995" spans="1:5" ht="15">
      <c r="A995" s="13">
        <v>71802</v>
      </c>
      <c r="B995" s="4">
        <f>174.9212 * CHOOSE(CONTROL!$C$9, $C$13, 100%, $E$13) + CHOOSE(CONTROL!$C$28, 0.0202, 0)</f>
        <v>174.94139999999999</v>
      </c>
      <c r="C995" s="4">
        <f>174.6087 * CHOOSE(CONTROL!$C$9, $C$13, 100%, $E$13) + CHOOSE(CONTROL!$C$28, 0.0202, 0)</f>
        <v>174.62889999999999</v>
      </c>
      <c r="D995" s="4">
        <f>131.5156 * CHOOSE(CONTROL!$C$9, $C$13, 100%, $E$13) + CHOOSE(CONTROL!$C$28, 0, 0)</f>
        <v>131.51560000000001</v>
      </c>
      <c r="E995" s="4">
        <f>930.368335098371 * CHOOSE(CONTROL!$C$9, $C$13, 100%, $E$13) + CHOOSE(CONTROL!$C$28, 0, 0)</f>
        <v>930.36833509837095</v>
      </c>
    </row>
    <row r="996" spans="1:5" ht="15">
      <c r="A996" s="13">
        <v>71833</v>
      </c>
      <c r="B996" s="4">
        <f>179.0643 * CHOOSE(CONTROL!$C$9, $C$13, 100%, $E$13) + CHOOSE(CONTROL!$C$28, 0.0202, 0)</f>
        <v>179.08449999999999</v>
      </c>
      <c r="C996" s="4">
        <f>178.7518 * CHOOSE(CONTROL!$C$9, $C$13, 100%, $E$13) + CHOOSE(CONTROL!$C$28, 0.0202, 0)</f>
        <v>178.77199999999999</v>
      </c>
      <c r="D996" s="4">
        <f>130.1146 * CHOOSE(CONTROL!$C$9, $C$13, 100%, $E$13) + CHOOSE(CONTROL!$C$28, 0, 0)</f>
        <v>130.1146</v>
      </c>
      <c r="E996" s="4">
        <f>952.643300805069 * CHOOSE(CONTROL!$C$9, $C$13, 100%, $E$13) + CHOOSE(CONTROL!$C$28, 0, 0)</f>
        <v>952.64330080506898</v>
      </c>
    </row>
    <row r="997" spans="1:5" ht="15">
      <c r="A997" s="13">
        <v>71863</v>
      </c>
      <c r="B997" s="4">
        <f>172.0031 * CHOOSE(CONTROL!$C$9, $C$13, 100%, $E$13) + CHOOSE(CONTROL!$C$28, 0.0202, 0)</f>
        <v>172.02329999999998</v>
      </c>
      <c r="C997" s="4">
        <f>171.6906 * CHOOSE(CONTROL!$C$9, $C$13, 100%, $E$13) + CHOOSE(CONTROL!$C$28, 0.0202, 0)</f>
        <v>171.71079999999998</v>
      </c>
      <c r="D997" s="4">
        <f>129.4527 * CHOOSE(CONTROL!$C$9, $C$13, 100%, $E$13) + CHOOSE(CONTROL!$C$28, 0, 0)</f>
        <v>129.45269999999999</v>
      </c>
      <c r="E997" s="4">
        <f>914.679654932856 * CHOOSE(CONTROL!$C$9, $C$13, 100%, $E$13) + CHOOSE(CONTROL!$C$28, 0, 0)</f>
        <v>914.67965493285601</v>
      </c>
    </row>
    <row r="998" spans="1:5" ht="15">
      <c r="A998" s="13">
        <v>71894</v>
      </c>
      <c r="B998" s="4">
        <f>166.3505 * CHOOSE(CONTROL!$C$9, $C$13, 100%, $E$13) + CHOOSE(CONTROL!$C$28, 0.0003, 0)</f>
        <v>166.35080000000002</v>
      </c>
      <c r="C998" s="4">
        <f>166.038 * CHOOSE(CONTROL!$C$9, $C$13, 100%, $E$13) + CHOOSE(CONTROL!$C$28, 0.0003, 0)</f>
        <v>166.03830000000002</v>
      </c>
      <c r="D998" s="4">
        <f>127.6803 * CHOOSE(CONTROL!$C$9, $C$13, 100%, $E$13) + CHOOSE(CONTROL!$C$28, 0, 0)</f>
        <v>127.6803</v>
      </c>
      <c r="E998" s="4">
        <f>884.289004046198 * CHOOSE(CONTROL!$C$9, $C$13, 100%, $E$13) + CHOOSE(CONTROL!$C$28, 0, 0)</f>
        <v>884.28900404619799</v>
      </c>
    </row>
    <row r="999" spans="1:5" ht="15">
      <c r="A999" s="13">
        <v>71924</v>
      </c>
      <c r="B999" s="4">
        <f>162.7099 * CHOOSE(CONTROL!$C$9, $C$13, 100%, $E$13) + CHOOSE(CONTROL!$C$28, 0.0003, 0)</f>
        <v>162.71020000000001</v>
      </c>
      <c r="C999" s="4">
        <f>162.3974 * CHOOSE(CONTROL!$C$9, $C$13, 100%, $E$13) + CHOOSE(CONTROL!$C$28, 0.0003, 0)</f>
        <v>162.39770000000001</v>
      </c>
      <c r="D999" s="4">
        <f>127.071 * CHOOSE(CONTROL!$C$9, $C$13, 100%, $E$13) + CHOOSE(CONTROL!$C$28, 0, 0)</f>
        <v>127.071</v>
      </c>
      <c r="E999" s="4">
        <f>864.715155443468 * CHOOSE(CONTROL!$C$9, $C$13, 100%, $E$13) + CHOOSE(CONTROL!$C$28, 0, 0)</f>
        <v>864.71515544346801</v>
      </c>
    </row>
    <row r="1000" spans="1:5" ht="15">
      <c r="A1000" s="13">
        <v>71955</v>
      </c>
      <c r="B1000" s="4">
        <f>160.191 * CHOOSE(CONTROL!$C$9, $C$13, 100%, $E$13) + CHOOSE(CONTROL!$C$28, 0.0003, 0)</f>
        <v>160.19130000000001</v>
      </c>
      <c r="C1000" s="4">
        <f>159.8785 * CHOOSE(CONTROL!$C$9, $C$13, 100%, $E$13) + CHOOSE(CONTROL!$C$28, 0.0003, 0)</f>
        <v>159.87880000000001</v>
      </c>
      <c r="D1000" s="4">
        <f>122.5849 * CHOOSE(CONTROL!$C$9, $C$13, 100%, $E$13) + CHOOSE(CONTROL!$C$28, 0, 0)</f>
        <v>122.5849</v>
      </c>
      <c r="E1000" s="4">
        <f>851.172568319462 * CHOOSE(CONTROL!$C$9, $C$13, 100%, $E$13) + CHOOSE(CONTROL!$C$28, 0, 0)</f>
        <v>851.17256831946202</v>
      </c>
    </row>
    <row r="1001" spans="1:5" ht="15">
      <c r="A1001" s="13">
        <v>71986</v>
      </c>
      <c r="B1001" s="4">
        <f>156.0983 * CHOOSE(CONTROL!$C$9, $C$13, 100%, $E$13) + CHOOSE(CONTROL!$C$28, 0.0003, 0)</f>
        <v>156.0986</v>
      </c>
      <c r="C1001" s="4">
        <f>155.7858 * CHOOSE(CONTROL!$C$9, $C$13, 100%, $E$13) + CHOOSE(CONTROL!$C$28, 0.0003, 0)</f>
        <v>155.7861</v>
      </c>
      <c r="D1001" s="4">
        <f>118.4619 * CHOOSE(CONTROL!$C$9, $C$13, 100%, $E$13) + CHOOSE(CONTROL!$C$28, 0, 0)</f>
        <v>118.4619</v>
      </c>
      <c r="E1001" s="4">
        <f>826.764182620681 * CHOOSE(CONTROL!$C$9, $C$13, 100%, $E$13) + CHOOSE(CONTROL!$C$28, 0, 0)</f>
        <v>826.76418262068103</v>
      </c>
    </row>
    <row r="1002" spans="1:5" ht="15">
      <c r="A1002" s="13">
        <v>72014</v>
      </c>
      <c r="B1002" s="4">
        <f>159.7602 * CHOOSE(CONTROL!$C$9, $C$13, 100%, $E$13) + CHOOSE(CONTROL!$C$28, 0.0003, 0)</f>
        <v>159.76050000000001</v>
      </c>
      <c r="C1002" s="4">
        <f>159.4477 * CHOOSE(CONTROL!$C$9, $C$13, 100%, $E$13) + CHOOSE(CONTROL!$C$28, 0.0003, 0)</f>
        <v>159.44800000000001</v>
      </c>
      <c r="D1002" s="4">
        <f>122.6138 * CHOOSE(CONTROL!$C$9, $C$13, 100%, $E$13) + CHOOSE(CONTROL!$C$28, 0, 0)</f>
        <v>122.6138</v>
      </c>
      <c r="E1002" s="4">
        <f>846.394822518869 * CHOOSE(CONTROL!$C$9, $C$13, 100%, $E$13) + CHOOSE(CONTROL!$C$28, 0, 0)</f>
        <v>846.39482251886898</v>
      </c>
    </row>
    <row r="1003" spans="1:5" ht="15">
      <c r="A1003" s="13">
        <v>72045</v>
      </c>
      <c r="B1003" s="4">
        <f>169.3764 * CHOOSE(CONTROL!$C$9, $C$13, 100%, $E$13) + CHOOSE(CONTROL!$C$28, 0.0003, 0)</f>
        <v>169.3767</v>
      </c>
      <c r="C1003" s="4">
        <f>169.0639 * CHOOSE(CONTROL!$C$9, $C$13, 100%, $E$13) + CHOOSE(CONTROL!$C$28, 0.0003, 0)</f>
        <v>169.0642</v>
      </c>
      <c r="D1003" s="4">
        <f>129.1134 * CHOOSE(CONTROL!$C$9, $C$13, 100%, $E$13) + CHOOSE(CONTROL!$C$28, 0, 0)</f>
        <v>129.11340000000001</v>
      </c>
      <c r="E1003" s="4">
        <f>897.94592612707 * CHOOSE(CONTROL!$C$9, $C$13, 100%, $E$13) + CHOOSE(CONTROL!$C$28, 0, 0)</f>
        <v>897.94592612707004</v>
      </c>
    </row>
    <row r="1004" spans="1:5" ht="15">
      <c r="A1004" s="13">
        <v>72075</v>
      </c>
      <c r="B1004" s="4">
        <f>176.2089 * CHOOSE(CONTROL!$C$9, $C$13, 100%, $E$13) + CHOOSE(CONTROL!$C$28, 0.0003, 0)</f>
        <v>176.20920000000001</v>
      </c>
      <c r="C1004" s="4">
        <f>175.8964 * CHOOSE(CONTROL!$C$9, $C$13, 100%, $E$13) + CHOOSE(CONTROL!$C$28, 0.0003, 0)</f>
        <v>175.89670000000001</v>
      </c>
      <c r="D1004" s="4">
        <f>132.8573 * CHOOSE(CONTROL!$C$9, $C$13, 100%, $E$13) + CHOOSE(CONTROL!$C$28, 0, 0)</f>
        <v>132.85730000000001</v>
      </c>
      <c r="E1004" s="4">
        <f>934.573672249483 * CHOOSE(CONTROL!$C$9, $C$13, 100%, $E$13) + CHOOSE(CONTROL!$C$28, 0, 0)</f>
        <v>934.57367224948302</v>
      </c>
    </row>
    <row r="1005" spans="1:5" ht="15">
      <c r="A1005" s="13">
        <v>72106</v>
      </c>
      <c r="B1005" s="4">
        <f>180.3834 * CHOOSE(CONTROL!$C$9, $C$13, 100%, $E$13) + CHOOSE(CONTROL!$C$28, 0.0202, 0)</f>
        <v>180.40359999999998</v>
      </c>
      <c r="C1005" s="4">
        <f>180.0709 * CHOOSE(CONTROL!$C$9, $C$13, 100%, $E$13) + CHOOSE(CONTROL!$C$28, 0.0202, 0)</f>
        <v>180.09109999999998</v>
      </c>
      <c r="D1005" s="4">
        <f>131.3779 * CHOOSE(CONTROL!$C$9, $C$13, 100%, $E$13) + CHOOSE(CONTROL!$C$28, 0, 0)</f>
        <v>131.37790000000001</v>
      </c>
      <c r="E1005" s="4">
        <f>956.952347285718 * CHOOSE(CONTROL!$C$9, $C$13, 100%, $E$13) + CHOOSE(CONTROL!$C$28, 0, 0)</f>
        <v>956.95234728571802</v>
      </c>
    </row>
    <row r="1006" spans="1:5" ht="15">
      <c r="A1006" s="13">
        <v>72136</v>
      </c>
      <c r="B1006" s="4">
        <f>180.9482 * CHOOSE(CONTROL!$C$9, $C$13, 100%, $E$13) + CHOOSE(CONTROL!$C$28, 0.0202, 0)</f>
        <v>180.9684</v>
      </c>
      <c r="C1006" s="4">
        <f>180.6357 * CHOOSE(CONTROL!$C$9, $C$13, 100%, $E$13) + CHOOSE(CONTROL!$C$28, 0.0202, 0)</f>
        <v>180.6559</v>
      </c>
      <c r="D1006" s="4">
        <f>132.5828 * CHOOSE(CONTROL!$C$9, $C$13, 100%, $E$13) + CHOOSE(CONTROL!$C$28, 0, 0)</f>
        <v>132.58279999999999</v>
      </c>
      <c r="E1006" s="4">
        <f>959.980274891531 * CHOOSE(CONTROL!$C$9, $C$13, 100%, $E$13) + CHOOSE(CONTROL!$C$28, 0, 0)</f>
        <v>959.98027489153105</v>
      </c>
    </row>
    <row r="1007" spans="1:5" ht="15">
      <c r="A1007" s="13">
        <v>72167</v>
      </c>
      <c r="B1007" s="4">
        <f>180.8913 * CHOOSE(CONTROL!$C$9, $C$13, 100%, $E$13) + CHOOSE(CONTROL!$C$28, 0.0202, 0)</f>
        <v>180.91149999999999</v>
      </c>
      <c r="C1007" s="4">
        <f>180.5788 * CHOOSE(CONTROL!$C$9, $C$13, 100%, $E$13) + CHOOSE(CONTROL!$C$28, 0.0202, 0)</f>
        <v>180.59899999999999</v>
      </c>
      <c r="D1007" s="4">
        <f>134.7568 * CHOOSE(CONTROL!$C$9, $C$13, 100%, $E$13) + CHOOSE(CONTROL!$C$28, 0, 0)</f>
        <v>134.7568</v>
      </c>
      <c r="E1007" s="4">
        <f>959.67493765397 * CHOOSE(CONTROL!$C$9, $C$13, 100%, $E$13) + CHOOSE(CONTROL!$C$28, 0, 0)</f>
        <v>959.67493765397001</v>
      </c>
    </row>
    <row r="1008" spans="1:5" ht="15">
      <c r="A1008" s="13">
        <v>72198</v>
      </c>
      <c r="B1008" s="4">
        <f>185.1773 * CHOOSE(CONTROL!$C$9, $C$13, 100%, $E$13) + CHOOSE(CONTROL!$C$28, 0.0202, 0)</f>
        <v>185.19749999999999</v>
      </c>
      <c r="C1008" s="4">
        <f>184.8648 * CHOOSE(CONTROL!$C$9, $C$13, 100%, $E$13) + CHOOSE(CONTROL!$C$28, 0.0202, 0)</f>
        <v>184.88499999999999</v>
      </c>
      <c r="D1008" s="4">
        <f>133.3211 * CHOOSE(CONTROL!$C$9, $C$13, 100%, $E$13) + CHOOSE(CONTROL!$C$28, 0, 0)</f>
        <v>133.3211</v>
      </c>
      <c r="E1008" s="4">
        <f>982.651564780429 * CHOOSE(CONTROL!$C$9, $C$13, 100%, $E$13) + CHOOSE(CONTROL!$C$28, 0, 0)</f>
        <v>982.651564780429</v>
      </c>
    </row>
    <row r="1009" spans="1:5" ht="15">
      <c r="A1009" s="13">
        <v>72228</v>
      </c>
      <c r="B1009" s="4">
        <f>177.8725 * CHOOSE(CONTROL!$C$9, $C$13, 100%, $E$13) + CHOOSE(CONTROL!$C$28, 0.0202, 0)</f>
        <v>177.89269999999999</v>
      </c>
      <c r="C1009" s="4">
        <f>177.56 * CHOOSE(CONTROL!$C$9, $C$13, 100%, $E$13) + CHOOSE(CONTROL!$C$28, 0.0202, 0)</f>
        <v>177.58019999999999</v>
      </c>
      <c r="D1009" s="4">
        <f>132.6427 * CHOOSE(CONTROL!$C$9, $C$13, 100%, $E$13) + CHOOSE(CONTROL!$C$28, 0, 0)</f>
        <v>132.64269999999999</v>
      </c>
      <c r="E1009" s="4">
        <f>943.492064063241 * CHOOSE(CONTROL!$C$9, $C$13, 100%, $E$13) + CHOOSE(CONTROL!$C$28, 0, 0)</f>
        <v>943.49206406324095</v>
      </c>
    </row>
    <row r="1010" spans="1:5" ht="15">
      <c r="A1010" s="13">
        <v>72259</v>
      </c>
      <c r="B1010" s="4">
        <f>172.0249 * CHOOSE(CONTROL!$C$9, $C$13, 100%, $E$13) + CHOOSE(CONTROL!$C$28, 0.0003, 0)</f>
        <v>172.02520000000001</v>
      </c>
      <c r="C1010" s="4">
        <f>171.7124 * CHOOSE(CONTROL!$C$9, $C$13, 100%, $E$13) + CHOOSE(CONTROL!$C$28, 0.0003, 0)</f>
        <v>171.71270000000001</v>
      </c>
      <c r="D1010" s="4">
        <f>130.8264 * CHOOSE(CONTROL!$C$9, $C$13, 100%, $E$13) + CHOOSE(CONTROL!$C$28, 0, 0)</f>
        <v>130.82640000000001</v>
      </c>
      <c r="E1010" s="4">
        <f>912.144107673653 * CHOOSE(CONTROL!$C$9, $C$13, 100%, $E$13) + CHOOSE(CONTROL!$C$28, 0, 0)</f>
        <v>912.14410767365302</v>
      </c>
    </row>
    <row r="1011" spans="1:5" ht="15">
      <c r="A1011" s="13">
        <v>72289</v>
      </c>
      <c r="B1011" s="4">
        <f>168.2587 * CHOOSE(CONTROL!$C$9, $C$13, 100%, $E$13) + CHOOSE(CONTROL!$C$28, 0.0003, 0)</f>
        <v>168.25900000000001</v>
      </c>
      <c r="C1011" s="4">
        <f>167.9462 * CHOOSE(CONTROL!$C$9, $C$13, 100%, $E$13) + CHOOSE(CONTROL!$C$28, 0.0003, 0)</f>
        <v>167.94650000000001</v>
      </c>
      <c r="D1011" s="4">
        <f>130.2019 * CHOOSE(CONTROL!$C$9, $C$13, 100%, $E$13) + CHOOSE(CONTROL!$C$28, 0, 0)</f>
        <v>130.20189999999999</v>
      </c>
      <c r="E1011" s="4">
        <f>891.953682839937 * CHOOSE(CONTROL!$C$9, $C$13, 100%, $E$13) + CHOOSE(CONTROL!$C$28, 0, 0)</f>
        <v>891.95368283993696</v>
      </c>
    </row>
    <row r="1012" spans="1:5" ht="15">
      <c r="A1012" s="13">
        <v>72320</v>
      </c>
      <c r="B1012" s="4">
        <f>165.6529 * CHOOSE(CONTROL!$C$9, $C$13, 100%, $E$13) + CHOOSE(CONTROL!$C$28, 0.0003, 0)</f>
        <v>165.6532</v>
      </c>
      <c r="C1012" s="4">
        <f>165.3404 * CHOOSE(CONTROL!$C$9, $C$13, 100%, $E$13) + CHOOSE(CONTROL!$C$28, 0.0003, 0)</f>
        <v>165.3407</v>
      </c>
      <c r="D1012" s="4">
        <f>125.6046 * CHOOSE(CONTROL!$C$9, $C$13, 100%, $E$13) + CHOOSE(CONTROL!$C$28, 0, 0)</f>
        <v>125.6046</v>
      </c>
      <c r="E1012" s="4">
        <f>877.984504221526 * CHOOSE(CONTROL!$C$9, $C$13, 100%, $E$13) + CHOOSE(CONTROL!$C$28, 0, 0)</f>
        <v>877.98450422152598</v>
      </c>
    </row>
    <row r="1013" spans="1:5" ht="15">
      <c r="A1013" s="13">
        <v>72351</v>
      </c>
      <c r="B1013" s="4">
        <f>161.419 * CHOOSE(CONTROL!$C$9, $C$13, 100%, $E$13) + CHOOSE(CONTROL!$C$28, 0.0003, 0)</f>
        <v>161.41930000000002</v>
      </c>
      <c r="C1013" s="4">
        <f>161.1065 * CHOOSE(CONTROL!$C$9, $C$13, 100%, $E$13) + CHOOSE(CONTROL!$C$28, 0.0003, 0)</f>
        <v>161.10680000000002</v>
      </c>
      <c r="D1013" s="4">
        <f>121.3793 * CHOOSE(CONTROL!$C$9, $C$13, 100%, $E$13) + CHOOSE(CONTROL!$C$28, 0, 0)</f>
        <v>121.3793</v>
      </c>
      <c r="E1013" s="4">
        <f>852.807254373233 * CHOOSE(CONTROL!$C$9, $C$13, 100%, $E$13) + CHOOSE(CONTROL!$C$28, 0, 0)</f>
        <v>852.80725437323304</v>
      </c>
    </row>
    <row r="1014" spans="1:5" ht="15">
      <c r="A1014" s="13">
        <v>72379</v>
      </c>
      <c r="B1014" s="4">
        <f>165.2072 * CHOOSE(CONTROL!$C$9, $C$13, 100%, $E$13) + CHOOSE(CONTROL!$C$28, 0.0003, 0)</f>
        <v>165.20750000000001</v>
      </c>
      <c r="C1014" s="4">
        <f>164.8947 * CHOOSE(CONTROL!$C$9, $C$13, 100%, $E$13) + CHOOSE(CONTROL!$C$28, 0.0003, 0)</f>
        <v>164.89500000000001</v>
      </c>
      <c r="D1014" s="4">
        <f>125.6342 * CHOOSE(CONTROL!$C$9, $C$13, 100%, $E$13) + CHOOSE(CONTROL!$C$28, 0, 0)</f>
        <v>125.63420000000001</v>
      </c>
      <c r="E1014" s="4">
        <f>873.056259428213 * CHOOSE(CONTROL!$C$9, $C$13, 100%, $E$13) + CHOOSE(CONTROL!$C$28, 0, 0)</f>
        <v>873.05625942821302</v>
      </c>
    </row>
    <row r="1015" spans="1:5" ht="15">
      <c r="A1015" s="13">
        <v>72410</v>
      </c>
      <c r="B1015" s="4">
        <f>175.1552 * CHOOSE(CONTROL!$C$9, $C$13, 100%, $E$13) + CHOOSE(CONTROL!$C$28, 0.0003, 0)</f>
        <v>175.15550000000002</v>
      </c>
      <c r="C1015" s="4">
        <f>174.8427 * CHOOSE(CONTROL!$C$9, $C$13, 100%, $E$13) + CHOOSE(CONTROL!$C$28, 0.0003, 0)</f>
        <v>174.84300000000002</v>
      </c>
      <c r="D1015" s="4">
        <f>132.295 * CHOOSE(CONTROL!$C$9, $C$13, 100%, $E$13) + CHOOSE(CONTROL!$C$28, 0, 0)</f>
        <v>132.29499999999999</v>
      </c>
      <c r="E1015" s="4">
        <f>926.231222800073 * CHOOSE(CONTROL!$C$9, $C$13, 100%, $E$13) + CHOOSE(CONTROL!$C$28, 0, 0)</f>
        <v>926.23122280007306</v>
      </c>
    </row>
    <row r="1016" spans="1:5" ht="15">
      <c r="A1016" s="13">
        <v>72440</v>
      </c>
      <c r="B1016" s="4">
        <f>182.2234 * CHOOSE(CONTROL!$C$9, $C$13, 100%, $E$13) + CHOOSE(CONTROL!$C$28, 0.0003, 0)</f>
        <v>182.22370000000001</v>
      </c>
      <c r="C1016" s="4">
        <f>181.9109 * CHOOSE(CONTROL!$C$9, $C$13, 100%, $E$13) + CHOOSE(CONTROL!$C$28, 0.0003, 0)</f>
        <v>181.91120000000001</v>
      </c>
      <c r="D1016" s="4">
        <f>136.1318 * CHOOSE(CONTROL!$C$9, $C$13, 100%, $E$13) + CHOOSE(CONTROL!$C$28, 0, 0)</f>
        <v>136.1318</v>
      </c>
      <c r="E1016" s="4">
        <f>964.012742925341 * CHOOSE(CONTROL!$C$9, $C$13, 100%, $E$13) + CHOOSE(CONTROL!$C$28, 0, 0)</f>
        <v>964.01274292534094</v>
      </c>
    </row>
    <row r="1017" spans="1:5" ht="15">
      <c r="A1017" s="13">
        <v>72471</v>
      </c>
      <c r="B1017" s="4">
        <f>186.5419 * CHOOSE(CONTROL!$C$9, $C$13, 100%, $E$13) + CHOOSE(CONTROL!$C$28, 0.0202, 0)</f>
        <v>186.56209999999999</v>
      </c>
      <c r="C1017" s="4">
        <f>186.2294 * CHOOSE(CONTROL!$C$9, $C$13, 100%, $E$13) + CHOOSE(CONTROL!$C$28, 0.0202, 0)</f>
        <v>186.24959999999999</v>
      </c>
      <c r="D1017" s="4">
        <f>134.6157 * CHOOSE(CONTROL!$C$9, $C$13, 100%, $E$13) + CHOOSE(CONTROL!$C$28, 0, 0)</f>
        <v>134.6157</v>
      </c>
      <c r="E1017" s="4">
        <f>987.096346225218 * CHOOSE(CONTROL!$C$9, $C$13, 100%, $E$13) + CHOOSE(CONTROL!$C$28, 0, 0)</f>
        <v>987.09634622521799</v>
      </c>
    </row>
    <row r="1018" spans="1:5" ht="15">
      <c r="A1018" s="13">
        <v>72501</v>
      </c>
      <c r="B1018" s="4">
        <f>187.1263 * CHOOSE(CONTROL!$C$9, $C$13, 100%, $E$13) + CHOOSE(CONTROL!$C$28, 0.0202, 0)</f>
        <v>187.14649999999997</v>
      </c>
      <c r="C1018" s="4">
        <f>186.8138 * CHOOSE(CONTROL!$C$9, $C$13, 100%, $E$13) + CHOOSE(CONTROL!$C$28, 0.0202, 0)</f>
        <v>186.83399999999997</v>
      </c>
      <c r="D1018" s="4">
        <f>135.8504 * CHOOSE(CONTROL!$C$9, $C$13, 100%, $E$13) + CHOOSE(CONTROL!$C$28, 0, 0)</f>
        <v>135.85040000000001</v>
      </c>
      <c r="E1018" s="4">
        <f>990.219653550614 * CHOOSE(CONTROL!$C$9, $C$13, 100%, $E$13) + CHOOSE(CONTROL!$C$28, 0, 0)</f>
        <v>990.219653550614</v>
      </c>
    </row>
    <row r="1019" spans="1:5" ht="15">
      <c r="A1019" s="13">
        <v>72532</v>
      </c>
      <c r="B1019" s="4">
        <f>187.0673 * CHOOSE(CONTROL!$C$9, $C$13, 100%, $E$13) + CHOOSE(CONTROL!$C$28, 0.0202, 0)</f>
        <v>187.08749999999998</v>
      </c>
      <c r="C1019" s="4">
        <f>186.7548 * CHOOSE(CONTROL!$C$9, $C$13, 100%, $E$13) + CHOOSE(CONTROL!$C$28, 0.0202, 0)</f>
        <v>186.77499999999998</v>
      </c>
      <c r="D1019" s="4">
        <f>138.0784 * CHOOSE(CONTROL!$C$9, $C$13, 100%, $E$13) + CHOOSE(CONTROL!$C$28, 0, 0)</f>
        <v>138.07839999999999</v>
      </c>
      <c r="E1019" s="4">
        <f>989.90469819007 * CHOOSE(CONTROL!$C$9, $C$13, 100%, $E$13) + CHOOSE(CONTROL!$C$28, 0, 0)</f>
        <v>989.90469819007001</v>
      </c>
    </row>
    <row r="1020" spans="1:5" ht="15">
      <c r="A1020" s="13">
        <v>72563</v>
      </c>
      <c r="B1020" s="4">
        <f>191.5012 * CHOOSE(CONTROL!$C$9, $C$13, 100%, $E$13) + CHOOSE(CONTROL!$C$28, 0.0202, 0)</f>
        <v>191.5214</v>
      </c>
      <c r="C1020" s="4">
        <f>191.1887 * CHOOSE(CONTROL!$C$9, $C$13, 100%, $E$13) + CHOOSE(CONTROL!$C$28, 0.0202, 0)</f>
        <v>191.2089</v>
      </c>
      <c r="D1020" s="4">
        <f>136.607 * CHOOSE(CONTROL!$C$9, $C$13, 100%, $E$13) + CHOOSE(CONTROL!$C$28, 0, 0)</f>
        <v>136.607</v>
      </c>
      <c r="E1020" s="4">
        <f>1013.60508907101 * CHOOSE(CONTROL!$C$9, $C$13, 100%, $E$13) + CHOOSE(CONTROL!$C$28, 0, 0)</f>
        <v>1013.60508907101</v>
      </c>
    </row>
    <row r="1021" spans="1:5" ht="15">
      <c r="A1021" s="13">
        <v>72593</v>
      </c>
      <c r="B1021" s="4">
        <f>183.9445 * CHOOSE(CONTROL!$C$9, $C$13, 100%, $E$13) + CHOOSE(CONTROL!$C$28, 0.0202, 0)</f>
        <v>183.96469999999999</v>
      </c>
      <c r="C1021" s="4">
        <f>183.632 * CHOOSE(CONTROL!$C$9, $C$13, 100%, $E$13) + CHOOSE(CONTROL!$C$28, 0.0202, 0)</f>
        <v>183.65219999999999</v>
      </c>
      <c r="D1021" s="4">
        <f>135.9118 * CHOOSE(CONTROL!$C$9, $C$13, 100%, $E$13) + CHOOSE(CONTROL!$C$28, 0, 0)</f>
        <v>135.9118</v>
      </c>
      <c r="E1021" s="4">
        <f>973.212064081233 * CHOOSE(CONTROL!$C$9, $C$13, 100%, $E$13) + CHOOSE(CONTROL!$C$28, 0, 0)</f>
        <v>973.21206408123305</v>
      </c>
    </row>
    <row r="1022" spans="1:5" ht="15">
      <c r="A1022" s="13">
        <v>72624</v>
      </c>
      <c r="B1022" s="4">
        <f>177.8951 * CHOOSE(CONTROL!$C$9, $C$13, 100%, $E$13) + CHOOSE(CONTROL!$C$28, 0.0003, 0)</f>
        <v>177.89540000000002</v>
      </c>
      <c r="C1022" s="4">
        <f>177.5826 * CHOOSE(CONTROL!$C$9, $C$13, 100%, $E$13) + CHOOSE(CONTROL!$C$28, 0.0003, 0)</f>
        <v>177.58290000000002</v>
      </c>
      <c r="D1022" s="4">
        <f>134.0505 * CHOOSE(CONTROL!$C$9, $C$13, 100%, $E$13) + CHOOSE(CONTROL!$C$28, 0, 0)</f>
        <v>134.0505</v>
      </c>
      <c r="E1022" s="4">
        <f>940.876647065373 * CHOOSE(CONTROL!$C$9, $C$13, 100%, $E$13) + CHOOSE(CONTROL!$C$28, 0, 0)</f>
        <v>940.87664706537305</v>
      </c>
    </row>
    <row r="1023" spans="1:5" ht="15">
      <c r="A1023" s="13">
        <v>72654</v>
      </c>
      <c r="B1023" s="4">
        <f>173.9989 * CHOOSE(CONTROL!$C$9, $C$13, 100%, $E$13) + CHOOSE(CONTROL!$C$28, 0.0003, 0)</f>
        <v>173.9992</v>
      </c>
      <c r="C1023" s="4">
        <f>173.6864 * CHOOSE(CONTROL!$C$9, $C$13, 100%, $E$13) + CHOOSE(CONTROL!$C$28, 0.0003, 0)</f>
        <v>173.6867</v>
      </c>
      <c r="D1023" s="4">
        <f>133.4105 * CHOOSE(CONTROL!$C$9, $C$13, 100%, $E$13) + CHOOSE(CONTROL!$C$28, 0, 0)</f>
        <v>133.41050000000001</v>
      </c>
      <c r="E1023" s="4">
        <f>920.050223849395 * CHOOSE(CONTROL!$C$9, $C$13, 100%, $E$13) + CHOOSE(CONTROL!$C$28, 0, 0)</f>
        <v>920.05022384939502</v>
      </c>
    </row>
    <row r="1024" spans="1:5" ht="15">
      <c r="A1024" s="13">
        <v>72685</v>
      </c>
      <c r="B1024" s="4">
        <f>171.3032 * CHOOSE(CONTROL!$C$9, $C$13, 100%, $E$13) + CHOOSE(CONTROL!$C$28, 0.0003, 0)</f>
        <v>171.30350000000001</v>
      </c>
      <c r="C1024" s="4">
        <f>170.9907 * CHOOSE(CONTROL!$C$9, $C$13, 100%, $E$13) + CHOOSE(CONTROL!$C$28, 0.0003, 0)</f>
        <v>170.99100000000001</v>
      </c>
      <c r="D1024" s="4">
        <f>128.6992 * CHOOSE(CONTROL!$C$9, $C$13, 100%, $E$13) + CHOOSE(CONTROL!$C$28, 0, 0)</f>
        <v>128.69919999999999</v>
      </c>
      <c r="E1024" s="4">
        <f>905.641016104504 * CHOOSE(CONTROL!$C$9, $C$13, 100%, $E$13) + CHOOSE(CONTROL!$C$28, 0, 0)</f>
        <v>905.64101610450405</v>
      </c>
    </row>
    <row r="1025" spans="1:5" ht="15">
      <c r="A1025" s="13">
        <v>72716</v>
      </c>
      <c r="B1025" s="4">
        <f>166.9233 * CHOOSE(CONTROL!$C$9, $C$13, 100%, $E$13) + CHOOSE(CONTROL!$C$28, 0.0003, 0)</f>
        <v>166.92360000000002</v>
      </c>
      <c r="C1025" s="4">
        <f>166.6108 * CHOOSE(CONTROL!$C$9, $C$13, 100%, $E$13) + CHOOSE(CONTROL!$C$28, 0.0003, 0)</f>
        <v>166.61110000000002</v>
      </c>
      <c r="D1025" s="4">
        <f>124.3691 * CHOOSE(CONTROL!$C$9, $C$13, 100%, $E$13) + CHOOSE(CONTROL!$C$28, 0, 0)</f>
        <v>124.3691</v>
      </c>
      <c r="E1025" s="4">
        <f>879.670682885989 * CHOOSE(CONTROL!$C$9, $C$13, 100%, $E$13) + CHOOSE(CONTROL!$C$28, 0, 0)</f>
        <v>879.67068288598898</v>
      </c>
    </row>
    <row r="1026" spans="1:5" ht="15">
      <c r="A1026" s="13">
        <v>72744</v>
      </c>
      <c r="B1026" s="4">
        <f>170.8422 * CHOOSE(CONTROL!$C$9, $C$13, 100%, $E$13) + CHOOSE(CONTROL!$C$28, 0.0003, 0)</f>
        <v>170.8425</v>
      </c>
      <c r="C1026" s="4">
        <f>170.5297 * CHOOSE(CONTROL!$C$9, $C$13, 100%, $E$13) + CHOOSE(CONTROL!$C$28, 0.0003, 0)</f>
        <v>170.53</v>
      </c>
      <c r="D1026" s="4">
        <f>128.7296 * CHOOSE(CONTROL!$C$9, $C$13, 100%, $E$13) + CHOOSE(CONTROL!$C$28, 0, 0)</f>
        <v>128.7296</v>
      </c>
      <c r="E1026" s="4">
        <f>900.557531600202 * CHOOSE(CONTROL!$C$9, $C$13, 100%, $E$13) + CHOOSE(CONTROL!$C$28, 0, 0)</f>
        <v>900.55753160020197</v>
      </c>
    </row>
    <row r="1027" spans="1:5" ht="15">
      <c r="A1027" s="13">
        <v>72775</v>
      </c>
      <c r="B1027" s="4">
        <f>181.1334 * CHOOSE(CONTROL!$C$9, $C$13, 100%, $E$13) + CHOOSE(CONTROL!$C$28, 0.0003, 0)</f>
        <v>181.1337</v>
      </c>
      <c r="C1027" s="4">
        <f>180.8209 * CHOOSE(CONTROL!$C$9, $C$13, 100%, $E$13) + CHOOSE(CONTROL!$C$28, 0.0003, 0)</f>
        <v>180.8212</v>
      </c>
      <c r="D1027" s="4">
        <f>135.5555 * CHOOSE(CONTROL!$C$9, $C$13, 100%, $E$13) + CHOOSE(CONTROL!$C$28, 0, 0)</f>
        <v>135.55549999999999</v>
      </c>
      <c r="E1027" s="4">
        <f>955.407506318276 * CHOOSE(CONTROL!$C$9, $C$13, 100%, $E$13) + CHOOSE(CONTROL!$C$28, 0, 0)</f>
        <v>955.40750631827598</v>
      </c>
    </row>
    <row r="1028" spans="1:5" ht="15">
      <c r="A1028" s="13">
        <v>72805</v>
      </c>
      <c r="B1028" s="4">
        <f>188.4455 * CHOOSE(CONTROL!$C$9, $C$13, 100%, $E$13) + CHOOSE(CONTROL!$C$28, 0.0003, 0)</f>
        <v>188.44580000000002</v>
      </c>
      <c r="C1028" s="4">
        <f>188.133 * CHOOSE(CONTROL!$C$9, $C$13, 100%, $E$13) + CHOOSE(CONTROL!$C$28, 0.0003, 0)</f>
        <v>188.13330000000002</v>
      </c>
      <c r="D1028" s="4">
        <f>139.4874 * CHOOSE(CONTROL!$C$9, $C$13, 100%, $E$13) + CHOOSE(CONTROL!$C$28, 0, 0)</f>
        <v>139.48740000000001</v>
      </c>
      <c r="E1028" s="4">
        <f>994.37914432749 * CHOOSE(CONTROL!$C$9, $C$13, 100%, $E$13) + CHOOSE(CONTROL!$C$28, 0, 0)</f>
        <v>994.37914432749005</v>
      </c>
    </row>
    <row r="1029" spans="1:5" ht="15">
      <c r="A1029" s="13">
        <v>72836</v>
      </c>
      <c r="B1029" s="4">
        <f>192.913 * CHOOSE(CONTROL!$C$9, $C$13, 100%, $E$13) + CHOOSE(CONTROL!$C$28, 0.0202, 0)</f>
        <v>192.9332</v>
      </c>
      <c r="C1029" s="4">
        <f>192.6005 * CHOOSE(CONTROL!$C$9, $C$13, 100%, $E$13) + CHOOSE(CONTROL!$C$28, 0.0202, 0)</f>
        <v>192.6207</v>
      </c>
      <c r="D1029" s="4">
        <f>137.9337 * CHOOSE(CONTROL!$C$9, $C$13, 100%, $E$13) + CHOOSE(CONTROL!$C$28, 0, 0)</f>
        <v>137.93369999999999</v>
      </c>
      <c r="E1029" s="4">
        <f>1018.18988113131 * CHOOSE(CONTROL!$C$9, $C$13, 100%, $E$13) + CHOOSE(CONTROL!$C$28, 0, 0)</f>
        <v>1018.18988113131</v>
      </c>
    </row>
    <row r="1030" spans="1:5" ht="15">
      <c r="A1030" s="13">
        <v>72866</v>
      </c>
      <c r="B1030" s="4">
        <f>193.5174 * CHOOSE(CONTROL!$C$9, $C$13, 100%, $E$13) + CHOOSE(CONTROL!$C$28, 0.0202, 0)</f>
        <v>193.5376</v>
      </c>
      <c r="C1030" s="4">
        <f>193.2049 * CHOOSE(CONTROL!$C$9, $C$13, 100%, $E$13) + CHOOSE(CONTROL!$C$28, 0.0202, 0)</f>
        <v>193.2251</v>
      </c>
      <c r="D1030" s="4">
        <f>139.1991 * CHOOSE(CONTROL!$C$9, $C$13, 100%, $E$13) + CHOOSE(CONTROL!$C$28, 0, 0)</f>
        <v>139.19909999999999</v>
      </c>
      <c r="E1030" s="4">
        <f>1021.41157263746 * CHOOSE(CONTROL!$C$9, $C$13, 100%, $E$13) + CHOOSE(CONTROL!$C$28, 0, 0)</f>
        <v>1021.41157263746</v>
      </c>
    </row>
    <row r="1031" spans="1:5" ht="15">
      <c r="A1031" s="13">
        <v>72897</v>
      </c>
      <c r="B1031" s="4">
        <f>193.4565 * CHOOSE(CONTROL!$C$9, $C$13, 100%, $E$13) + CHOOSE(CONTROL!$C$28, 0.0202, 0)</f>
        <v>193.47669999999999</v>
      </c>
      <c r="C1031" s="4">
        <f>193.144 * CHOOSE(CONTROL!$C$9, $C$13, 100%, $E$13) + CHOOSE(CONTROL!$C$28, 0.0202, 0)</f>
        <v>193.16419999999999</v>
      </c>
      <c r="D1031" s="4">
        <f>141.4823 * CHOOSE(CONTROL!$C$9, $C$13, 100%, $E$13) + CHOOSE(CONTROL!$C$28, 0, 0)</f>
        <v>141.48230000000001</v>
      </c>
      <c r="E1031" s="4">
        <f>1021.08669618306 * CHOOSE(CONTROL!$C$9, $C$13, 100%, $E$13) + CHOOSE(CONTROL!$C$28, 0, 0)</f>
        <v>1021.08669618306</v>
      </c>
    </row>
    <row r="1032" spans="1:5" ht="15">
      <c r="A1032" s="13">
        <v>72928</v>
      </c>
      <c r="B1032" s="4">
        <f>198.0433 * CHOOSE(CONTROL!$C$9, $C$13, 100%, $E$13) + CHOOSE(CONTROL!$C$28, 0.0202, 0)</f>
        <v>198.06349999999998</v>
      </c>
      <c r="C1032" s="4">
        <f>197.7308 * CHOOSE(CONTROL!$C$9, $C$13, 100%, $E$13) + CHOOSE(CONTROL!$C$28, 0.0202, 0)</f>
        <v>197.75099999999998</v>
      </c>
      <c r="D1032" s="4">
        <f>139.9745 * CHOOSE(CONTROL!$C$9, $C$13, 100%, $E$13) + CHOOSE(CONTROL!$C$28, 0, 0)</f>
        <v>139.97450000000001</v>
      </c>
      <c r="E1032" s="4">
        <f>1045.53364937675 * CHOOSE(CONTROL!$C$9, $C$13, 100%, $E$13) + CHOOSE(CONTROL!$C$28, 0, 0)</f>
        <v>1045.53364937675</v>
      </c>
    </row>
    <row r="1033" spans="1:5" ht="15">
      <c r="A1033" s="13">
        <v>72958</v>
      </c>
      <c r="B1033" s="4">
        <f>190.2259 * CHOOSE(CONTROL!$C$9, $C$13, 100%, $E$13) + CHOOSE(CONTROL!$C$28, 0.0202, 0)</f>
        <v>190.24609999999998</v>
      </c>
      <c r="C1033" s="4">
        <f>189.9134 * CHOOSE(CONTROL!$C$9, $C$13, 100%, $E$13) + CHOOSE(CONTROL!$C$28, 0.0202, 0)</f>
        <v>189.93359999999998</v>
      </c>
      <c r="D1033" s="4">
        <f>139.2621 * CHOOSE(CONTROL!$C$9, $C$13, 100%, $E$13) + CHOOSE(CONTROL!$C$28, 0, 0)</f>
        <v>139.2621</v>
      </c>
      <c r="E1033" s="4">
        <f>1003.86824409979 * CHOOSE(CONTROL!$C$9, $C$13, 100%, $E$13) + CHOOSE(CONTROL!$C$28, 0, 0)</f>
        <v>1003.86824409979</v>
      </c>
    </row>
    <row r="1034" spans="1:5" ht="15">
      <c r="A1034" s="13">
        <v>72989</v>
      </c>
      <c r="B1034" s="4">
        <f>183.9678 * CHOOSE(CONTROL!$C$9, $C$13, 100%, $E$13) + CHOOSE(CONTROL!$C$28, 0.0003, 0)</f>
        <v>183.96810000000002</v>
      </c>
      <c r="C1034" s="4">
        <f>183.6553 * CHOOSE(CONTROL!$C$9, $C$13, 100%, $E$13) + CHOOSE(CONTROL!$C$28, 0.0003, 0)</f>
        <v>183.65560000000002</v>
      </c>
      <c r="D1034" s="4">
        <f>137.3545 * CHOOSE(CONTROL!$C$9, $C$13, 100%, $E$13) + CHOOSE(CONTROL!$C$28, 0, 0)</f>
        <v>137.3545</v>
      </c>
      <c r="E1034" s="4">
        <f>970.514261447933 * CHOOSE(CONTROL!$C$9, $C$13, 100%, $E$13) + CHOOSE(CONTROL!$C$28, 0, 0)</f>
        <v>970.51426144793299</v>
      </c>
    </row>
    <row r="1035" spans="1:5" ht="15">
      <c r="A1035" s="13">
        <v>73019</v>
      </c>
      <c r="B1035" s="4">
        <f>179.9372 * CHOOSE(CONTROL!$C$9, $C$13, 100%, $E$13) + CHOOSE(CONTROL!$C$28, 0.0003, 0)</f>
        <v>179.9375</v>
      </c>
      <c r="C1035" s="4">
        <f>179.6247 * CHOOSE(CONTROL!$C$9, $C$13, 100%, $E$13) + CHOOSE(CONTROL!$C$28, 0.0003, 0)</f>
        <v>179.625</v>
      </c>
      <c r="D1035" s="4">
        <f>136.6987 * CHOOSE(CONTROL!$C$9, $C$13, 100%, $E$13) + CHOOSE(CONTROL!$C$28, 0, 0)</f>
        <v>136.6987</v>
      </c>
      <c r="E1035" s="4">
        <f>949.031805900652 * CHOOSE(CONTROL!$C$9, $C$13, 100%, $E$13) + CHOOSE(CONTROL!$C$28, 0, 0)</f>
        <v>949.03180590065199</v>
      </c>
    </row>
    <row r="1036" spans="1:5" ht="15">
      <c r="A1036" s="13">
        <v>73050</v>
      </c>
      <c r="B1036" s="4">
        <f>177.1485 * CHOOSE(CONTROL!$C$9, $C$13, 100%, $E$13) + CHOOSE(CONTROL!$C$28, 0.0003, 0)</f>
        <v>177.14880000000002</v>
      </c>
      <c r="C1036" s="4">
        <f>176.836 * CHOOSE(CONTROL!$C$9, $C$13, 100%, $E$13) + CHOOSE(CONTROL!$C$28, 0.0003, 0)</f>
        <v>176.83630000000002</v>
      </c>
      <c r="D1036" s="4">
        <f>131.8706 * CHOOSE(CONTROL!$C$9, $C$13, 100%, $E$13) + CHOOSE(CONTROL!$C$28, 0, 0)</f>
        <v>131.8706</v>
      </c>
      <c r="E1036" s="4">
        <f>934.168708111795 * CHOOSE(CONTROL!$C$9, $C$13, 100%, $E$13) + CHOOSE(CONTROL!$C$28, 0, 0)</f>
        <v>934.16870811179501</v>
      </c>
    </row>
    <row r="1037" spans="1:5" ht="15">
      <c r="A1037" s="13">
        <v>73081</v>
      </c>
      <c r="B1037" s="4">
        <f>172.6174 * CHOOSE(CONTROL!$C$9, $C$13, 100%, $E$13) + CHOOSE(CONTROL!$C$28, 0.0003, 0)</f>
        <v>172.61770000000001</v>
      </c>
      <c r="C1037" s="4">
        <f>172.3049 * CHOOSE(CONTROL!$C$9, $C$13, 100%, $E$13) + CHOOSE(CONTROL!$C$28, 0.0003, 0)</f>
        <v>172.30520000000001</v>
      </c>
      <c r="D1037" s="4">
        <f>127.4331 * CHOOSE(CONTROL!$C$9, $C$13, 100%, $E$13) + CHOOSE(CONTROL!$C$28, 0, 0)</f>
        <v>127.4331</v>
      </c>
      <c r="E1037" s="4">
        <f>907.380309396898 * CHOOSE(CONTROL!$C$9, $C$13, 100%, $E$13) + CHOOSE(CONTROL!$C$28, 0, 0)</f>
        <v>907.38030939689804</v>
      </c>
    </row>
    <row r="1038" spans="1:5" ht="15">
      <c r="A1038" s="13">
        <v>73109</v>
      </c>
      <c r="B1038" s="4">
        <f>176.6715 * CHOOSE(CONTROL!$C$9, $C$13, 100%, $E$13) + CHOOSE(CONTROL!$C$28, 0.0003, 0)</f>
        <v>176.67180000000002</v>
      </c>
      <c r="C1038" s="4">
        <f>176.359 * CHOOSE(CONTROL!$C$9, $C$13, 100%, $E$13) + CHOOSE(CONTROL!$C$28, 0.0003, 0)</f>
        <v>176.35930000000002</v>
      </c>
      <c r="D1038" s="4">
        <f>131.9016 * CHOOSE(CONTROL!$C$9, $C$13, 100%, $E$13) + CHOOSE(CONTROL!$C$28, 0, 0)</f>
        <v>131.9016</v>
      </c>
      <c r="E1038" s="4">
        <f>928.925093845608 * CHOOSE(CONTROL!$C$9, $C$13, 100%, $E$13) + CHOOSE(CONTROL!$C$28, 0, 0)</f>
        <v>928.92509384560799</v>
      </c>
    </row>
    <row r="1039" spans="1:5" ht="15">
      <c r="A1039" s="13">
        <v>73140</v>
      </c>
      <c r="B1039" s="4">
        <f>187.3178 * CHOOSE(CONTROL!$C$9, $C$13, 100%, $E$13) + CHOOSE(CONTROL!$C$28, 0.0003, 0)</f>
        <v>187.31810000000002</v>
      </c>
      <c r="C1039" s="4">
        <f>187.0053 * CHOOSE(CONTROL!$C$9, $C$13, 100%, $E$13) + CHOOSE(CONTROL!$C$28, 0.0003, 0)</f>
        <v>187.00560000000002</v>
      </c>
      <c r="D1039" s="4">
        <f>138.8969 * CHOOSE(CONTROL!$C$9, $C$13, 100%, $E$13) + CHOOSE(CONTROL!$C$28, 0, 0)</f>
        <v>138.89689999999999</v>
      </c>
      <c r="E1039" s="4">
        <f>985.502842767301 * CHOOSE(CONTROL!$C$9, $C$13, 100%, $E$13) + CHOOSE(CONTROL!$C$28, 0, 0)</f>
        <v>985.50284276730099</v>
      </c>
    </row>
    <row r="1040" spans="1:5" ht="15">
      <c r="A1040" s="13">
        <v>73170</v>
      </c>
      <c r="B1040" s="4">
        <f>194.8821 * CHOOSE(CONTROL!$C$9, $C$13, 100%, $E$13) + CHOOSE(CONTROL!$C$28, 0.0003, 0)</f>
        <v>194.88240000000002</v>
      </c>
      <c r="C1040" s="4">
        <f>194.5696 * CHOOSE(CONTROL!$C$9, $C$13, 100%, $E$13) + CHOOSE(CONTROL!$C$28, 0.0003, 0)</f>
        <v>194.56990000000002</v>
      </c>
      <c r="D1040" s="4">
        <f>142.9263 * CHOOSE(CONTROL!$C$9, $C$13, 100%, $E$13) + CHOOSE(CONTROL!$C$28, 0, 0)</f>
        <v>142.9263</v>
      </c>
      <c r="E1040" s="4">
        <f>1025.70208737381 * CHOOSE(CONTROL!$C$9, $C$13, 100%, $E$13) + CHOOSE(CONTROL!$C$28, 0, 0)</f>
        <v>1025.7020873738099</v>
      </c>
    </row>
    <row r="1041" spans="1:5" ht="15">
      <c r="A1041" s="13">
        <v>73201</v>
      </c>
      <c r="B1041" s="4">
        <f>199.5038 * CHOOSE(CONTROL!$C$9, $C$13, 100%, $E$13) + CHOOSE(CONTROL!$C$28, 0.0202, 0)</f>
        <v>199.524</v>
      </c>
      <c r="C1041" s="4">
        <f>199.1913 * CHOOSE(CONTROL!$C$9, $C$13, 100%, $E$13) + CHOOSE(CONTROL!$C$28, 0.0202, 0)</f>
        <v>199.2115</v>
      </c>
      <c r="D1041" s="4">
        <f>141.3341 * CHOOSE(CONTROL!$C$9, $C$13, 100%, $E$13) + CHOOSE(CONTROL!$C$28, 0, 0)</f>
        <v>141.33410000000001</v>
      </c>
      <c r="E1041" s="4">
        <f>1050.26286238695 * CHOOSE(CONTROL!$C$9, $C$13, 100%, $E$13) + CHOOSE(CONTROL!$C$28, 0, 0)</f>
        <v>1050.26286238695</v>
      </c>
    </row>
    <row r="1042" spans="1:5" ht="15">
      <c r="A1042" s="13">
        <v>73231</v>
      </c>
      <c r="B1042" s="4">
        <f>200.1291 * CHOOSE(CONTROL!$C$9, $C$13, 100%, $E$13) + CHOOSE(CONTROL!$C$28, 0.0202, 0)</f>
        <v>200.14929999999998</v>
      </c>
      <c r="C1042" s="4">
        <f>199.8166 * CHOOSE(CONTROL!$C$9, $C$13, 100%, $E$13) + CHOOSE(CONTROL!$C$28, 0.0202, 0)</f>
        <v>199.83679999999998</v>
      </c>
      <c r="D1042" s="4">
        <f>142.6308 * CHOOSE(CONTROL!$C$9, $C$13, 100%, $E$13) + CHOOSE(CONTROL!$C$28, 0, 0)</f>
        <v>142.63079999999999</v>
      </c>
      <c r="E1042" s="4">
        <f>1053.58603717554 * CHOOSE(CONTROL!$C$9, $C$13, 100%, $E$13) + CHOOSE(CONTROL!$C$28, 0, 0)</f>
        <v>1053.58603717554</v>
      </c>
    </row>
    <row r="1043" spans="1:5" ht="15">
      <c r="A1043" s="13">
        <v>73262</v>
      </c>
      <c r="B1043" s="4">
        <f>200.066 * CHOOSE(CONTROL!$C$9, $C$13, 100%, $E$13) + CHOOSE(CONTROL!$C$28, 0.0202, 0)</f>
        <v>200.08619999999999</v>
      </c>
      <c r="C1043" s="4">
        <f>199.7535 * CHOOSE(CONTROL!$C$9, $C$13, 100%, $E$13) + CHOOSE(CONTROL!$C$28, 0.0202, 0)</f>
        <v>199.77369999999999</v>
      </c>
      <c r="D1043" s="4">
        <f>144.9707 * CHOOSE(CONTROL!$C$9, $C$13, 100%, $E$13) + CHOOSE(CONTROL!$C$28, 0, 0)</f>
        <v>144.97069999999999</v>
      </c>
      <c r="E1043" s="4">
        <f>1053.25092711282 * CHOOSE(CONTROL!$C$9, $C$13, 100%, $E$13) + CHOOSE(CONTROL!$C$28, 0, 0)</f>
        <v>1053.2509271128199</v>
      </c>
    </row>
    <row r="1044" spans="1:5" ht="15">
      <c r="A1044" s="13">
        <v>73293</v>
      </c>
      <c r="B1044" s="4">
        <f>204.8111 * CHOOSE(CONTROL!$C$9, $C$13, 100%, $E$13) + CHOOSE(CONTROL!$C$28, 0.0202, 0)</f>
        <v>204.8313</v>
      </c>
      <c r="C1044" s="4">
        <f>204.4986 * CHOOSE(CONTROL!$C$9, $C$13, 100%, $E$13) + CHOOSE(CONTROL!$C$28, 0.0202, 0)</f>
        <v>204.5188</v>
      </c>
      <c r="D1044" s="4">
        <f>143.4254 * CHOOSE(CONTROL!$C$9, $C$13, 100%, $E$13) + CHOOSE(CONTROL!$C$28, 0, 0)</f>
        <v>143.4254</v>
      </c>
      <c r="E1044" s="4">
        <f>1078.46795933212 * CHOOSE(CONTROL!$C$9, $C$13, 100%, $E$13) + CHOOSE(CONTROL!$C$28, 0, 0)</f>
        <v>1078.46795933212</v>
      </c>
    </row>
    <row r="1045" spans="1:5" ht="15">
      <c r="A1045" s="13">
        <v>73323</v>
      </c>
      <c r="B1045" s="4">
        <f>196.724 * CHOOSE(CONTROL!$C$9, $C$13, 100%, $E$13) + CHOOSE(CONTROL!$C$28, 0.0202, 0)</f>
        <v>196.74419999999998</v>
      </c>
      <c r="C1045" s="4">
        <f>196.4115 * CHOOSE(CONTROL!$C$9, $C$13, 100%, $E$13) + CHOOSE(CONTROL!$C$28, 0.0202, 0)</f>
        <v>196.43169999999998</v>
      </c>
      <c r="D1045" s="4">
        <f>142.6953 * CHOOSE(CONTROL!$C$9, $C$13, 100%, $E$13) + CHOOSE(CONTROL!$C$28, 0, 0)</f>
        <v>142.6953</v>
      </c>
      <c r="E1045" s="4">
        <f>1035.49009378894 * CHOOSE(CONTROL!$C$9, $C$13, 100%, $E$13) + CHOOSE(CONTROL!$C$28, 0, 0)</f>
        <v>1035.4900937889399</v>
      </c>
    </row>
    <row r="1046" spans="1:5" ht="15">
      <c r="A1046" s="13">
        <v>73354</v>
      </c>
      <c r="B1046" s="4">
        <f>190.25 * CHOOSE(CONTROL!$C$9, $C$13, 100%, $E$13) + CHOOSE(CONTROL!$C$28, 0.0003, 0)</f>
        <v>190.25030000000001</v>
      </c>
      <c r="C1046" s="4">
        <f>189.9375 * CHOOSE(CONTROL!$C$9, $C$13, 100%, $E$13) + CHOOSE(CONTROL!$C$28, 0.0003, 0)</f>
        <v>189.93780000000001</v>
      </c>
      <c r="D1046" s="4">
        <f>140.7405 * CHOOSE(CONTROL!$C$9, $C$13, 100%, $E$13) + CHOOSE(CONTROL!$C$28, 0, 0)</f>
        <v>140.7405</v>
      </c>
      <c r="E1046" s="4">
        <f>1001.08546068354 * CHOOSE(CONTROL!$C$9, $C$13, 100%, $E$13) + CHOOSE(CONTROL!$C$28, 0, 0)</f>
        <v>1001.08546068354</v>
      </c>
    </row>
    <row r="1047" spans="1:5" ht="15">
      <c r="A1047" s="13">
        <v>73384</v>
      </c>
      <c r="B1047" s="4">
        <f>186.0803 * CHOOSE(CONTROL!$C$9, $C$13, 100%, $E$13) + CHOOSE(CONTROL!$C$28, 0.0003, 0)</f>
        <v>186.0806</v>
      </c>
      <c r="C1047" s="4">
        <f>185.7678 * CHOOSE(CONTROL!$C$9, $C$13, 100%, $E$13) + CHOOSE(CONTROL!$C$28, 0.0003, 0)</f>
        <v>185.7681</v>
      </c>
      <c r="D1047" s="4">
        <f>140.0684 * CHOOSE(CONTROL!$C$9, $C$13, 100%, $E$13) + CHOOSE(CONTROL!$C$28, 0, 0)</f>
        <v>140.0684</v>
      </c>
      <c r="E1047" s="4">
        <f>978.926307786522 * CHOOSE(CONTROL!$C$9, $C$13, 100%, $E$13) + CHOOSE(CONTROL!$C$28, 0, 0)</f>
        <v>978.92630778652199</v>
      </c>
    </row>
    <row r="1048" spans="1:5" ht="15">
      <c r="A1048" s="13">
        <v>73415</v>
      </c>
      <c r="B1048" s="4">
        <f>183.1954 * CHOOSE(CONTROL!$C$9, $C$13, 100%, $E$13) + CHOOSE(CONTROL!$C$28, 0.0003, 0)</f>
        <v>183.19570000000002</v>
      </c>
      <c r="C1048" s="4">
        <f>182.8829 * CHOOSE(CONTROL!$C$9, $C$13, 100%, $E$13) + CHOOSE(CONTROL!$C$28, 0.0003, 0)</f>
        <v>182.88320000000002</v>
      </c>
      <c r="D1048" s="4">
        <f>135.1205 * CHOOSE(CONTROL!$C$9, $C$13, 100%, $E$13) + CHOOSE(CONTROL!$C$28, 0, 0)</f>
        <v>135.12049999999999</v>
      </c>
      <c r="E1048" s="4">
        <f>963.595022417317 * CHOOSE(CONTROL!$C$9, $C$13, 100%, $E$13) + CHOOSE(CONTROL!$C$28, 0, 0)</f>
        <v>963.59502241731695</v>
      </c>
    </row>
    <row r="1049" spans="1:5" ht="15">
      <c r="A1049" s="10"/>
      <c r="B1049" s="4"/>
      <c r="C1049" s="4"/>
      <c r="D1049" s="4"/>
      <c r="E1049" s="4"/>
    </row>
    <row r="1050" spans="1:5" ht="15">
      <c r="A1050" s="3">
        <v>2015</v>
      </c>
      <c r="B1050" s="4">
        <f>AVERAGE(B17:B28)</f>
        <v>9.0071749999999984</v>
      </c>
      <c r="C1050" s="4">
        <f>AVERAGE(C17:C28)</f>
        <v>8.6946749999999984</v>
      </c>
      <c r="D1050" s="4">
        <f>AVERAGE(D17:D28)</f>
        <v>13.516691666666667</v>
      </c>
      <c r="E1050" s="4">
        <f>AVERAGE(E17:E28)</f>
        <v>50.015833333333326</v>
      </c>
    </row>
    <row r="1051" spans="1:5" ht="15">
      <c r="A1051" s="3">
        <v>2016</v>
      </c>
      <c r="B1051" s="4">
        <f>AVERAGE(B29:B40)</f>
        <v>8.8035249999999987</v>
      </c>
      <c r="C1051" s="4">
        <f>AVERAGE(C29:C40)</f>
        <v>8.4910083333333333</v>
      </c>
      <c r="D1051" s="4">
        <f>AVERAGE(D29:D40)</f>
        <v>12.376408333333336</v>
      </c>
      <c r="E1051" s="4">
        <f>AVERAGE(E29:E40)</f>
        <v>49.896666666666668</v>
      </c>
    </row>
    <row r="1052" spans="1:5" ht="15">
      <c r="A1052" s="3">
        <v>2017</v>
      </c>
      <c r="B1052" s="4">
        <f>AVERAGE(B41:B52)</f>
        <v>9.6869833333333322</v>
      </c>
      <c r="C1052" s="4">
        <f>AVERAGE(C41:C52)</f>
        <v>9.3744916666666658</v>
      </c>
      <c r="D1052" s="4">
        <f>AVERAGE(D41:D52)</f>
        <v>13.326083333333335</v>
      </c>
      <c r="E1052" s="4">
        <f>AVERAGE(E41:E52)</f>
        <v>53.339166666666678</v>
      </c>
    </row>
    <row r="1053" spans="1:5" ht="15">
      <c r="A1053" s="3">
        <v>2018</v>
      </c>
      <c r="B1053" s="4">
        <f>AVERAGE(B53:B64)</f>
        <v>11.491141666666664</v>
      </c>
      <c r="C1053" s="4">
        <f>AVERAGE(C53:C64)</f>
        <v>11.178641666666664</v>
      </c>
      <c r="D1053" s="4">
        <f>AVERAGE(D53:D64)</f>
        <v>15.520466666666669</v>
      </c>
      <c r="E1053" s="4">
        <f>AVERAGE(E53:E64)</f>
        <v>65.298484649658207</v>
      </c>
    </row>
    <row r="1054" spans="1:5" ht="15">
      <c r="A1054" s="3">
        <v>2019</v>
      </c>
      <c r="B1054" s="4">
        <f>AVERAGE(B65:B76)</f>
        <v>11.990866666666667</v>
      </c>
      <c r="C1054" s="4">
        <f>AVERAGE(C65:C76)</f>
        <v>11.678366666666667</v>
      </c>
      <c r="D1054" s="4">
        <f>AVERAGE(D65:D76)</f>
        <v>16.164300000000004</v>
      </c>
      <c r="E1054" s="4">
        <f>AVERAGE(E65:E76)</f>
        <v>68.655306498209612</v>
      </c>
    </row>
    <row r="1055" spans="1:5" ht="15">
      <c r="A1055" s="3">
        <v>2020</v>
      </c>
      <c r="B1055" s="4">
        <f>AVERAGE(B77:B88)</f>
        <v>14.333450000000001</v>
      </c>
      <c r="C1055" s="4">
        <f>AVERAGE(C77:C88)</f>
        <v>14.020949999999999</v>
      </c>
      <c r="D1055" s="4">
        <f>AVERAGE(D77:D88)</f>
        <v>18.791766666666668</v>
      </c>
      <c r="E1055" s="4">
        <f>AVERAGE(E77:E88)</f>
        <v>83.568161010742202</v>
      </c>
    </row>
    <row r="1056" spans="1:5" ht="15">
      <c r="A1056" s="3">
        <v>2021</v>
      </c>
      <c r="B1056" s="4">
        <f>AVERAGE(B89:B100)</f>
        <v>15.067925000000001</v>
      </c>
      <c r="C1056" s="4">
        <f>AVERAGE(C89:C100)</f>
        <v>14.755425000000001</v>
      </c>
      <c r="D1056" s="4">
        <f>AVERAGE(D89:D100)</f>
        <v>19.502016666666666</v>
      </c>
      <c r="E1056" s="4">
        <f>AVERAGE(E89:E100)</f>
        <v>86.957878112792969</v>
      </c>
    </row>
    <row r="1057" spans="1:5" ht="15">
      <c r="A1057" s="3">
        <v>2022</v>
      </c>
      <c r="B1057" s="4">
        <f>AVERAGE(B101:B112)</f>
        <v>15.613233333333334</v>
      </c>
      <c r="C1057" s="4">
        <f>AVERAGE(C101:C112)</f>
        <v>15.300733333333334</v>
      </c>
      <c r="D1057" s="4">
        <f>AVERAGE(D101:D112)</f>
        <v>20.253474999999998</v>
      </c>
      <c r="E1057" s="4">
        <f>AVERAGE(E101:E112)</f>
        <v>90.366950988769517</v>
      </c>
    </row>
    <row r="1058" spans="1:5" ht="15">
      <c r="A1058" s="3">
        <v>2023</v>
      </c>
      <c r="B1058" s="4">
        <f>AVERAGE(B113:B124)</f>
        <v>16.246874999999999</v>
      </c>
      <c r="C1058" s="4">
        <f>AVERAGE(C113:C124)</f>
        <v>15.934374999999998</v>
      </c>
      <c r="D1058" s="4">
        <f>AVERAGE(D113:D124)</f>
        <v>21.0992</v>
      </c>
      <c r="E1058" s="4">
        <f>AVERAGE(E113:E124)</f>
        <v>93.928741455078082</v>
      </c>
    </row>
    <row r="1059" spans="1:5" ht="15">
      <c r="A1059" s="3">
        <v>2024</v>
      </c>
      <c r="B1059" s="4">
        <f>AVERAGE(B125:B136)</f>
        <v>16.855058333333329</v>
      </c>
      <c r="C1059" s="4">
        <f>AVERAGE(C125:C136)</f>
        <v>16.542558333333329</v>
      </c>
      <c r="D1059" s="4">
        <f>AVERAGE(D125:D136)</f>
        <v>22.305991666666671</v>
      </c>
      <c r="E1059" s="4">
        <f>AVERAGE(E125:E136)</f>
        <v>97.590248107910199</v>
      </c>
    </row>
    <row r="1060" spans="1:5" ht="15">
      <c r="A1060" s="3">
        <v>2025</v>
      </c>
      <c r="B1060" s="4">
        <f>AVERAGE(B137:B148)</f>
        <v>17.691233333333333</v>
      </c>
      <c r="C1060" s="4">
        <f>AVERAGE(C137:C148)</f>
        <v>17.378733333333333</v>
      </c>
      <c r="D1060" s="4">
        <f>AVERAGE(D137:D148)</f>
        <v>23.246116666666666</v>
      </c>
      <c r="E1060" s="4">
        <f>AVERAGE(E137:E148)</f>
        <v>100.97199249267577</v>
      </c>
    </row>
    <row r="1061" spans="1:5" ht="15">
      <c r="A1061" s="3">
        <v>2026</v>
      </c>
      <c r="B1061" s="4">
        <f>AVERAGE(B149:B160)</f>
        <v>18.246483333333334</v>
      </c>
      <c r="C1061" s="4">
        <f>AVERAGE(C149:C160)</f>
        <v>17.933983333333334</v>
      </c>
      <c r="D1061" s="4">
        <f>AVERAGE(D149:D160)</f>
        <v>24.004516666666664</v>
      </c>
      <c r="E1061" s="4">
        <f>AVERAGE(E149:E160)</f>
        <v>104.8860244750976</v>
      </c>
    </row>
    <row r="1062" spans="1:5" ht="15">
      <c r="A1062" s="3">
        <v>2027</v>
      </c>
      <c r="B1062" s="4">
        <f>AVERAGE(B161:B172)</f>
        <v>18.843441666666667</v>
      </c>
      <c r="C1062" s="4">
        <f>AVERAGE(C161:C172)</f>
        <v>18.530941666666667</v>
      </c>
      <c r="D1062" s="4">
        <f>AVERAGE(D161:D172)</f>
        <v>24.756566666666661</v>
      </c>
      <c r="E1062" s="4">
        <f>AVERAGE(E161:E172)</f>
        <v>108.77172851562506</v>
      </c>
    </row>
    <row r="1063" spans="1:5" ht="15">
      <c r="A1063" s="3">
        <v>2028</v>
      </c>
      <c r="B1063" s="4">
        <f>AVERAGE(B173:B184)</f>
        <v>19.464500000000001</v>
      </c>
      <c r="C1063" s="4">
        <f>AVERAGE(C173:C184)</f>
        <v>19.152000000000001</v>
      </c>
      <c r="D1063" s="4">
        <f>AVERAGE(D173:D184)</f>
        <v>25.484591666666663</v>
      </c>
      <c r="E1063" s="4">
        <f>AVERAGE(E173:E184)</f>
        <v>112.86653900146474</v>
      </c>
    </row>
    <row r="1064" spans="1:5" ht="15">
      <c r="A1064" s="3">
        <v>2029</v>
      </c>
      <c r="B1064" s="4">
        <f>AVERAGE(B185:B196)</f>
        <v>20.120683333333332</v>
      </c>
      <c r="C1064" s="4">
        <f>AVERAGE(C185:C196)</f>
        <v>19.808183333333332</v>
      </c>
      <c r="D1064" s="4">
        <f>AVERAGE(D185:D196)</f>
        <v>26.183491666666669</v>
      </c>
      <c r="E1064" s="4">
        <f>AVERAGE(E185:E196)</f>
        <v>117.08607482910168</v>
      </c>
    </row>
    <row r="1065" spans="1:5" ht="15">
      <c r="A1065" s="3">
        <v>2030</v>
      </c>
      <c r="B1065" s="4">
        <f>AVERAGE(B197:B208)</f>
        <v>20.786124999999998</v>
      </c>
      <c r="C1065" s="4">
        <f>AVERAGE(C197:C208)</f>
        <v>20.473624999999998</v>
      </c>
      <c r="D1065" s="4">
        <f>AVERAGE(D197:D208)</f>
        <v>26.900399999999994</v>
      </c>
      <c r="E1065" s="4">
        <f>AVERAGE(E197:E208)</f>
        <v>121.37888336181641</v>
      </c>
    </row>
    <row r="1066" spans="1:5" ht="15">
      <c r="A1066" s="3">
        <v>2031</v>
      </c>
      <c r="B1066" s="4">
        <f>AVERAGE(B209:B220)</f>
        <v>21.151566666666671</v>
      </c>
      <c r="C1066" s="4">
        <f>AVERAGE(C209:C220)</f>
        <v>20.839066666666671</v>
      </c>
      <c r="D1066" s="4">
        <f>AVERAGE(D209:D220)</f>
        <v>27.300974999999998</v>
      </c>
      <c r="E1066" s="4">
        <f>AVERAGE(E209:E220)</f>
        <v>123.79613494873041</v>
      </c>
    </row>
    <row r="1067" spans="1:5" ht="15">
      <c r="A1067" s="3">
        <v>2032</v>
      </c>
      <c r="B1067" s="4">
        <f>AVERAGE(B221:B232)</f>
        <v>21.540625000000002</v>
      </c>
      <c r="C1067" s="4">
        <f>AVERAGE(C221:C232)</f>
        <v>21.228125000000002</v>
      </c>
      <c r="D1067" s="4">
        <f>AVERAGE(D221:D232)</f>
        <v>27.710350000000002</v>
      </c>
      <c r="E1067" s="4">
        <f>AVERAGE(E221:E232)</f>
        <v>126.25200653076173</v>
      </c>
    </row>
    <row r="1068" spans="1:5" ht="15">
      <c r="A1068" s="3">
        <v>2033</v>
      </c>
      <c r="B1068" s="4">
        <f>AVERAGE(B233:B244)</f>
        <v>21.934200000000001</v>
      </c>
      <c r="C1068" s="4">
        <f>AVERAGE(C233:C244)</f>
        <v>21.621700000000001</v>
      </c>
      <c r="D1068" s="4">
        <f>AVERAGE(D233:D244)</f>
        <v>28.124650000000003</v>
      </c>
      <c r="E1068" s="4">
        <f>AVERAGE(E233:E244)</f>
        <v>128.74780273437517</v>
      </c>
    </row>
    <row r="1069" spans="1:5" ht="15">
      <c r="A1069" s="3">
        <v>2034</v>
      </c>
      <c r="B1069" s="4">
        <f>AVERAGE(B245:B256)</f>
        <v>22.334524999999999</v>
      </c>
      <c r="C1069" s="4">
        <f>AVERAGE(C245:C256)</f>
        <v>22.022024999999999</v>
      </c>
      <c r="D1069" s="4">
        <f>AVERAGE(D245:D256)</f>
        <v>28.546408333333336</v>
      </c>
      <c r="E1069" s="4">
        <f>AVERAGE(E245:E256)</f>
        <v>131.29217529296875</v>
      </c>
    </row>
    <row r="1070" spans="1:5" ht="15">
      <c r="A1070" s="3">
        <v>2035</v>
      </c>
      <c r="B1070" s="4">
        <f>AVERAGE(B257:B268)</f>
        <v>22.743600000000001</v>
      </c>
      <c r="C1070" s="4">
        <f>AVERAGE(C257:C268)</f>
        <v>22.431100000000001</v>
      </c>
      <c r="D1070" s="4">
        <f>AVERAGE(D257:D268)</f>
        <v>29.005183333333331</v>
      </c>
      <c r="E1070" s="4">
        <f>AVERAGE(E257:E268)</f>
        <v>133.88880920410159</v>
      </c>
    </row>
    <row r="1071" spans="1:5" ht="15">
      <c r="A1071" s="3">
        <v>2036</v>
      </c>
      <c r="B1071" s="4">
        <f>AVERAGE(B269:B280)</f>
        <v>23.463258333333332</v>
      </c>
      <c r="C1071" s="4">
        <f>AVERAGE(C269:C280)</f>
        <v>23.150758333333332</v>
      </c>
      <c r="D1071" s="4">
        <f>AVERAGE(D269:D280)</f>
        <v>29.704116666666668</v>
      </c>
      <c r="E1071" s="4">
        <f>AVERAGE(E269:E280)</f>
        <v>138.10630669403074</v>
      </c>
    </row>
    <row r="1072" spans="1:5" ht="15">
      <c r="A1072" s="3">
        <v>2037</v>
      </c>
      <c r="B1072" s="4">
        <f>AVERAGE(B281:B292)</f>
        <v>24.207766666666661</v>
      </c>
      <c r="C1072" s="4">
        <f>AVERAGE(C281:C292)</f>
        <v>23.895266666666661</v>
      </c>
      <c r="D1072" s="4">
        <f>AVERAGE(D281:D292)</f>
        <v>30.420366666666666</v>
      </c>
      <c r="E1072" s="4">
        <f>AVERAGE(E281:E292)</f>
        <v>142.45665535489275</v>
      </c>
    </row>
    <row r="1073" spans="1:5" ht="15">
      <c r="A1073" s="3">
        <f t="shared" ref="A1073:A1104" si="0">A1072+1</f>
        <v>2038</v>
      </c>
      <c r="B1073" s="4">
        <f>AVERAGE(B293:B304)</f>
        <v>24.977933333333336</v>
      </c>
      <c r="C1073" s="4">
        <f>AVERAGE(C293:C304)</f>
        <v>24.665433333333336</v>
      </c>
      <c r="D1073" s="4">
        <f>AVERAGE(D293:D304)</f>
        <v>31.154383333333332</v>
      </c>
      <c r="E1073" s="4">
        <f>AVERAGE(E293:E304)</f>
        <v>146.94403999857184</v>
      </c>
    </row>
    <row r="1074" spans="1:5" ht="15">
      <c r="A1074" s="3">
        <f t="shared" si="0"/>
        <v>2039</v>
      </c>
      <c r="B1074" s="4">
        <f>AVERAGE(B305:B316)</f>
        <v>25.774708333333333</v>
      </c>
      <c r="C1074" s="4">
        <f>AVERAGE(C305:C316)</f>
        <v>25.462208333333333</v>
      </c>
      <c r="D1074" s="4">
        <f>AVERAGE(D305:D316)</f>
        <v>31.906624999999995</v>
      </c>
      <c r="E1074" s="4">
        <f>AVERAGE(E305:E316)</f>
        <v>151.57277725852688</v>
      </c>
    </row>
    <row r="1075" spans="1:5" ht="15">
      <c r="A1075" s="3">
        <f t="shared" si="0"/>
        <v>2040</v>
      </c>
      <c r="B1075" s="4">
        <f>AVERAGE(B317:B328)</f>
        <v>26.598933333333335</v>
      </c>
      <c r="C1075" s="4">
        <f>AVERAGE(C317:C328)</f>
        <v>26.286433333333335</v>
      </c>
      <c r="D1075" s="4">
        <f>AVERAGE(D317:D328)</f>
        <v>32.677491666666668</v>
      </c>
      <c r="E1075" s="4">
        <f>AVERAGE(E317:E328)</f>
        <v>156.34731974217067</v>
      </c>
    </row>
    <row r="1076" spans="1:5" ht="15">
      <c r="A1076" s="3">
        <f t="shared" si="0"/>
        <v>2041</v>
      </c>
      <c r="B1076" s="4">
        <f>AVERAGE(B329:B340)</f>
        <v>27.451624999999996</v>
      </c>
      <c r="C1076" s="4">
        <f>AVERAGE(C329:C340)</f>
        <v>27.139124999999996</v>
      </c>
      <c r="D1076" s="4">
        <f>AVERAGE(D329:D340)</f>
        <v>33.467500000000008</v>
      </c>
      <c r="E1076" s="4">
        <f>AVERAGE(E329:E340)</f>
        <v>161.27226031404882</v>
      </c>
    </row>
    <row r="1077" spans="1:5" ht="15">
      <c r="A1077" s="3">
        <f t="shared" si="0"/>
        <v>2042</v>
      </c>
      <c r="B1077" s="4">
        <f>AVERAGE(B341:B352)</f>
        <v>28.333716666666664</v>
      </c>
      <c r="C1077" s="4">
        <f>AVERAGE(C341:C352)</f>
        <v>28.021216666666664</v>
      </c>
      <c r="D1077" s="4">
        <f>AVERAGE(D341:D352)</f>
        <v>34.27708333333333</v>
      </c>
      <c r="E1077" s="4">
        <f>AVERAGE(E341:E352)</f>
        <v>166.35233651394134</v>
      </c>
    </row>
    <row r="1078" spans="1:5" ht="15">
      <c r="A1078" s="3">
        <f t="shared" si="0"/>
        <v>2043</v>
      </c>
      <c r="B1078" s="4">
        <f>AVERAGE(B353:B364)</f>
        <v>29.246258333333341</v>
      </c>
      <c r="C1078" s="4">
        <f>AVERAGE(C353:C364)</f>
        <v>28.933758333333341</v>
      </c>
      <c r="D1078" s="4">
        <f>AVERAGE(D353:D364)</f>
        <v>35.106741666666665</v>
      </c>
      <c r="E1078" s="4">
        <f>AVERAGE(E353:E364)</f>
        <v>171.5924351141305</v>
      </c>
    </row>
    <row r="1079" spans="1:5" ht="15">
      <c r="A1079" s="3">
        <f t="shared" si="0"/>
        <v>2044</v>
      </c>
      <c r="B1079" s="4">
        <f>AVERAGE(B365:B376)</f>
        <v>30.190266666666663</v>
      </c>
      <c r="C1079" s="4">
        <f>AVERAGE(C365:C376)</f>
        <v>29.877766666666663</v>
      </c>
      <c r="D1079" s="4">
        <f>AVERAGE(D365:D376)</f>
        <v>35.956975</v>
      </c>
      <c r="E1079" s="4">
        <f>AVERAGE(E365:E376)</f>
        <v>176.99759682022568</v>
      </c>
    </row>
    <row r="1080" spans="1:5" ht="15">
      <c r="A1080" s="3">
        <f t="shared" si="0"/>
        <v>2045</v>
      </c>
      <c r="B1080" s="4">
        <f>AVERAGE(B377:B388)</f>
        <v>31.16684166666667</v>
      </c>
      <c r="C1080" s="4">
        <f>AVERAGE(C377:C388)</f>
        <v>30.85434166666667</v>
      </c>
      <c r="D1080" s="4">
        <f>AVERAGE(D377:D388)</f>
        <v>36.828308333333332</v>
      </c>
      <c r="E1080" s="4">
        <f>AVERAGE(E377:E388)</f>
        <v>182.573021120063</v>
      </c>
    </row>
    <row r="1081" spans="1:5" ht="15">
      <c r="A1081" s="3">
        <f t="shared" si="0"/>
        <v>2046</v>
      </c>
      <c r="B1081" s="4">
        <f>AVERAGE(B389:B400)</f>
        <v>32.177133333333337</v>
      </c>
      <c r="C1081" s="4">
        <f>AVERAGE(C389:C400)</f>
        <v>31.864633333333334</v>
      </c>
      <c r="D1081" s="4">
        <f>AVERAGE(D389:D400)</f>
        <v>37.721258333333338</v>
      </c>
      <c r="E1081" s="4">
        <f>AVERAGE(E389:E400)</f>
        <v>188.32407128534476</v>
      </c>
    </row>
    <row r="1082" spans="1:5" ht="15">
      <c r="A1082" s="3">
        <f t="shared" si="0"/>
        <v>2047</v>
      </c>
      <c r="B1082" s="4">
        <f>AVERAGE(B401:B412)</f>
        <v>33.222241666666669</v>
      </c>
      <c r="C1082" s="4">
        <f>AVERAGE(C401:C412)</f>
        <v>32.909741666666669</v>
      </c>
      <c r="D1082" s="4">
        <f>AVERAGE(D401:D412)</f>
        <v>38.636333333333333</v>
      </c>
      <c r="E1082" s="4">
        <f>AVERAGE(E401:E412)</f>
        <v>194.25627953083335</v>
      </c>
    </row>
    <row r="1083" spans="1:5" ht="15">
      <c r="A1083" s="3">
        <f t="shared" si="0"/>
        <v>2048</v>
      </c>
      <c r="B1083" s="4">
        <f>AVERAGE(B413:B424)</f>
        <v>34.303425000000004</v>
      </c>
      <c r="C1083" s="4">
        <f>AVERAGE(C413:C424)</f>
        <v>33.990925000000004</v>
      </c>
      <c r="D1083" s="4">
        <f>AVERAGE(D413:D424)</f>
        <v>39.574108333333335</v>
      </c>
      <c r="E1083" s="4">
        <f>AVERAGE(E413:E424)</f>
        <v>200.37535233605445</v>
      </c>
    </row>
    <row r="1084" spans="1:5" ht="15">
      <c r="A1084" s="3">
        <f t="shared" si="0"/>
        <v>2049</v>
      </c>
      <c r="B1084" s="4">
        <f>AVERAGE(B425:B436)</f>
        <v>35.421916666666668</v>
      </c>
      <c r="C1084" s="4">
        <f>AVERAGE(C425:C436)</f>
        <v>35.109416666666668</v>
      </c>
      <c r="D1084" s="4">
        <f>AVERAGE(D425:D436)</f>
        <v>40.535125000000001</v>
      </c>
      <c r="E1084" s="4">
        <f>AVERAGE(E425:E436)</f>
        <v>206.68717593464032</v>
      </c>
    </row>
    <row r="1085" spans="1:5" ht="15">
      <c r="A1085" s="3">
        <f t="shared" si="0"/>
        <v>2050</v>
      </c>
      <c r="B1085" s="4">
        <f>AVERAGE(B437:B448)</f>
        <v>36.578991666666674</v>
      </c>
      <c r="C1085" s="4">
        <f>AVERAGE(C437:C448)</f>
        <v>36.266491666666674</v>
      </c>
      <c r="D1085" s="4">
        <f>AVERAGE(D437:D448)</f>
        <v>41.519991666666662</v>
      </c>
      <c r="E1085" s="4">
        <f>AVERAGE(E437:E448)</f>
        <v>213.19782197658142</v>
      </c>
    </row>
    <row r="1086" spans="1:5" ht="15">
      <c r="A1086" s="3">
        <f t="shared" si="0"/>
        <v>2051</v>
      </c>
      <c r="B1086" s="4">
        <f>AVERAGE(B449:B460)</f>
        <v>37.775966666666669</v>
      </c>
      <c r="C1086" s="4">
        <f>AVERAGE(C449:C460)</f>
        <v>37.463466666666669</v>
      </c>
      <c r="D1086" s="4">
        <f>AVERAGE(D449:D460)</f>
        <v>42.529291666666673</v>
      </c>
      <c r="E1086" s="4">
        <f>AVERAGE(E449:E460)</f>
        <v>219.91355336884365</v>
      </c>
    </row>
    <row r="1087" spans="1:5" ht="15">
      <c r="A1087" s="3">
        <f t="shared" si="0"/>
        <v>2052</v>
      </c>
      <c r="B1087" s="4">
        <f>AVERAGE(B461:B472)</f>
        <v>39.014266666666671</v>
      </c>
      <c r="C1087" s="4">
        <f>AVERAGE(C461:C472)</f>
        <v>38.701766666666671</v>
      </c>
      <c r="D1087" s="4">
        <f>AVERAGE(D461:D472)</f>
        <v>43.563608333333327</v>
      </c>
      <c r="E1087" s="4">
        <f>AVERAGE(E461:E472)</f>
        <v>226.84083029996251</v>
      </c>
    </row>
    <row r="1088" spans="1:5" ht="15">
      <c r="A1088" s="3">
        <f t="shared" si="0"/>
        <v>2053</v>
      </c>
      <c r="B1088" s="4">
        <f>AVERAGE(B473:B484)</f>
        <v>40.29526666666667</v>
      </c>
      <c r="C1088" s="4">
        <f>AVERAGE(C473:C484)</f>
        <v>39.98276666666667</v>
      </c>
      <c r="D1088" s="4">
        <f>AVERAGE(D473:D484)</f>
        <v>44.623574999999995</v>
      </c>
      <c r="E1088" s="4">
        <f>AVERAGE(E473:E484)</f>
        <v>233.98631645441097</v>
      </c>
    </row>
    <row r="1089" spans="1:5" ht="15">
      <c r="A1089" s="3">
        <f t="shared" si="0"/>
        <v>2054</v>
      </c>
      <c r="B1089" s="4">
        <f>AVERAGE(B485:B496)</f>
        <v>41.620475000000006</v>
      </c>
      <c r="C1089" s="4">
        <f>AVERAGE(C485:C496)</f>
        <v>41.307975000000006</v>
      </c>
      <c r="D1089" s="4">
        <f>AVERAGE(D485:D496)</f>
        <v>45.709841666666669</v>
      </c>
      <c r="E1089" s="4">
        <f>AVERAGE(E485:E496)</f>
        <v>241.35688542272518</v>
      </c>
    </row>
    <row r="1090" spans="1:5" ht="15">
      <c r="A1090" s="3">
        <f t="shared" si="0"/>
        <v>2055</v>
      </c>
      <c r="B1090" s="4">
        <f>AVERAGE(B497:B508)</f>
        <v>42.991391666666679</v>
      </c>
      <c r="C1090" s="4">
        <f>AVERAGE(C497:C508)</f>
        <v>42.678891666666679</v>
      </c>
      <c r="D1090" s="4">
        <f>AVERAGE(D497:D508)</f>
        <v>46.823058333333343</v>
      </c>
      <c r="E1090" s="4">
        <f>AVERAGE(E497:E508)</f>
        <v>248.95962731354086</v>
      </c>
    </row>
    <row r="1091" spans="1:5" ht="15">
      <c r="A1091" s="3">
        <f t="shared" si="0"/>
        <v>2056</v>
      </c>
      <c r="B1091" s="4">
        <f>AVERAGE(B509:B520)</f>
        <v>44.409616666666672</v>
      </c>
      <c r="C1091" s="4">
        <f>AVERAGE(C509:C520)</f>
        <v>44.097116666666672</v>
      </c>
      <c r="D1091" s="4">
        <f>AVERAGE(D509:D520)</f>
        <v>47.963841666666667</v>
      </c>
      <c r="E1091" s="4">
        <f>AVERAGE(E509:E520)</f>
        <v>256.80185557391752</v>
      </c>
    </row>
    <row r="1092" spans="1:5" ht="15">
      <c r="A1092" s="3">
        <f t="shared" si="0"/>
        <v>2057</v>
      </c>
      <c r="B1092" s="4">
        <f>AVERAGE(B521:B532)</f>
        <v>45.876766666666668</v>
      </c>
      <c r="C1092" s="4">
        <f>AVERAGE(C521:C532)</f>
        <v>45.564266666666668</v>
      </c>
      <c r="D1092" s="4">
        <f>AVERAGE(D521:D532)</f>
        <v>49.132925</v>
      </c>
      <c r="E1092" s="4">
        <f>AVERAGE(E521:E532)</f>
        <v>264.89111402449583</v>
      </c>
    </row>
    <row r="1093" spans="1:5" ht="15">
      <c r="A1093" s="3">
        <f t="shared" si="0"/>
        <v>2058</v>
      </c>
      <c r="B1093" s="4">
        <f>AVERAGE(B533:B544)</f>
        <v>47.394533333333356</v>
      </c>
      <c r="C1093" s="4">
        <f>AVERAGE(C533:C544)</f>
        <v>47.082033333333356</v>
      </c>
      <c r="D1093" s="4">
        <f>AVERAGE(D533:D544)</f>
        <v>50.331050000000005</v>
      </c>
      <c r="E1093" s="4">
        <f>AVERAGE(E533:E544)</f>
        <v>273.23518411626765</v>
      </c>
    </row>
    <row r="1094" spans="1:5" ht="15">
      <c r="A1094" s="3">
        <f t="shared" si="0"/>
        <v>2059</v>
      </c>
      <c r="B1094" s="4">
        <f>AVERAGE(B545:B556)</f>
        <v>48.964650000000006</v>
      </c>
      <c r="C1094" s="4">
        <f>AVERAGE(C545:C556)</f>
        <v>48.652150000000006</v>
      </c>
      <c r="D1094" s="4">
        <f>AVERAGE(D545:D556)</f>
        <v>51.558833333333332</v>
      </c>
      <c r="E1094" s="4">
        <f>AVERAGE(E545:E556)</f>
        <v>281.84209241593004</v>
      </c>
    </row>
    <row r="1095" spans="1:5" ht="15">
      <c r="A1095" s="3">
        <f t="shared" si="0"/>
        <v>2060</v>
      </c>
      <c r="B1095" s="4">
        <f>AVERAGE(B557:B568)</f>
        <v>50.588950000000011</v>
      </c>
      <c r="C1095" s="4">
        <f>AVERAGE(C557:C568)</f>
        <v>50.276450000000011</v>
      </c>
      <c r="D1095" s="4">
        <f>AVERAGE(D557:D568)</f>
        <v>52.81709166666667</v>
      </c>
      <c r="E1095" s="4">
        <f>AVERAGE(E557:E568)</f>
        <v>290.72011832703197</v>
      </c>
    </row>
    <row r="1096" spans="1:5" ht="15">
      <c r="A1096" s="3">
        <f t="shared" si="0"/>
        <v>2061</v>
      </c>
      <c r="B1096" s="4">
        <f>AVERAGE(B569:B580)</f>
        <v>52.269283333333341</v>
      </c>
      <c r="C1096" s="4">
        <f>AVERAGE(C569:C580)</f>
        <v>51.956783333333341</v>
      </c>
      <c r="D1096" s="4">
        <f>AVERAGE(D569:D580)</f>
        <v>54.106558333333332</v>
      </c>
      <c r="E1096" s="4">
        <f>AVERAGE(E569:E580)</f>
        <v>299.87780205433319</v>
      </c>
    </row>
    <row r="1097" spans="1:5" ht="15">
      <c r="A1097" s="3">
        <f t="shared" si="0"/>
        <v>2062</v>
      </c>
      <c r="B1097" s="4">
        <f t="shared" ref="B1097:E1116" ca="1" si="1">AVERAGE(OFFSET(B$581,($A1097-$A$1097)*12,0,12,1))</f>
        <v>54.007583333333336</v>
      </c>
      <c r="C1097" s="4">
        <f t="shared" ca="1" si="1"/>
        <v>53.695083333333336</v>
      </c>
      <c r="D1097" s="4">
        <f t="shared" ca="1" si="1"/>
        <v>55.427991666666664</v>
      </c>
      <c r="E1097" s="4">
        <f t="shared" ca="1" si="1"/>
        <v>309.32395281904473</v>
      </c>
    </row>
    <row r="1098" spans="1:5" ht="15">
      <c r="A1098" s="3">
        <f t="shared" si="0"/>
        <v>2063</v>
      </c>
      <c r="B1098" s="4">
        <f t="shared" ca="1" si="1"/>
        <v>55.805858333333333</v>
      </c>
      <c r="C1098" s="4">
        <f t="shared" ca="1" si="1"/>
        <v>55.493358333333333</v>
      </c>
      <c r="D1098" s="4">
        <f t="shared" ca="1" si="1"/>
        <v>56.78220000000001</v>
      </c>
      <c r="E1098" s="4">
        <f t="shared" ca="1" si="1"/>
        <v>319.06765733284493</v>
      </c>
    </row>
    <row r="1099" spans="1:5" ht="15">
      <c r="A1099" s="3">
        <f t="shared" si="0"/>
        <v>2064</v>
      </c>
      <c r="B1099" s="4">
        <f t="shared" ca="1" si="1"/>
        <v>57.666183333333329</v>
      </c>
      <c r="C1099" s="4">
        <f t="shared" ca="1" si="1"/>
        <v>57.353683333333329</v>
      </c>
      <c r="D1099" s="4">
        <f t="shared" ca="1" si="1"/>
        <v>58.169991666666668</v>
      </c>
      <c r="E1099" s="4">
        <f t="shared" ca="1" si="1"/>
        <v>329.1182885388294</v>
      </c>
    </row>
    <row r="1100" spans="1:5" ht="15">
      <c r="A1100" s="3">
        <f t="shared" si="0"/>
        <v>2065</v>
      </c>
      <c r="B1100" s="4">
        <f t="shared" ca="1" si="1"/>
        <v>59.590699999999998</v>
      </c>
      <c r="C1100" s="4">
        <f t="shared" ca="1" si="1"/>
        <v>59.278199999999998</v>
      </c>
      <c r="D1100" s="4">
        <f t="shared" ca="1" si="1"/>
        <v>59.592199999999998</v>
      </c>
      <c r="E1100" s="4">
        <f t="shared" ca="1" si="1"/>
        <v>339.48551462780262</v>
      </c>
    </row>
    <row r="1101" spans="1:5" ht="15">
      <c r="A1101" s="3">
        <f t="shared" si="0"/>
        <v>2066</v>
      </c>
      <c r="B1101" s="4">
        <f t="shared" ca="1" si="1"/>
        <v>61.581583333333349</v>
      </c>
      <c r="C1101" s="4">
        <f t="shared" ca="1" si="1"/>
        <v>61.269083333333349</v>
      </c>
      <c r="D1101" s="4">
        <f t="shared" ca="1" si="1"/>
        <v>61.049683333333341</v>
      </c>
      <c r="E1101" s="4">
        <f t="shared" ca="1" si="1"/>
        <v>350.17930833857844</v>
      </c>
    </row>
    <row r="1102" spans="1:5" ht="15">
      <c r="A1102" s="3">
        <f t="shared" si="0"/>
        <v>2067</v>
      </c>
      <c r="B1102" s="4">
        <f t="shared" ca="1" si="1"/>
        <v>63.64114166666667</v>
      </c>
      <c r="C1102" s="4">
        <f t="shared" ca="1" si="1"/>
        <v>63.32864166666667</v>
      </c>
      <c r="D1102" s="4">
        <f t="shared" ca="1" si="1"/>
        <v>62.543325000000003</v>
      </c>
      <c r="E1102" s="4">
        <f t="shared" ca="1" si="1"/>
        <v>361.20995655124375</v>
      </c>
    </row>
    <row r="1103" spans="1:5" ht="15">
      <c r="A1103" s="3">
        <f t="shared" si="0"/>
        <v>2068</v>
      </c>
      <c r="B1103" s="4">
        <f t="shared" ca="1" si="1"/>
        <v>65.771799999999999</v>
      </c>
      <c r="C1103" s="4">
        <f t="shared" ca="1" si="1"/>
        <v>65.459299999999999</v>
      </c>
      <c r="D1103" s="4">
        <f t="shared" ca="1" si="1"/>
        <v>64.073975000000004</v>
      </c>
      <c r="E1103" s="4">
        <f t="shared" ca="1" si="1"/>
        <v>372.58807018260791</v>
      </c>
    </row>
    <row r="1104" spans="1:5" ht="15">
      <c r="A1104" s="3">
        <f t="shared" si="0"/>
        <v>2069</v>
      </c>
      <c r="B1104" s="4">
        <f t="shared" ca="1" si="1"/>
        <v>67.975933333333344</v>
      </c>
      <c r="C1104" s="4">
        <f t="shared" ca="1" si="1"/>
        <v>67.663433333333344</v>
      </c>
      <c r="D1104" s="4">
        <f t="shared" ca="1" si="1"/>
        <v>65.642600000000002</v>
      </c>
      <c r="E1104" s="4">
        <f t="shared" ca="1" si="1"/>
        <v>384.3245943933602</v>
      </c>
    </row>
    <row r="1105" spans="1:5" ht="15">
      <c r="A1105" s="3">
        <f t="shared" ref="A1105:A1135" si="2">A1104+1</f>
        <v>2070</v>
      </c>
      <c r="B1105" s="4">
        <f t="shared" ca="1" si="1"/>
        <v>70.256116666666671</v>
      </c>
      <c r="C1105" s="4">
        <f t="shared" ca="1" si="1"/>
        <v>69.943616666666671</v>
      </c>
      <c r="D1105" s="4">
        <f t="shared" ca="1" si="1"/>
        <v>67.250133333333324</v>
      </c>
      <c r="E1105" s="4">
        <f t="shared" ca="1" si="1"/>
        <v>396.43081911675102</v>
      </c>
    </row>
    <row r="1106" spans="1:5" ht="15">
      <c r="A1106" s="3">
        <f t="shared" si="2"/>
        <v>2071</v>
      </c>
      <c r="B1106" s="4">
        <f t="shared" ca="1" si="1"/>
        <v>72.614974999999987</v>
      </c>
      <c r="C1106" s="4">
        <f t="shared" ca="1" si="1"/>
        <v>72.302474999999987</v>
      </c>
      <c r="D1106" s="4">
        <f t="shared" ca="1" si="1"/>
        <v>68.89755000000001</v>
      </c>
      <c r="E1106" s="4">
        <f t="shared" ca="1" si="1"/>
        <v>408.91838991892865</v>
      </c>
    </row>
    <row r="1107" spans="1:5" ht="15">
      <c r="A1107" s="3">
        <f t="shared" si="2"/>
        <v>2072</v>
      </c>
      <c r="B1107" s="4">
        <f t="shared" ca="1" si="1"/>
        <v>75.055208333333326</v>
      </c>
      <c r="C1107" s="4">
        <f t="shared" ca="1" si="1"/>
        <v>74.742708333333326</v>
      </c>
      <c r="D1107" s="4">
        <f t="shared" ca="1" si="1"/>
        <v>70.585783333333339</v>
      </c>
      <c r="E1107" s="4">
        <f t="shared" ca="1" si="1"/>
        <v>421.79931920137506</v>
      </c>
    </row>
    <row r="1108" spans="1:5" ht="15">
      <c r="A1108" s="3">
        <f t="shared" si="2"/>
        <v>2073</v>
      </c>
      <c r="B1108" s="4">
        <f t="shared" ca="1" si="1"/>
        <v>77.57964166666666</v>
      </c>
      <c r="C1108" s="4">
        <f t="shared" ca="1" si="1"/>
        <v>77.26714166666666</v>
      </c>
      <c r="D1108" s="4">
        <f t="shared" ca="1" si="1"/>
        <v>72.31590833333334</v>
      </c>
      <c r="E1108" s="4">
        <f t="shared" ca="1" si="1"/>
        <v>435.08599775621821</v>
      </c>
    </row>
    <row r="1109" spans="1:5" ht="15">
      <c r="A1109" s="3">
        <f t="shared" si="2"/>
        <v>2074</v>
      </c>
      <c r="B1109" s="4">
        <f t="shared" ca="1" si="1"/>
        <v>80.191149999999993</v>
      </c>
      <c r="C1109" s="4">
        <f t="shared" ca="1" si="1"/>
        <v>79.878649999999993</v>
      </c>
      <c r="D1109" s="4">
        <f t="shared" ca="1" si="1"/>
        <v>74.088950000000011</v>
      </c>
      <c r="E1109" s="4">
        <f t="shared" ca="1" si="1"/>
        <v>448.79120668553918</v>
      </c>
    </row>
    <row r="1110" spans="1:5" ht="15">
      <c r="A1110" s="3">
        <f t="shared" si="2"/>
        <v>2075</v>
      </c>
      <c r="B1110" s="4">
        <f t="shared" ca="1" si="1"/>
        <v>82.892766666666674</v>
      </c>
      <c r="C1110" s="4">
        <f t="shared" ca="1" si="1"/>
        <v>82.580266666666674</v>
      </c>
      <c r="D1110" s="4">
        <f t="shared" ca="1" si="1"/>
        <v>75.905958333333331</v>
      </c>
      <c r="E1110" s="4">
        <f t="shared" ca="1" si="1"/>
        <v>462.92812969613391</v>
      </c>
    </row>
    <row r="1111" spans="1:5" ht="15">
      <c r="A1111" s="3">
        <f t="shared" si="2"/>
        <v>2076</v>
      </c>
      <c r="B1111" s="4">
        <f t="shared" ca="1" si="1"/>
        <v>85.687574999999995</v>
      </c>
      <c r="C1111" s="4">
        <f t="shared" ca="1" si="1"/>
        <v>85.375074999999995</v>
      </c>
      <c r="D1111" s="4">
        <f t="shared" ca="1" si="1"/>
        <v>77.768008333333327</v>
      </c>
      <c r="E1111" s="4">
        <f t="shared" ca="1" si="1"/>
        <v>477.5103657815618</v>
      </c>
    </row>
    <row r="1112" spans="1:5" ht="15">
      <c r="A1112" s="3">
        <f t="shared" si="2"/>
        <v>2077</v>
      </c>
      <c r="B1112" s="4">
        <f t="shared" ca="1" si="1"/>
        <v>88.578800000000001</v>
      </c>
      <c r="C1112" s="4">
        <f t="shared" ca="1" si="1"/>
        <v>88.266300000000001</v>
      </c>
      <c r="D1112" s="4">
        <f t="shared" ca="1" si="1"/>
        <v>79.676241666666655</v>
      </c>
      <c r="E1112" s="4">
        <f t="shared" ca="1" si="1"/>
        <v>492.55194230368119</v>
      </c>
    </row>
    <row r="1113" spans="1:5" ht="15">
      <c r="A1113" s="3">
        <f t="shared" si="2"/>
        <v>2078</v>
      </c>
      <c r="B1113" s="4">
        <f t="shared" ca="1" si="1"/>
        <v>91.569800000000001</v>
      </c>
      <c r="C1113" s="4">
        <f t="shared" ca="1" si="1"/>
        <v>91.257300000000001</v>
      </c>
      <c r="D1113" s="4">
        <f t="shared" ca="1" si="1"/>
        <v>81.631791666666658</v>
      </c>
      <c r="E1113" s="4">
        <f t="shared" ca="1" si="1"/>
        <v>508.06732848624711</v>
      </c>
    </row>
    <row r="1114" spans="1:5" ht="15">
      <c r="A1114" s="3">
        <f t="shared" si="2"/>
        <v>2079</v>
      </c>
      <c r="B1114" s="4">
        <f t="shared" ca="1" si="1"/>
        <v>94.663958333333326</v>
      </c>
      <c r="C1114" s="4">
        <f t="shared" ca="1" si="1"/>
        <v>94.351458333333326</v>
      </c>
      <c r="D1114" s="4">
        <f t="shared" ca="1" si="1"/>
        <v>83.635883333333339</v>
      </c>
      <c r="E1114" s="4">
        <f t="shared" ca="1" si="1"/>
        <v>524.07144933356403</v>
      </c>
    </row>
    <row r="1115" spans="1:5" ht="15">
      <c r="A1115" s="3">
        <f t="shared" si="2"/>
        <v>2080</v>
      </c>
      <c r="B1115" s="4">
        <f t="shared" ca="1" si="1"/>
        <v>97.86490000000002</v>
      </c>
      <c r="C1115" s="4">
        <f t="shared" ca="1" si="1"/>
        <v>97.55240000000002</v>
      </c>
      <c r="D1115" s="4">
        <f t="shared" ca="1" si="1"/>
        <v>85.689649999999986</v>
      </c>
      <c r="E1115" s="4">
        <f t="shared" ca="1" si="1"/>
        <v>540.5796999875713</v>
      </c>
    </row>
    <row r="1116" spans="1:5" ht="15">
      <c r="A1116" s="3">
        <f t="shared" si="2"/>
        <v>2081</v>
      </c>
      <c r="B1116" s="4">
        <f t="shared" ca="1" si="1"/>
        <v>101.17624999999998</v>
      </c>
      <c r="C1116" s="4">
        <f t="shared" ca="1" si="1"/>
        <v>100.86374999999998</v>
      </c>
      <c r="D1116" s="4">
        <f t="shared" ca="1" si="1"/>
        <v>87.794333333333327</v>
      </c>
      <c r="E1116" s="4">
        <f t="shared" ca="1" si="1"/>
        <v>557.60796053717968</v>
      </c>
    </row>
    <row r="1117" spans="1:5" ht="15">
      <c r="A1117" s="3">
        <f t="shared" si="2"/>
        <v>2082</v>
      </c>
      <c r="B1117" s="4">
        <f t="shared" ref="B1117:E1135" ca="1" si="3">AVERAGE(OFFSET(B$581,($A1117-$A$1097)*12,0,12,1))</f>
        <v>104.60183333333333</v>
      </c>
      <c r="C1117" s="4">
        <f t="shared" ca="1" si="3"/>
        <v>104.28933333333333</v>
      </c>
      <c r="D1117" s="4">
        <f t="shared" ca="1" si="3"/>
        <v>89.951216666666667</v>
      </c>
      <c r="E1117" s="4">
        <f t="shared" ca="1" si="3"/>
        <v>575.17261129410088</v>
      </c>
    </row>
    <row r="1118" spans="1:5" ht="15">
      <c r="A1118" s="3">
        <f t="shared" si="2"/>
        <v>2083</v>
      </c>
      <c r="B1118" s="4">
        <f t="shared" ca="1" si="3"/>
        <v>108.145625</v>
      </c>
      <c r="C1118" s="4">
        <f t="shared" ca="1" si="3"/>
        <v>107.833125</v>
      </c>
      <c r="D1118" s="4">
        <f t="shared" ca="1" si="3"/>
        <v>92.161625000000001</v>
      </c>
      <c r="E1118" s="4">
        <f t="shared" ca="1" si="3"/>
        <v>593.29054854986487</v>
      </c>
    </row>
    <row r="1119" spans="1:5" ht="15">
      <c r="A1119" s="3">
        <f t="shared" si="2"/>
        <v>2084</v>
      </c>
      <c r="B1119" s="4">
        <f t="shared" ca="1" si="3"/>
        <v>111.81165833333331</v>
      </c>
      <c r="C1119" s="4">
        <f t="shared" ca="1" si="3"/>
        <v>111.49915833333331</v>
      </c>
      <c r="D1119" s="4">
        <f t="shared" ca="1" si="3"/>
        <v>94.426808333333341</v>
      </c>
      <c r="E1119" s="4">
        <f t="shared" ca="1" si="3"/>
        <v>611.97920082918563</v>
      </c>
    </row>
    <row r="1120" spans="1:5" ht="15">
      <c r="A1120" s="3">
        <f t="shared" si="2"/>
        <v>2085</v>
      </c>
      <c r="B1120" s="4">
        <f t="shared" ca="1" si="3"/>
        <v>115.60418333333335</v>
      </c>
      <c r="C1120" s="4">
        <f t="shared" ca="1" si="3"/>
        <v>115.29168333333335</v>
      </c>
      <c r="D1120" s="4">
        <f t="shared" ca="1" si="3"/>
        <v>96.748183333333316</v>
      </c>
      <c r="E1120" s="4">
        <f t="shared" ca="1" si="3"/>
        <v>631.2565456553051</v>
      </c>
    </row>
    <row r="1121" spans="1:5" ht="15">
      <c r="A1121" s="3">
        <f t="shared" si="2"/>
        <v>2086</v>
      </c>
      <c r="B1121" s="4">
        <f t="shared" ca="1" si="3"/>
        <v>119.52753333333334</v>
      </c>
      <c r="C1121" s="4">
        <f t="shared" ca="1" si="3"/>
        <v>119.21503333333334</v>
      </c>
      <c r="D1121" s="4">
        <f t="shared" ca="1" si="3"/>
        <v>99.127166666666653</v>
      </c>
      <c r="E1121" s="4">
        <f t="shared" ca="1" si="3"/>
        <v>651.14112684344741</v>
      </c>
    </row>
    <row r="1122" spans="1:5" ht="15">
      <c r="A1122" s="3">
        <f t="shared" si="2"/>
        <v>2087</v>
      </c>
      <c r="B1122" s="4">
        <f t="shared" ca="1" si="3"/>
        <v>123.58624999999999</v>
      </c>
      <c r="C1122" s="4">
        <f t="shared" ca="1" si="3"/>
        <v>123.27374999999999</v>
      </c>
      <c r="D1122" s="4">
        <f t="shared" ca="1" si="3"/>
        <v>101.56509999999999</v>
      </c>
      <c r="E1122" s="4">
        <f t="shared" ca="1" si="3"/>
        <v>671.65207233901629</v>
      </c>
    </row>
    <row r="1123" spans="1:5" ht="15">
      <c r="A1123" s="3">
        <f t="shared" si="2"/>
        <v>2088</v>
      </c>
      <c r="B1123" s="4">
        <f t="shared" ca="1" si="3"/>
        <v>127.78499166666667</v>
      </c>
      <c r="C1123" s="4">
        <f t="shared" ca="1" si="3"/>
        <v>127.47249166666667</v>
      </c>
      <c r="D1123" s="4">
        <f t="shared" ca="1" si="3"/>
        <v>104.06349166666666</v>
      </c>
      <c r="E1123" s="4">
        <f t="shared" ca="1" si="3"/>
        <v>692.80911261769506</v>
      </c>
    </row>
    <row r="1124" spans="1:5" ht="15">
      <c r="A1124" s="3">
        <f t="shared" si="2"/>
        <v>2089</v>
      </c>
      <c r="B1124" s="4">
        <f t="shared" ca="1" si="3"/>
        <v>132.12859999999998</v>
      </c>
      <c r="C1124" s="4">
        <f t="shared" ca="1" si="3"/>
        <v>131.81609999999998</v>
      </c>
      <c r="D1124" s="4">
        <f t="shared" ca="1" si="3"/>
        <v>106.62388333333332</v>
      </c>
      <c r="E1124" s="4">
        <f t="shared" ca="1" si="3"/>
        <v>714.63259966515272</v>
      </c>
    </row>
    <row r="1125" spans="1:5" ht="15">
      <c r="A1125" s="3">
        <f t="shared" si="2"/>
        <v>2090</v>
      </c>
      <c r="B1125" s="4">
        <f t="shared" ca="1" si="3"/>
        <v>136.62205000000003</v>
      </c>
      <c r="C1125" s="4">
        <f t="shared" ca="1" si="3"/>
        <v>136.30955000000003</v>
      </c>
      <c r="D1125" s="4">
        <f t="shared" ca="1" si="3"/>
        <v>109.247725</v>
      </c>
      <c r="E1125" s="4">
        <f t="shared" ca="1" si="3"/>
        <v>737.1435265546047</v>
      </c>
    </row>
    <row r="1126" spans="1:5" ht="15">
      <c r="A1126" s="3">
        <f t="shared" si="2"/>
        <v>2091</v>
      </c>
      <c r="B1126" s="4">
        <f t="shared" ca="1" si="3"/>
        <v>141.27052499999996</v>
      </c>
      <c r="C1126" s="4">
        <f t="shared" ca="1" si="3"/>
        <v>140.95802499999996</v>
      </c>
      <c r="D1126" s="4">
        <f t="shared" ca="1" si="3"/>
        <v>111.93666666666667</v>
      </c>
      <c r="E1126" s="4">
        <f t="shared" ca="1" si="3"/>
        <v>760.36354764107489</v>
      </c>
    </row>
    <row r="1127" spans="1:5" ht="15">
      <c r="A1127" s="3">
        <f t="shared" si="2"/>
        <v>2092</v>
      </c>
      <c r="B1127" s="4">
        <f t="shared" ca="1" si="3"/>
        <v>146.07936666666663</v>
      </c>
      <c r="C1127" s="4">
        <f t="shared" ca="1" si="3"/>
        <v>145.76686666666663</v>
      </c>
      <c r="D1127" s="4">
        <f t="shared" ca="1" si="3"/>
        <v>114.6923</v>
      </c>
      <c r="E1127" s="4">
        <f t="shared" ca="1" si="3"/>
        <v>784.31499939176865</v>
      </c>
    </row>
    <row r="1128" spans="1:5" ht="15">
      <c r="A1128" s="3">
        <f t="shared" si="2"/>
        <v>2093</v>
      </c>
      <c r="B1128" s="4">
        <f t="shared" ca="1" si="3"/>
        <v>151.05413333333334</v>
      </c>
      <c r="C1128" s="4">
        <f t="shared" ca="1" si="3"/>
        <v>150.74163333333334</v>
      </c>
      <c r="D1128" s="4">
        <f t="shared" ca="1" si="3"/>
        <v>117.51626666666664</v>
      </c>
      <c r="E1128" s="4">
        <f t="shared" ca="1" si="3"/>
        <v>809.02092187260951</v>
      </c>
    </row>
    <row r="1129" spans="1:5" ht="15">
      <c r="A1129" s="3">
        <f t="shared" si="2"/>
        <v>2094</v>
      </c>
      <c r="B1129" s="4">
        <f t="shared" ca="1" si="3"/>
        <v>156.20051666666663</v>
      </c>
      <c r="C1129" s="4">
        <f t="shared" ca="1" si="3"/>
        <v>155.88801666666663</v>
      </c>
      <c r="D1129" s="4">
        <f t="shared" ca="1" si="3"/>
        <v>120.41026666666666</v>
      </c>
      <c r="E1129" s="4">
        <f t="shared" ca="1" si="3"/>
        <v>834.50508091159679</v>
      </c>
    </row>
    <row r="1130" spans="1:5" ht="15">
      <c r="A1130" s="3">
        <f t="shared" si="2"/>
        <v>2095</v>
      </c>
      <c r="B1130" s="4">
        <f t="shared" ca="1" si="3"/>
        <v>161.52444166666666</v>
      </c>
      <c r="C1130" s="4">
        <f t="shared" ca="1" si="3"/>
        <v>161.21194166666666</v>
      </c>
      <c r="D1130" s="4">
        <f t="shared" ca="1" si="3"/>
        <v>123.37604166666667</v>
      </c>
      <c r="E1130" s="4">
        <f t="shared" ca="1" si="3"/>
        <v>860.79199096031243</v>
      </c>
    </row>
    <row r="1131" spans="1:5" ht="15">
      <c r="A1131" s="3">
        <f t="shared" si="2"/>
        <v>2096</v>
      </c>
      <c r="B1131" s="4">
        <f t="shared" ca="1" si="3"/>
        <v>167.03205833333331</v>
      </c>
      <c r="C1131" s="4">
        <f t="shared" ca="1" si="3"/>
        <v>166.71955833333331</v>
      </c>
      <c r="D1131" s="4">
        <f t="shared" ca="1" si="3"/>
        <v>126.41534999999999</v>
      </c>
      <c r="E1131" s="4">
        <f t="shared" ca="1" si="3"/>
        <v>887.90693867556195</v>
      </c>
    </row>
    <row r="1132" spans="1:5" ht="15">
      <c r="A1132" s="3">
        <f t="shared" si="2"/>
        <v>2097</v>
      </c>
      <c r="B1132" s="4">
        <f t="shared" ca="1" si="3"/>
        <v>172.72967500000001</v>
      </c>
      <c r="C1132" s="4">
        <f t="shared" ca="1" si="3"/>
        <v>172.41717500000001</v>
      </c>
      <c r="D1132" s="4">
        <f t="shared" ca="1" si="3"/>
        <v>129.53004999999999</v>
      </c>
      <c r="E1132" s="4">
        <f t="shared" ca="1" si="3"/>
        <v>915.87600724384254</v>
      </c>
    </row>
    <row r="1133" spans="1:5" ht="15">
      <c r="A1133" s="3">
        <f t="shared" si="2"/>
        <v>2098</v>
      </c>
      <c r="B1133" s="4">
        <f t="shared" ca="1" si="3"/>
        <v>178.62385833333335</v>
      </c>
      <c r="C1133" s="4">
        <f t="shared" ca="1" si="3"/>
        <v>178.31135833333335</v>
      </c>
      <c r="D1133" s="4">
        <f t="shared" ca="1" si="3"/>
        <v>132.72198333333336</v>
      </c>
      <c r="E1133" s="4">
        <f t="shared" ca="1" si="3"/>
        <v>944.72610147202329</v>
      </c>
    </row>
    <row r="1134" spans="1:5" ht="15">
      <c r="A1134" s="3">
        <f t="shared" si="2"/>
        <v>2099</v>
      </c>
      <c r="B1134" s="4">
        <f t="shared" ca="1" si="3"/>
        <v>184.72142500000004</v>
      </c>
      <c r="C1134" s="4">
        <f t="shared" ca="1" si="3"/>
        <v>184.40892500000004</v>
      </c>
      <c r="D1134" s="4">
        <f t="shared" ca="1" si="3"/>
        <v>135.99309166666663</v>
      </c>
      <c r="E1134" s="4">
        <f t="shared" ca="1" si="3"/>
        <v>974.48497366839217</v>
      </c>
    </row>
    <row r="1135" spans="1:5" ht="15">
      <c r="A1135" s="3">
        <f t="shared" si="2"/>
        <v>2100</v>
      </c>
      <c r="B1135" s="4">
        <f t="shared" ca="1" si="3"/>
        <v>191.02930000000001</v>
      </c>
      <c r="C1135" s="4">
        <f t="shared" ca="1" si="3"/>
        <v>190.71680000000001</v>
      </c>
      <c r="D1135" s="4">
        <f t="shared" ca="1" si="3"/>
        <v>139.34530000000004</v>
      </c>
      <c r="E1135" s="4">
        <f t="shared" ca="1" si="3"/>
        <v>1005.1812503389473</v>
      </c>
    </row>
    <row r="1136" spans="1:5">
      <c r="A1136" s="32"/>
    </row>
    <row r="1137" spans="1:1">
      <c r="A1137" s="32"/>
    </row>
    <row r="1138" spans="1:1">
      <c r="A1138" s="32"/>
    </row>
    <row r="1139" spans="1:1">
      <c r="A1139" s="32"/>
    </row>
    <row r="1140" spans="1:1">
      <c r="A1140" s="32"/>
    </row>
    <row r="1141" spans="1:1">
      <c r="A1141" s="32"/>
    </row>
    <row r="1142" spans="1:1">
      <c r="A1142" s="32"/>
    </row>
    <row r="1143" spans="1:1">
      <c r="A1143" s="32"/>
    </row>
    <row r="1144" spans="1:1">
      <c r="A1144" s="32"/>
    </row>
    <row r="1145" spans="1:1">
      <c r="A1145" s="32"/>
    </row>
    <row r="1146" spans="1:1">
      <c r="A1146" s="32"/>
    </row>
    <row r="1147" spans="1:1">
      <c r="A1147" s="32"/>
    </row>
    <row r="1148" spans="1:1">
      <c r="A1148" s="32"/>
    </row>
    <row r="1149" spans="1:1">
      <c r="A1149" s="32"/>
    </row>
    <row r="1150" spans="1:1">
      <c r="A1150" s="32"/>
    </row>
    <row r="1151" spans="1:1">
      <c r="A1151" s="32"/>
    </row>
    <row r="1152" spans="1:1">
      <c r="A1152" s="32"/>
    </row>
    <row r="1153" spans="1:1">
      <c r="A1153" s="32"/>
    </row>
    <row r="1154" spans="1:1">
      <c r="A1154" s="32"/>
    </row>
    <row r="1155" spans="1:1">
      <c r="A1155" s="32"/>
    </row>
  </sheetData>
  <mergeCells count="1">
    <mergeCell ref="B14:C14"/>
  </mergeCells>
  <pageMargins left="0.25" right="0.25" top="0.5" bottom="0.5" header="0.25" footer="0.25"/>
  <pageSetup scale="85" orientation="portrait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133350</xdr:colOff>
                    <xdr:row>9</xdr:row>
                    <xdr:rowOff>171450</xdr:rowOff>
                  </from>
                  <to>
                    <xdr:col>2</xdr:col>
                    <xdr:colOff>666750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9</xdr:row>
                    <xdr:rowOff>171450</xdr:rowOff>
                  </from>
                  <to>
                    <xdr:col>4</xdr:col>
                    <xdr:colOff>371475</xdr:colOff>
                    <xdr:row>11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O1130"/>
  <sheetViews>
    <sheetView zoomScale="70" zoomScaleNormal="70" workbookViewId="0">
      <pane xSplit="1" ySplit="16" topLeftCell="B1132" activePane="bottomRight" state="frozen"/>
      <selection activeCell="B17" sqref="B17"/>
      <selection pane="topRight" activeCell="B17" sqref="B17"/>
      <selection pane="bottomLeft" activeCell="B17" sqref="B17"/>
      <selection pane="bottomRight" activeCell="A6" sqref="A6"/>
    </sheetView>
  </sheetViews>
  <sheetFormatPr defaultColWidth="7.109375" defaultRowHeight="12.75"/>
  <cols>
    <col min="1" max="1" width="14.5546875" style="32" customWidth="1"/>
    <col min="2" max="2" width="19" style="32" customWidth="1"/>
    <col min="3" max="3" width="16.109375" style="32" customWidth="1"/>
    <col min="4" max="4" width="20.21875" style="32" customWidth="1"/>
    <col min="5" max="5" width="20.6640625" style="32" customWidth="1"/>
    <col min="6" max="6" width="16.109375" style="32" customWidth="1"/>
    <col min="7" max="9" width="20" style="32" customWidth="1"/>
    <col min="10" max="11" width="19.109375" style="32" customWidth="1"/>
    <col min="12" max="12" width="16.109375" style="32" customWidth="1"/>
    <col min="13" max="15" width="17.6640625" style="32" customWidth="1"/>
    <col min="16" max="16384" width="7.109375" style="32"/>
  </cols>
  <sheetData>
    <row r="1" spans="1:15" ht="15.75">
      <c r="A1" s="84" t="s">
        <v>64</v>
      </c>
    </row>
    <row r="2" spans="1:15" ht="15.75">
      <c r="A2" s="84" t="s">
        <v>65</v>
      </c>
    </row>
    <row r="3" spans="1:15" ht="15.75">
      <c r="A3" s="84" t="s">
        <v>66</v>
      </c>
    </row>
    <row r="4" spans="1:15" ht="15.75">
      <c r="A4" s="84" t="s">
        <v>67</v>
      </c>
    </row>
    <row r="5" spans="1:15" ht="15.75">
      <c r="A5" s="84" t="s">
        <v>69</v>
      </c>
    </row>
    <row r="6" spans="1:15" ht="15.75">
      <c r="A6" s="84" t="s">
        <v>73</v>
      </c>
    </row>
    <row r="9" spans="1:15" ht="15" customHeight="1">
      <c r="A9" s="74" t="s">
        <v>25</v>
      </c>
    </row>
    <row r="10" spans="1:15" ht="15" customHeight="1">
      <c r="A10" s="75"/>
    </row>
    <row r="11" spans="1:15" ht="15" customHeight="1">
      <c r="A11" s="75"/>
    </row>
    <row r="12" spans="1:15" ht="15" customHeight="1">
      <c r="B12" s="74"/>
      <c r="H12" s="71" t="s">
        <v>51</v>
      </c>
    </row>
    <row r="13" spans="1:15" ht="15" customHeight="1">
      <c r="A13" s="74"/>
      <c r="B13" s="73" t="s">
        <v>24</v>
      </c>
      <c r="C13" s="72">
        <f>1-0.141</f>
        <v>0.85899999999999999</v>
      </c>
      <c r="D13" s="73" t="s">
        <v>23</v>
      </c>
      <c r="E13" s="72">
        <f>1+0.141</f>
        <v>1.141</v>
      </c>
      <c r="H13" s="71"/>
      <c r="L13" s="89"/>
      <c r="M13" s="89"/>
      <c r="N13" s="89"/>
      <c r="O13" s="89"/>
    </row>
    <row r="14" spans="1:15" ht="15" customHeight="1">
      <c r="B14" s="88" t="s">
        <v>50</v>
      </c>
      <c r="C14" s="88"/>
      <c r="D14" s="88"/>
      <c r="E14" s="90" t="s">
        <v>49</v>
      </c>
      <c r="F14" s="90"/>
      <c r="G14" s="91"/>
      <c r="H14" s="92" t="s">
        <v>48</v>
      </c>
      <c r="I14" s="92"/>
      <c r="J14" s="91" t="s">
        <v>47</v>
      </c>
      <c r="K14" s="91"/>
      <c r="L14" s="89"/>
      <c r="M14" s="89"/>
      <c r="N14" s="89"/>
      <c r="O14" s="89"/>
    </row>
    <row r="15" spans="1:15" ht="63">
      <c r="B15" s="70" t="s">
        <v>46</v>
      </c>
      <c r="C15" s="69" t="s">
        <v>45</v>
      </c>
      <c r="D15" s="68" t="s">
        <v>44</v>
      </c>
      <c r="E15" s="70" t="s">
        <v>46</v>
      </c>
      <c r="F15" s="69" t="s">
        <v>45</v>
      </c>
      <c r="G15" s="68" t="s">
        <v>44</v>
      </c>
      <c r="H15" s="69" t="s">
        <v>45</v>
      </c>
      <c r="I15" s="68" t="s">
        <v>44</v>
      </c>
      <c r="J15" s="69" t="s">
        <v>45</v>
      </c>
      <c r="K15" s="68" t="s">
        <v>44</v>
      </c>
      <c r="L15" s="60"/>
      <c r="M15" s="67"/>
      <c r="N15" s="67"/>
      <c r="O15" s="67"/>
    </row>
    <row r="16" spans="1:15" ht="20.25">
      <c r="A16" s="24" t="s">
        <v>2</v>
      </c>
      <c r="B16" s="66" t="s">
        <v>1</v>
      </c>
      <c r="C16" s="66" t="s">
        <v>1</v>
      </c>
      <c r="D16" s="66" t="s">
        <v>1</v>
      </c>
      <c r="E16" s="66" t="s">
        <v>1</v>
      </c>
      <c r="F16" s="66" t="s">
        <v>1</v>
      </c>
      <c r="G16" s="66" t="s">
        <v>1</v>
      </c>
      <c r="H16" s="66" t="s">
        <v>1</v>
      </c>
      <c r="I16" s="66" t="s">
        <v>1</v>
      </c>
      <c r="J16" s="66" t="s">
        <v>1</v>
      </c>
      <c r="K16" s="66" t="s">
        <v>1</v>
      </c>
      <c r="L16" s="65"/>
      <c r="M16" s="65"/>
      <c r="N16" s="65"/>
      <c r="O16" s="65"/>
    </row>
    <row r="17" spans="1:14" ht="15">
      <c r="A17" s="13">
        <v>42156</v>
      </c>
      <c r="B17" s="63">
        <f>2.2099 * CHOOSE(CONTROL!$C$22, $C$13, 100%, $E$13)</f>
        <v>2.2099000000000002</v>
      </c>
      <c r="C17" s="63">
        <f>2.2099 * CHOOSE(CONTROL!$C$22, $C$13, 100%, $E$13)</f>
        <v>2.2099000000000002</v>
      </c>
      <c r="D17" s="63">
        <f>2.2356 * CHOOSE(CONTROL!$C$22, $C$13, 100%, $E$13)</f>
        <v>2.2355999999999998</v>
      </c>
      <c r="E17" s="64">
        <f>3.1268 * CHOOSE(CONTROL!$C$22, $C$13, 100%, $E$13)</f>
        <v>3.1267999999999998</v>
      </c>
      <c r="F17" s="64">
        <f>4.06 * CHOOSE(CONTROL!$C$22, $C$13, 100%, $E$13)</f>
        <v>4.0599999999999996</v>
      </c>
      <c r="G17" s="64">
        <f>4.0616 * CHOOSE(CONTROL!$C$22, $C$13, 100%, $E$13)</f>
        <v>4.0616000000000003</v>
      </c>
      <c r="H17" s="64">
        <f>5.6482* CHOOSE(CONTROL!$C$22, $C$13, 100%, $E$13)</f>
        <v>5.6482000000000001</v>
      </c>
      <c r="I17" s="64">
        <f>5.6498 * CHOOSE(CONTROL!$C$22, $C$13, 100%, $E$13)</f>
        <v>5.6497999999999999</v>
      </c>
      <c r="J17" s="64">
        <f>3.1268 * CHOOSE(CONTROL!$C$22, $C$13, 100%, $E$13)</f>
        <v>3.1267999999999998</v>
      </c>
      <c r="K17" s="64">
        <f>3.1285 * CHOOSE(CONTROL!$C$22, $C$13, 100%, $E$13)</f>
        <v>3.1284999999999998</v>
      </c>
      <c r="L17" s="4"/>
      <c r="M17" s="64"/>
      <c r="N17" s="64"/>
    </row>
    <row r="18" spans="1:14" ht="15">
      <c r="A18" s="13">
        <v>42186</v>
      </c>
      <c r="B18" s="63">
        <f>2.2225 * CHOOSE(CONTROL!$C$22, $C$13, 100%, $E$13)</f>
        <v>2.2225000000000001</v>
      </c>
      <c r="C18" s="63">
        <f>2.2225 * CHOOSE(CONTROL!$C$22, $C$13, 100%, $E$13)</f>
        <v>2.2225000000000001</v>
      </c>
      <c r="D18" s="63">
        <f>2.2483 * CHOOSE(CONTROL!$C$22, $C$13, 100%, $E$13)</f>
        <v>2.2483</v>
      </c>
      <c r="E18" s="64">
        <f>3.2309 * CHOOSE(CONTROL!$C$22, $C$13, 100%, $E$13)</f>
        <v>3.2309000000000001</v>
      </c>
      <c r="F18" s="64">
        <f>4.06 * CHOOSE(CONTROL!$C$22, $C$13, 100%, $E$13)</f>
        <v>4.0599999999999996</v>
      </c>
      <c r="G18" s="64">
        <f>4.0616 * CHOOSE(CONTROL!$C$22, $C$13, 100%, $E$13)</f>
        <v>4.0616000000000003</v>
      </c>
      <c r="H18" s="64">
        <f>5.6599* CHOOSE(CONTROL!$C$22, $C$13, 100%, $E$13)</f>
        <v>5.6599000000000004</v>
      </c>
      <c r="I18" s="64">
        <f>5.6616 * CHOOSE(CONTROL!$C$22, $C$13, 100%, $E$13)</f>
        <v>5.6616</v>
      </c>
      <c r="J18" s="64">
        <f>3.2309 * CHOOSE(CONTROL!$C$22, $C$13, 100%, $E$13)</f>
        <v>3.2309000000000001</v>
      </c>
      <c r="K18" s="64">
        <f>3.2326 * CHOOSE(CONTROL!$C$22, $C$13, 100%, $E$13)</f>
        <v>3.2326000000000001</v>
      </c>
      <c r="L18" s="4"/>
      <c r="M18" s="64"/>
      <c r="N18" s="64"/>
    </row>
    <row r="19" spans="1:14" ht="15">
      <c r="A19" s="13">
        <v>42217</v>
      </c>
      <c r="B19" s="63">
        <f>2.2353 * CHOOSE(CONTROL!$C$22, $C$13, 100%, $E$13)</f>
        <v>2.2353000000000001</v>
      </c>
      <c r="C19" s="63">
        <f>2.2353 * CHOOSE(CONTROL!$C$22, $C$13, 100%, $E$13)</f>
        <v>2.2353000000000001</v>
      </c>
      <c r="D19" s="63">
        <f>2.261 * CHOOSE(CONTROL!$C$22, $C$13, 100%, $E$13)</f>
        <v>2.2610000000000001</v>
      </c>
      <c r="E19" s="64">
        <f>3.4538 * CHOOSE(CONTROL!$C$22, $C$13, 100%, $E$13)</f>
        <v>3.4538000000000002</v>
      </c>
      <c r="F19" s="64">
        <f>4.06 * CHOOSE(CONTROL!$C$22, $C$13, 100%, $E$13)</f>
        <v>4.0599999999999996</v>
      </c>
      <c r="G19" s="64">
        <f>4.0616 * CHOOSE(CONTROL!$C$22, $C$13, 100%, $E$13)</f>
        <v>4.0616000000000003</v>
      </c>
      <c r="H19" s="64">
        <f>5.6717* CHOOSE(CONTROL!$C$22, $C$13, 100%, $E$13)</f>
        <v>5.6717000000000004</v>
      </c>
      <c r="I19" s="64">
        <f>5.6734 * CHOOSE(CONTROL!$C$22, $C$13, 100%, $E$13)</f>
        <v>5.6734</v>
      </c>
      <c r="J19" s="64">
        <f>3.4538 * CHOOSE(CONTROL!$C$22, $C$13, 100%, $E$13)</f>
        <v>3.4538000000000002</v>
      </c>
      <c r="K19" s="64">
        <f>3.4554 * CHOOSE(CONTROL!$C$22, $C$13, 100%, $E$13)</f>
        <v>3.4554</v>
      </c>
      <c r="L19" s="4"/>
      <c r="M19" s="64"/>
      <c r="N19" s="64"/>
    </row>
    <row r="20" spans="1:14" ht="15">
      <c r="A20" s="13">
        <v>42248</v>
      </c>
      <c r="B20" s="63">
        <f>2.2292 * CHOOSE(CONTROL!$C$22, $C$13, 100%, $E$13)</f>
        <v>2.2292000000000001</v>
      </c>
      <c r="C20" s="63">
        <f>2.2292 * CHOOSE(CONTROL!$C$22, $C$13, 100%, $E$13)</f>
        <v>2.2292000000000001</v>
      </c>
      <c r="D20" s="63">
        <f>2.255 * CHOOSE(CONTROL!$C$22, $C$13, 100%, $E$13)</f>
        <v>2.2549999999999999</v>
      </c>
      <c r="E20" s="64">
        <f>3.3064 * CHOOSE(CONTROL!$C$22, $C$13, 100%, $E$13)</f>
        <v>3.3064</v>
      </c>
      <c r="F20" s="64">
        <f>4.06 * CHOOSE(CONTROL!$C$22, $C$13, 100%, $E$13)</f>
        <v>4.0599999999999996</v>
      </c>
      <c r="G20" s="64">
        <f>4.0616 * CHOOSE(CONTROL!$C$22, $C$13, 100%, $E$13)</f>
        <v>4.0616000000000003</v>
      </c>
      <c r="H20" s="64">
        <f>5.6835* CHOOSE(CONTROL!$C$22, $C$13, 100%, $E$13)</f>
        <v>5.6835000000000004</v>
      </c>
      <c r="I20" s="64">
        <f>5.6852 * CHOOSE(CONTROL!$C$22, $C$13, 100%, $E$13)</f>
        <v>5.6852</v>
      </c>
      <c r="J20" s="64">
        <f>3.3064 * CHOOSE(CONTROL!$C$22, $C$13, 100%, $E$13)</f>
        <v>3.3064</v>
      </c>
      <c r="K20" s="64">
        <f>3.308 * CHOOSE(CONTROL!$C$22, $C$13, 100%, $E$13)</f>
        <v>3.3079999999999998</v>
      </c>
      <c r="L20" s="4"/>
      <c r="M20" s="64"/>
      <c r="N20" s="64"/>
    </row>
    <row r="21" spans="1:14" ht="15">
      <c r="A21" s="13">
        <v>42278</v>
      </c>
      <c r="B21" s="63">
        <f>2.2231 * CHOOSE(CONTROL!$C$22, $C$13, 100%, $E$13)</f>
        <v>2.2231000000000001</v>
      </c>
      <c r="C21" s="63">
        <f>2.2231 * CHOOSE(CONTROL!$C$22, $C$13, 100%, $E$13)</f>
        <v>2.2231000000000001</v>
      </c>
      <c r="D21" s="63">
        <f>2.236 * CHOOSE(CONTROL!$C$22, $C$13, 100%, $E$13)</f>
        <v>2.2360000000000002</v>
      </c>
      <c r="E21" s="64">
        <f>3.4538 * CHOOSE(CONTROL!$C$22, $C$13, 100%, $E$13)</f>
        <v>3.4538000000000002</v>
      </c>
      <c r="F21" s="64">
        <f>4.06 * CHOOSE(CONTROL!$C$22, $C$13, 100%, $E$13)</f>
        <v>4.0599999999999996</v>
      </c>
      <c r="G21" s="64">
        <f>4.0602 * CHOOSE(CONTROL!$C$22, $C$13, 100%, $E$13)</f>
        <v>4.0602</v>
      </c>
      <c r="H21" s="64">
        <f>5.6954* CHOOSE(CONTROL!$C$22, $C$13, 100%, $E$13)</f>
        <v>5.6954000000000002</v>
      </c>
      <c r="I21" s="64">
        <f>5.6955 * CHOOSE(CONTROL!$C$22, $C$13, 100%, $E$13)</f>
        <v>5.6955</v>
      </c>
      <c r="J21" s="64">
        <f>3.4538 * CHOOSE(CONTROL!$C$22, $C$13, 100%, $E$13)</f>
        <v>3.4538000000000002</v>
      </c>
      <c r="K21" s="64">
        <f>3.4539 * CHOOSE(CONTROL!$C$22, $C$13, 100%, $E$13)</f>
        <v>3.4539</v>
      </c>
      <c r="L21" s="4"/>
      <c r="M21" s="64"/>
      <c r="N21" s="64"/>
    </row>
    <row r="22" spans="1:14" ht="15">
      <c r="A22" s="13">
        <v>42309</v>
      </c>
      <c r="B22" s="63">
        <f>2.242 * CHOOSE(CONTROL!$C$22, $C$13, 100%, $E$13)</f>
        <v>2.242</v>
      </c>
      <c r="C22" s="63">
        <f>2.242 * CHOOSE(CONTROL!$C$22, $C$13, 100%, $E$13)</f>
        <v>2.242</v>
      </c>
      <c r="D22" s="63">
        <f>2.2549 * CHOOSE(CONTROL!$C$22, $C$13, 100%, $E$13)</f>
        <v>2.2549000000000001</v>
      </c>
      <c r="E22" s="64">
        <f>3.3432 * CHOOSE(CONTROL!$C$22, $C$13, 100%, $E$13)</f>
        <v>3.3431999999999999</v>
      </c>
      <c r="F22" s="64">
        <f>4.06 * CHOOSE(CONTROL!$C$22, $C$13, 100%, $E$13)</f>
        <v>4.0599999999999996</v>
      </c>
      <c r="G22" s="64">
        <f>4.0602 * CHOOSE(CONTROL!$C$22, $C$13, 100%, $E$13)</f>
        <v>4.0602</v>
      </c>
      <c r="H22" s="64">
        <f>5.7072* CHOOSE(CONTROL!$C$22, $C$13, 100%, $E$13)</f>
        <v>5.7072000000000003</v>
      </c>
      <c r="I22" s="64">
        <f>5.7074 * CHOOSE(CONTROL!$C$22, $C$13, 100%, $E$13)</f>
        <v>5.7073999999999998</v>
      </c>
      <c r="J22" s="64">
        <f>3.3432 * CHOOSE(CONTROL!$C$22, $C$13, 100%, $E$13)</f>
        <v>3.3431999999999999</v>
      </c>
      <c r="K22" s="64">
        <f>3.3434 * CHOOSE(CONTROL!$C$22, $C$13, 100%, $E$13)</f>
        <v>3.3433999999999999</v>
      </c>
      <c r="L22" s="4"/>
      <c r="M22" s="64"/>
      <c r="N22" s="64"/>
    </row>
    <row r="23" spans="1:14" ht="15">
      <c r="A23" s="13">
        <v>42339</v>
      </c>
      <c r="B23" s="63">
        <f>2.2724 * CHOOSE(CONTROL!$C$22, $C$13, 100%, $E$13)</f>
        <v>2.2724000000000002</v>
      </c>
      <c r="C23" s="63">
        <f>2.2724 * CHOOSE(CONTROL!$C$22, $C$13, 100%, $E$13)</f>
        <v>2.2724000000000002</v>
      </c>
      <c r="D23" s="63">
        <f>2.2853 * CHOOSE(CONTROL!$C$22, $C$13, 100%, $E$13)</f>
        <v>2.2852999999999999</v>
      </c>
      <c r="E23" s="64">
        <f>3.3054 * CHOOSE(CONTROL!$C$22, $C$13, 100%, $E$13)</f>
        <v>3.3054000000000001</v>
      </c>
      <c r="F23" s="64">
        <f>4.06 * CHOOSE(CONTROL!$C$22, $C$13, 100%, $E$13)</f>
        <v>4.0599999999999996</v>
      </c>
      <c r="G23" s="64">
        <f>4.0602 * CHOOSE(CONTROL!$C$22, $C$13, 100%, $E$13)</f>
        <v>4.0602</v>
      </c>
      <c r="H23" s="64">
        <f>5.7191* CHOOSE(CONTROL!$C$22, $C$13, 100%, $E$13)</f>
        <v>5.7191000000000001</v>
      </c>
      <c r="I23" s="64">
        <f>5.7193 * CHOOSE(CONTROL!$C$22, $C$13, 100%, $E$13)</f>
        <v>5.7192999999999996</v>
      </c>
      <c r="J23" s="64">
        <f>3.3054 * CHOOSE(CONTROL!$C$22, $C$13, 100%, $E$13)</f>
        <v>3.3054000000000001</v>
      </c>
      <c r="K23" s="64">
        <f>3.3056 * CHOOSE(CONTROL!$C$22, $C$13, 100%, $E$13)</f>
        <v>3.3056000000000001</v>
      </c>
      <c r="L23" s="4"/>
      <c r="M23" s="64"/>
      <c r="N23" s="64"/>
    </row>
    <row r="24" spans="1:14" ht="15">
      <c r="A24" s="13">
        <v>42370</v>
      </c>
      <c r="B24" s="63">
        <f>2.6078 * CHOOSE(CONTROL!$C$22, $C$13, 100%, $E$13)</f>
        <v>2.6078000000000001</v>
      </c>
      <c r="C24" s="63">
        <f>2.6078 * CHOOSE(CONTROL!$C$22, $C$13, 100%, $E$13)</f>
        <v>2.6078000000000001</v>
      </c>
      <c r="D24" s="63">
        <f>2.6207 * CHOOSE(CONTROL!$C$22, $C$13, 100%, $E$13)</f>
        <v>2.6206999999999998</v>
      </c>
      <c r="E24" s="64">
        <f>3.383 * CHOOSE(CONTROL!$C$22, $C$13, 100%, $E$13)</f>
        <v>3.383</v>
      </c>
      <c r="F24" s="64">
        <f>4.017 * CHOOSE(CONTROL!$C$22, $C$13, 100%, $E$13)</f>
        <v>4.0170000000000003</v>
      </c>
      <c r="G24" s="64">
        <f>4.0172 * CHOOSE(CONTROL!$C$22, $C$13, 100%, $E$13)</f>
        <v>4.0171999999999999</v>
      </c>
      <c r="H24" s="64">
        <f>5.731* CHOOSE(CONTROL!$C$22, $C$13, 100%, $E$13)</f>
        <v>5.7309999999999999</v>
      </c>
      <c r="I24" s="64">
        <f>5.7312 * CHOOSE(CONTROL!$C$22, $C$13, 100%, $E$13)</f>
        <v>5.7312000000000003</v>
      </c>
      <c r="J24" s="64">
        <f>3.383 * CHOOSE(CONTROL!$C$22, $C$13, 100%, $E$13)</f>
        <v>3.383</v>
      </c>
      <c r="K24" s="64">
        <f>3.3832 * CHOOSE(CONTROL!$C$22, $C$13, 100%, $E$13)</f>
        <v>3.3832</v>
      </c>
      <c r="L24" s="4"/>
      <c r="M24" s="64"/>
      <c r="N24" s="64"/>
    </row>
    <row r="25" spans="1:14" ht="15">
      <c r="A25" s="13">
        <v>42401</v>
      </c>
      <c r="B25" s="63">
        <f>2.6017 * CHOOSE(CONTROL!$C$22, $C$13, 100%, $E$13)</f>
        <v>2.6017000000000001</v>
      </c>
      <c r="C25" s="63">
        <f>2.6017 * CHOOSE(CONTROL!$C$22, $C$13, 100%, $E$13)</f>
        <v>2.6017000000000001</v>
      </c>
      <c r="D25" s="63">
        <f>2.6146 * CHOOSE(CONTROL!$C$22, $C$13, 100%, $E$13)</f>
        <v>2.6145999999999998</v>
      </c>
      <c r="E25" s="64">
        <f>3.3427 * CHOOSE(CONTROL!$C$22, $C$13, 100%, $E$13)</f>
        <v>3.3426999999999998</v>
      </c>
      <c r="F25" s="64">
        <f>4.035 * CHOOSE(CONTROL!$C$22, $C$13, 100%, $E$13)</f>
        <v>4.0350000000000001</v>
      </c>
      <c r="G25" s="64">
        <f>4.0352 * CHOOSE(CONTROL!$C$22, $C$13, 100%, $E$13)</f>
        <v>4.0351999999999997</v>
      </c>
      <c r="H25" s="64">
        <f>5.743* CHOOSE(CONTROL!$C$22, $C$13, 100%, $E$13)</f>
        <v>5.7430000000000003</v>
      </c>
      <c r="I25" s="64">
        <f>5.7432 * CHOOSE(CONTROL!$C$22, $C$13, 100%, $E$13)</f>
        <v>5.7431999999999999</v>
      </c>
      <c r="J25" s="64">
        <f>3.3427 * CHOOSE(CONTROL!$C$22, $C$13, 100%, $E$13)</f>
        <v>3.3426999999999998</v>
      </c>
      <c r="K25" s="64">
        <f>3.3429 * CHOOSE(CONTROL!$C$22, $C$13, 100%, $E$13)</f>
        <v>3.3429000000000002</v>
      </c>
      <c r="L25" s="4"/>
      <c r="M25" s="64"/>
      <c r="N25" s="64"/>
    </row>
    <row r="26" spans="1:14" ht="15">
      <c r="A26" s="13">
        <v>42430</v>
      </c>
      <c r="B26" s="63">
        <f>2.5956 * CHOOSE(CONTROL!$C$22, $C$13, 100%, $E$13)</f>
        <v>2.5956000000000001</v>
      </c>
      <c r="C26" s="63">
        <f>2.5956 * CHOOSE(CONTROL!$C$22, $C$13, 100%, $E$13)</f>
        <v>2.5956000000000001</v>
      </c>
      <c r="D26" s="63">
        <f>2.6085 * CHOOSE(CONTROL!$C$22, $C$13, 100%, $E$13)</f>
        <v>2.6084999999999998</v>
      </c>
      <c r="E26" s="64">
        <f>3.5819 * CHOOSE(CONTROL!$C$22, $C$13, 100%, $E$13)</f>
        <v>3.5819000000000001</v>
      </c>
      <c r="F26" s="64">
        <f>4.01 * CHOOSE(CONTROL!$C$22, $C$13, 100%, $E$13)</f>
        <v>4.01</v>
      </c>
      <c r="G26" s="64">
        <f>4.0102 * CHOOSE(CONTROL!$C$22, $C$13, 100%, $E$13)</f>
        <v>4.0102000000000002</v>
      </c>
      <c r="H26" s="64">
        <f>5.7549* CHOOSE(CONTROL!$C$22, $C$13, 100%, $E$13)</f>
        <v>5.7549000000000001</v>
      </c>
      <c r="I26" s="64">
        <f>5.7551 * CHOOSE(CONTROL!$C$22, $C$13, 100%, $E$13)</f>
        <v>5.7550999999999997</v>
      </c>
      <c r="J26" s="64">
        <f>3.5819 * CHOOSE(CONTROL!$C$22, $C$13, 100%, $E$13)</f>
        <v>3.5819000000000001</v>
      </c>
      <c r="K26" s="64">
        <f>3.5821 * CHOOSE(CONTROL!$C$22, $C$13, 100%, $E$13)</f>
        <v>3.5821000000000001</v>
      </c>
      <c r="L26" s="4"/>
      <c r="M26" s="64"/>
      <c r="N26" s="64"/>
    </row>
    <row r="27" spans="1:14" ht="15">
      <c r="A27" s="13">
        <v>42461</v>
      </c>
      <c r="B27" s="63">
        <f>2.6042 * CHOOSE(CONTROL!$C$22, $C$13, 100%, $E$13)</f>
        <v>2.6042000000000001</v>
      </c>
      <c r="C27" s="63">
        <f>2.6042 * CHOOSE(CONTROL!$C$22, $C$13, 100%, $E$13)</f>
        <v>2.6042000000000001</v>
      </c>
      <c r="D27" s="63">
        <f>2.6171 * CHOOSE(CONTROL!$C$22, $C$13, 100%, $E$13)</f>
        <v>2.6171000000000002</v>
      </c>
      <c r="E27" s="64">
        <f>3.3427 * CHOOSE(CONTROL!$C$22, $C$13, 100%, $E$13)</f>
        <v>3.3426999999999998</v>
      </c>
      <c r="F27" s="64">
        <f>4.035 * CHOOSE(CONTROL!$C$22, $C$13, 100%, $E$13)</f>
        <v>4.0350000000000001</v>
      </c>
      <c r="G27" s="64">
        <f>4.0352 * CHOOSE(CONTROL!$C$22, $C$13, 100%, $E$13)</f>
        <v>4.0351999999999997</v>
      </c>
      <c r="H27" s="64">
        <f>5.7669* CHOOSE(CONTROL!$C$22, $C$13, 100%, $E$13)</f>
        <v>5.7668999999999997</v>
      </c>
      <c r="I27" s="64">
        <f>5.7671 * CHOOSE(CONTROL!$C$22, $C$13, 100%, $E$13)</f>
        <v>5.7671000000000001</v>
      </c>
      <c r="J27" s="64">
        <f>3.3427 * CHOOSE(CONTROL!$C$22, $C$13, 100%, $E$13)</f>
        <v>3.3426999999999998</v>
      </c>
      <c r="K27" s="64">
        <f>3.3429 * CHOOSE(CONTROL!$C$22, $C$13, 100%, $E$13)</f>
        <v>3.3429000000000002</v>
      </c>
      <c r="L27" s="4"/>
      <c r="M27" s="64"/>
      <c r="N27" s="64"/>
    </row>
    <row r="28" spans="1:14" ht="15">
      <c r="A28" s="13">
        <v>42491</v>
      </c>
      <c r="B28" s="63">
        <f>2.6103 * CHOOSE(CONTROL!$C$22, $C$13, 100%, $E$13)</f>
        <v>2.6103000000000001</v>
      </c>
      <c r="C28" s="63">
        <f>2.6103 * CHOOSE(CONTROL!$C$22, $C$13, 100%, $E$13)</f>
        <v>2.6103000000000001</v>
      </c>
      <c r="D28" s="63">
        <f>2.636 * CHOOSE(CONTROL!$C$22, $C$13, 100%, $E$13)</f>
        <v>2.6360000000000001</v>
      </c>
      <c r="E28" s="64">
        <f>3.3395 * CHOOSE(CONTROL!$C$22, $C$13, 100%, $E$13)</f>
        <v>3.3395000000000001</v>
      </c>
      <c r="F28" s="64">
        <f>4.005 * CHOOSE(CONTROL!$C$22, $C$13, 100%, $E$13)</f>
        <v>4.0049999999999999</v>
      </c>
      <c r="G28" s="64">
        <f>4.0066 * CHOOSE(CONTROL!$C$22, $C$13, 100%, $E$13)</f>
        <v>4.0065999999999997</v>
      </c>
      <c r="H28" s="64">
        <f>5.7789* CHOOSE(CONTROL!$C$22, $C$13, 100%, $E$13)</f>
        <v>5.7789000000000001</v>
      </c>
      <c r="I28" s="64">
        <f>5.7806 * CHOOSE(CONTROL!$C$22, $C$13, 100%, $E$13)</f>
        <v>5.7805999999999997</v>
      </c>
      <c r="J28" s="64">
        <f>3.3395 * CHOOSE(CONTROL!$C$22, $C$13, 100%, $E$13)</f>
        <v>3.3395000000000001</v>
      </c>
      <c r="K28" s="64">
        <f>3.3411 * CHOOSE(CONTROL!$C$22, $C$13, 100%, $E$13)</f>
        <v>3.3411</v>
      </c>
      <c r="L28" s="4"/>
      <c r="M28" s="64"/>
      <c r="N28" s="64"/>
    </row>
    <row r="29" spans="1:14" ht="15">
      <c r="A29" s="13">
        <v>42522</v>
      </c>
      <c r="B29" s="63">
        <f>2.6164 * CHOOSE(CONTROL!$C$22, $C$13, 100%, $E$13)</f>
        <v>2.6164000000000001</v>
      </c>
      <c r="C29" s="63">
        <f>2.6164 * CHOOSE(CONTROL!$C$22, $C$13, 100%, $E$13)</f>
        <v>2.6164000000000001</v>
      </c>
      <c r="D29" s="63">
        <f>2.6421 * CHOOSE(CONTROL!$C$22, $C$13, 100%, $E$13)</f>
        <v>2.6421000000000001</v>
      </c>
      <c r="E29" s="64">
        <f>3.1559 * CHOOSE(CONTROL!$C$22, $C$13, 100%, $E$13)</f>
        <v>3.1558999999999999</v>
      </c>
      <c r="F29" s="64">
        <f>4.017 * CHOOSE(CONTROL!$C$22, $C$13, 100%, $E$13)</f>
        <v>4.0170000000000003</v>
      </c>
      <c r="G29" s="64">
        <f>4.0186 * CHOOSE(CONTROL!$C$22, $C$13, 100%, $E$13)</f>
        <v>4.0186000000000002</v>
      </c>
      <c r="H29" s="64">
        <f>5.791* CHOOSE(CONTROL!$C$22, $C$13, 100%, $E$13)</f>
        <v>5.7910000000000004</v>
      </c>
      <c r="I29" s="64">
        <f>5.7926 * CHOOSE(CONTROL!$C$22, $C$13, 100%, $E$13)</f>
        <v>5.7926000000000002</v>
      </c>
      <c r="J29" s="64">
        <f>3.1559 * CHOOSE(CONTROL!$C$22, $C$13, 100%, $E$13)</f>
        <v>3.1558999999999999</v>
      </c>
      <c r="K29" s="64">
        <f>3.1576 * CHOOSE(CONTROL!$C$22, $C$13, 100%, $E$13)</f>
        <v>3.1576</v>
      </c>
      <c r="L29" s="4"/>
      <c r="M29" s="64"/>
      <c r="N29" s="64"/>
    </row>
    <row r="30" spans="1:14" ht="15">
      <c r="A30" s="13">
        <v>42552</v>
      </c>
      <c r="B30" s="63">
        <f>2.6506 * CHOOSE(CONTROL!$C$22, $C$13, 100%, $E$13)</f>
        <v>2.6505999999999998</v>
      </c>
      <c r="C30" s="63">
        <f>2.6506 * CHOOSE(CONTROL!$C$22, $C$13, 100%, $E$13)</f>
        <v>2.6505999999999998</v>
      </c>
      <c r="D30" s="63">
        <f>2.6763 * CHOOSE(CONTROL!$C$22, $C$13, 100%, $E$13)</f>
        <v>2.6762999999999999</v>
      </c>
      <c r="E30" s="64">
        <f>3.2732 * CHOOSE(CONTROL!$C$22, $C$13, 100%, $E$13)</f>
        <v>3.2732000000000001</v>
      </c>
      <c r="F30" s="64">
        <f>4.017 * CHOOSE(CONTROL!$C$22, $C$13, 100%, $E$13)</f>
        <v>4.0170000000000003</v>
      </c>
      <c r="G30" s="64">
        <f>4.0186 * CHOOSE(CONTROL!$C$22, $C$13, 100%, $E$13)</f>
        <v>4.0186000000000002</v>
      </c>
      <c r="H30" s="64">
        <f>5.8031* CHOOSE(CONTROL!$C$22, $C$13, 100%, $E$13)</f>
        <v>5.8030999999999997</v>
      </c>
      <c r="I30" s="64">
        <f>5.8047 * CHOOSE(CONTROL!$C$22, $C$13, 100%, $E$13)</f>
        <v>5.8047000000000004</v>
      </c>
      <c r="J30" s="64">
        <f>3.2732 * CHOOSE(CONTROL!$C$22, $C$13, 100%, $E$13)</f>
        <v>3.2732000000000001</v>
      </c>
      <c r="K30" s="64">
        <f>3.2748 * CHOOSE(CONTROL!$C$22, $C$13, 100%, $E$13)</f>
        <v>3.2747999999999999</v>
      </c>
      <c r="L30" s="4"/>
      <c r="M30" s="4"/>
      <c r="N30" s="4"/>
    </row>
    <row r="31" spans="1:14" ht="15">
      <c r="A31" s="13">
        <v>42583</v>
      </c>
      <c r="B31" s="63">
        <f>2.6658 * CHOOSE(CONTROL!$C$22, $C$13, 100%, $E$13)</f>
        <v>2.6657999999999999</v>
      </c>
      <c r="C31" s="63">
        <f>2.6658 * CHOOSE(CONTROL!$C$22, $C$13, 100%, $E$13)</f>
        <v>2.6657999999999999</v>
      </c>
      <c r="D31" s="63">
        <f>2.6915 * CHOOSE(CONTROL!$C$22, $C$13, 100%, $E$13)</f>
        <v>2.6915</v>
      </c>
      <c r="E31" s="64">
        <f>3.383 * CHOOSE(CONTROL!$C$22, $C$13, 100%, $E$13)</f>
        <v>3.383</v>
      </c>
      <c r="F31" s="64">
        <f>4.017 * CHOOSE(CONTROL!$C$22, $C$13, 100%, $E$13)</f>
        <v>4.0170000000000003</v>
      </c>
      <c r="G31" s="64">
        <f>4.0186 * CHOOSE(CONTROL!$C$22, $C$13, 100%, $E$13)</f>
        <v>4.0186000000000002</v>
      </c>
      <c r="H31" s="64">
        <f>5.8151* CHOOSE(CONTROL!$C$22, $C$13, 100%, $E$13)</f>
        <v>5.8151000000000002</v>
      </c>
      <c r="I31" s="64">
        <f>5.8168 * CHOOSE(CONTROL!$C$22, $C$13, 100%, $E$13)</f>
        <v>5.8167999999999997</v>
      </c>
      <c r="J31" s="64">
        <f>3.383 * CHOOSE(CONTROL!$C$22, $C$13, 100%, $E$13)</f>
        <v>3.383</v>
      </c>
      <c r="K31" s="64">
        <f>3.3847 * CHOOSE(CONTROL!$C$22, $C$13, 100%, $E$13)</f>
        <v>3.3847</v>
      </c>
      <c r="L31" s="4"/>
      <c r="M31" s="4"/>
      <c r="N31" s="4"/>
    </row>
    <row r="32" spans="1:14" ht="15">
      <c r="A32" s="13">
        <v>42614</v>
      </c>
      <c r="B32" s="63">
        <f>2.6597 * CHOOSE(CONTROL!$C$22, $C$13, 100%, $E$13)</f>
        <v>2.6597</v>
      </c>
      <c r="C32" s="63">
        <f>2.6597 * CHOOSE(CONTROL!$C$22, $C$13, 100%, $E$13)</f>
        <v>2.6597</v>
      </c>
      <c r="D32" s="63">
        <f>2.6854 * CHOOSE(CONTROL!$C$22, $C$13, 100%, $E$13)</f>
        <v>2.6854</v>
      </c>
      <c r="E32" s="64">
        <f>3.2732 * CHOOSE(CONTROL!$C$22, $C$13, 100%, $E$13)</f>
        <v>3.2732000000000001</v>
      </c>
      <c r="F32" s="64">
        <f>4.017 * CHOOSE(CONTROL!$C$22, $C$13, 100%, $E$13)</f>
        <v>4.0170000000000003</v>
      </c>
      <c r="G32" s="64">
        <f>4.0186 * CHOOSE(CONTROL!$C$22, $C$13, 100%, $E$13)</f>
        <v>4.0186000000000002</v>
      </c>
      <c r="H32" s="64">
        <f>5.8273* CHOOSE(CONTROL!$C$22, $C$13, 100%, $E$13)</f>
        <v>5.8273000000000001</v>
      </c>
      <c r="I32" s="64">
        <f>5.8289 * CHOOSE(CONTROL!$C$22, $C$13, 100%, $E$13)</f>
        <v>5.8289</v>
      </c>
      <c r="J32" s="64">
        <f>3.2732 * CHOOSE(CONTROL!$C$22, $C$13, 100%, $E$13)</f>
        <v>3.2732000000000001</v>
      </c>
      <c r="K32" s="64">
        <f>3.2748 * CHOOSE(CONTROL!$C$22, $C$13, 100%, $E$13)</f>
        <v>3.2747999999999999</v>
      </c>
      <c r="L32" s="4"/>
      <c r="M32" s="4"/>
      <c r="N32" s="4"/>
    </row>
    <row r="33" spans="1:14" ht="15">
      <c r="A33" s="13">
        <v>42644</v>
      </c>
      <c r="B33" s="63">
        <f>2.6898 * CHOOSE(CONTROL!$C$22, $C$13, 100%, $E$13)</f>
        <v>2.6898</v>
      </c>
      <c r="C33" s="63">
        <f>2.6898 * CHOOSE(CONTROL!$C$22, $C$13, 100%, $E$13)</f>
        <v>2.6898</v>
      </c>
      <c r="D33" s="63">
        <f>2.7027 * CHOOSE(CONTROL!$C$22, $C$13, 100%, $E$13)</f>
        <v>2.7027000000000001</v>
      </c>
      <c r="E33" s="64">
        <f>3.3427 * CHOOSE(CONTROL!$C$22, $C$13, 100%, $E$13)</f>
        <v>3.3426999999999998</v>
      </c>
      <c r="F33" s="64">
        <f>4.035 * CHOOSE(CONTROL!$C$22, $C$13, 100%, $E$13)</f>
        <v>4.0350000000000001</v>
      </c>
      <c r="G33" s="64">
        <f>4.0352 * CHOOSE(CONTROL!$C$22, $C$13, 100%, $E$13)</f>
        <v>4.0351999999999997</v>
      </c>
      <c r="H33" s="64">
        <f>5.8394* CHOOSE(CONTROL!$C$22, $C$13, 100%, $E$13)</f>
        <v>5.8394000000000004</v>
      </c>
      <c r="I33" s="64">
        <f>5.8396 * CHOOSE(CONTROL!$C$22, $C$13, 100%, $E$13)</f>
        <v>5.8395999999999999</v>
      </c>
      <c r="J33" s="64">
        <f>3.3427 * CHOOSE(CONTROL!$C$22, $C$13, 100%, $E$13)</f>
        <v>3.3426999999999998</v>
      </c>
      <c r="K33" s="64">
        <f>3.3429 * CHOOSE(CONTROL!$C$22, $C$13, 100%, $E$13)</f>
        <v>3.3429000000000002</v>
      </c>
      <c r="L33" s="4"/>
      <c r="M33" s="4"/>
      <c r="N33" s="4"/>
    </row>
    <row r="34" spans="1:14" ht="15">
      <c r="A34" s="13">
        <v>42675</v>
      </c>
      <c r="B34" s="63">
        <f>2.6928 * CHOOSE(CONTROL!$C$22, $C$13, 100%, $E$13)</f>
        <v>2.6928000000000001</v>
      </c>
      <c r="C34" s="63">
        <f>2.6928 * CHOOSE(CONTROL!$C$22, $C$13, 100%, $E$13)</f>
        <v>2.6928000000000001</v>
      </c>
      <c r="D34" s="63">
        <f>2.7057 * CHOOSE(CONTROL!$C$22, $C$13, 100%, $E$13)</f>
        <v>2.7057000000000002</v>
      </c>
      <c r="E34" s="64">
        <f>3.3427 * CHOOSE(CONTROL!$C$22, $C$13, 100%, $E$13)</f>
        <v>3.3426999999999998</v>
      </c>
      <c r="F34" s="64">
        <f>4.035 * CHOOSE(CONTROL!$C$22, $C$13, 100%, $E$13)</f>
        <v>4.0350000000000001</v>
      </c>
      <c r="G34" s="64">
        <f>4.0352 * CHOOSE(CONTROL!$C$22, $C$13, 100%, $E$13)</f>
        <v>4.0351999999999997</v>
      </c>
      <c r="H34" s="64">
        <f>5.8516* CHOOSE(CONTROL!$C$22, $C$13, 100%, $E$13)</f>
        <v>5.8516000000000004</v>
      </c>
      <c r="I34" s="64">
        <f>5.8517 * CHOOSE(CONTROL!$C$22, $C$13, 100%, $E$13)</f>
        <v>5.8517000000000001</v>
      </c>
      <c r="J34" s="64">
        <f>3.3427 * CHOOSE(CONTROL!$C$22, $C$13, 100%, $E$13)</f>
        <v>3.3426999999999998</v>
      </c>
      <c r="K34" s="64">
        <f>3.3429 * CHOOSE(CONTROL!$C$22, $C$13, 100%, $E$13)</f>
        <v>3.3429000000000002</v>
      </c>
      <c r="L34" s="4"/>
      <c r="M34" s="4"/>
      <c r="N34" s="4"/>
    </row>
    <row r="35" spans="1:14" ht="15">
      <c r="A35" s="13">
        <v>42705</v>
      </c>
      <c r="B35" s="63">
        <f>2.6959 * CHOOSE(CONTROL!$C$22, $C$13, 100%, $E$13)</f>
        <v>2.6959</v>
      </c>
      <c r="C35" s="63">
        <f>2.6959 * CHOOSE(CONTROL!$C$22, $C$13, 100%, $E$13)</f>
        <v>2.6959</v>
      </c>
      <c r="D35" s="63">
        <f>2.7087 * CHOOSE(CONTROL!$C$22, $C$13, 100%, $E$13)</f>
        <v>2.7086999999999999</v>
      </c>
      <c r="E35" s="64">
        <f>3.5831 * CHOOSE(CONTROL!$C$22, $C$13, 100%, $E$13)</f>
        <v>3.5831</v>
      </c>
      <c r="F35" s="64">
        <f>4.017 * CHOOSE(CONTROL!$C$22, $C$13, 100%, $E$13)</f>
        <v>4.0170000000000003</v>
      </c>
      <c r="G35" s="64">
        <f>4.0172 * CHOOSE(CONTROL!$C$22, $C$13, 100%, $E$13)</f>
        <v>4.0171999999999999</v>
      </c>
      <c r="H35" s="64">
        <f>5.8638* CHOOSE(CONTROL!$C$22, $C$13, 100%, $E$13)</f>
        <v>5.8638000000000003</v>
      </c>
      <c r="I35" s="64">
        <f>5.8639 * CHOOSE(CONTROL!$C$22, $C$13, 100%, $E$13)</f>
        <v>5.8639000000000001</v>
      </c>
      <c r="J35" s="64">
        <f>3.5831 * CHOOSE(CONTROL!$C$22, $C$13, 100%, $E$13)</f>
        <v>3.5831</v>
      </c>
      <c r="K35" s="64">
        <f>3.5833 * CHOOSE(CONTROL!$C$22, $C$13, 100%, $E$13)</f>
        <v>3.5832999999999999</v>
      </c>
      <c r="L35" s="4"/>
      <c r="M35" s="4"/>
      <c r="N35" s="4"/>
    </row>
    <row r="36" spans="1:14" ht="15">
      <c r="A36" s="13">
        <v>42736</v>
      </c>
      <c r="B36" s="63">
        <f>2.7015 * CHOOSE(CONTROL!$C$22, $C$13, 100%, $E$13)</f>
        <v>2.7014999999999998</v>
      </c>
      <c r="C36" s="63">
        <f>2.7015 * CHOOSE(CONTROL!$C$22, $C$13, 100%, $E$13)</f>
        <v>2.7014999999999998</v>
      </c>
      <c r="D36" s="63">
        <f>2.7144 * CHOOSE(CONTROL!$C$22, $C$13, 100%, $E$13)</f>
        <v>2.7143999999999999</v>
      </c>
      <c r="E36" s="64">
        <f>3.4856 * CHOOSE(CONTROL!$C$22, $C$13, 100%, $E$13)</f>
        <v>3.4855999999999998</v>
      </c>
      <c r="F36" s="64">
        <f>3.4856 * CHOOSE(CONTROL!$C$22, $C$13, 100%, $E$13)</f>
        <v>3.4855999999999998</v>
      </c>
      <c r="G36" s="64">
        <f>3.4858 * CHOOSE(CONTROL!$C$22, $C$13, 100%, $E$13)</f>
        <v>3.4857999999999998</v>
      </c>
      <c r="H36" s="64">
        <f>5.876* CHOOSE(CONTROL!$C$22, $C$13, 100%, $E$13)</f>
        <v>5.8760000000000003</v>
      </c>
      <c r="I36" s="64">
        <f>5.8761 * CHOOSE(CONTROL!$C$22, $C$13, 100%, $E$13)</f>
        <v>5.8761000000000001</v>
      </c>
      <c r="J36" s="64">
        <f>3.4856 * CHOOSE(CONTROL!$C$22, $C$13, 100%, $E$13)</f>
        <v>3.4855999999999998</v>
      </c>
      <c r="K36" s="64">
        <f>3.4858 * CHOOSE(CONTROL!$C$22, $C$13, 100%, $E$13)</f>
        <v>3.4857999999999998</v>
      </c>
      <c r="L36" s="4"/>
      <c r="M36" s="4"/>
      <c r="N36" s="4"/>
    </row>
    <row r="37" spans="1:14" ht="15">
      <c r="A37" s="13">
        <v>42767</v>
      </c>
      <c r="B37" s="63">
        <f>2.6954 * CHOOSE(CONTROL!$C$22, $C$13, 100%, $E$13)</f>
        <v>2.6953999999999998</v>
      </c>
      <c r="C37" s="63">
        <f>2.6954 * CHOOSE(CONTROL!$C$22, $C$13, 100%, $E$13)</f>
        <v>2.6953999999999998</v>
      </c>
      <c r="D37" s="63">
        <f>2.7083 * CHOOSE(CONTROL!$C$22, $C$13, 100%, $E$13)</f>
        <v>2.7082999999999999</v>
      </c>
      <c r="E37" s="64">
        <f>3.3873 * CHOOSE(CONTROL!$C$22, $C$13, 100%, $E$13)</f>
        <v>3.3873000000000002</v>
      </c>
      <c r="F37" s="64">
        <f>3.3873 * CHOOSE(CONTROL!$C$22, $C$13, 100%, $E$13)</f>
        <v>3.3873000000000002</v>
      </c>
      <c r="G37" s="64">
        <f>3.3875 * CHOOSE(CONTROL!$C$22, $C$13, 100%, $E$13)</f>
        <v>3.3875000000000002</v>
      </c>
      <c r="H37" s="64">
        <f>5.8882* CHOOSE(CONTROL!$C$22, $C$13, 100%, $E$13)</f>
        <v>5.8882000000000003</v>
      </c>
      <c r="I37" s="64">
        <f>5.8884 * CHOOSE(CONTROL!$C$22, $C$13, 100%, $E$13)</f>
        <v>5.8883999999999999</v>
      </c>
      <c r="J37" s="64">
        <f>3.3873 * CHOOSE(CONTROL!$C$22, $C$13, 100%, $E$13)</f>
        <v>3.3873000000000002</v>
      </c>
      <c r="K37" s="64">
        <f>3.3875 * CHOOSE(CONTROL!$C$22, $C$13, 100%, $E$13)</f>
        <v>3.3875000000000002</v>
      </c>
      <c r="L37" s="4"/>
      <c r="M37" s="4"/>
      <c r="N37" s="4"/>
    </row>
    <row r="38" spans="1:14" ht="15">
      <c r="A38" s="13">
        <v>42795</v>
      </c>
      <c r="B38" s="63">
        <f>2.6924 * CHOOSE(CONTROL!$C$22, $C$13, 100%, $E$13)</f>
        <v>2.6924000000000001</v>
      </c>
      <c r="C38" s="63">
        <f>2.6924 * CHOOSE(CONTROL!$C$22, $C$13, 100%, $E$13)</f>
        <v>2.6924000000000001</v>
      </c>
      <c r="D38" s="63">
        <f>2.7052 * CHOOSE(CONTROL!$C$22, $C$13, 100%, $E$13)</f>
        <v>2.7052</v>
      </c>
      <c r="E38" s="64">
        <f>3.4487 * CHOOSE(CONTROL!$C$22, $C$13, 100%, $E$13)</f>
        <v>3.4487000000000001</v>
      </c>
      <c r="F38" s="64">
        <f>3.4487 * CHOOSE(CONTROL!$C$22, $C$13, 100%, $E$13)</f>
        <v>3.4487000000000001</v>
      </c>
      <c r="G38" s="64">
        <f>3.4489 * CHOOSE(CONTROL!$C$22, $C$13, 100%, $E$13)</f>
        <v>3.4489000000000001</v>
      </c>
      <c r="H38" s="64">
        <f>5.9005* CHOOSE(CONTROL!$C$22, $C$13, 100%, $E$13)</f>
        <v>5.9005000000000001</v>
      </c>
      <c r="I38" s="64">
        <f>5.9007 * CHOOSE(CONTROL!$C$22, $C$13, 100%, $E$13)</f>
        <v>5.9006999999999996</v>
      </c>
      <c r="J38" s="64">
        <f>3.4487 * CHOOSE(CONTROL!$C$22, $C$13, 100%, $E$13)</f>
        <v>3.4487000000000001</v>
      </c>
      <c r="K38" s="64">
        <f>3.4489 * CHOOSE(CONTROL!$C$22, $C$13, 100%, $E$13)</f>
        <v>3.4489000000000001</v>
      </c>
      <c r="L38" s="4"/>
      <c r="M38" s="4"/>
      <c r="N38" s="4"/>
    </row>
    <row r="39" spans="1:14" ht="15">
      <c r="A39" s="13">
        <v>42826</v>
      </c>
      <c r="B39" s="63">
        <f>2.7147 * CHOOSE(CONTROL!$C$22, $C$13, 100%, $E$13)</f>
        <v>2.7147000000000001</v>
      </c>
      <c r="C39" s="63">
        <f>2.7147 * CHOOSE(CONTROL!$C$22, $C$13, 100%, $E$13)</f>
        <v>2.7147000000000001</v>
      </c>
      <c r="D39" s="63">
        <f>2.7276 * CHOOSE(CONTROL!$C$22, $C$13, 100%, $E$13)</f>
        <v>2.7275999999999998</v>
      </c>
      <c r="E39" s="64">
        <f>3.3873 * CHOOSE(CONTROL!$C$22, $C$13, 100%, $E$13)</f>
        <v>3.3873000000000002</v>
      </c>
      <c r="F39" s="64">
        <f>3.3873 * CHOOSE(CONTROL!$C$22, $C$13, 100%, $E$13)</f>
        <v>3.3873000000000002</v>
      </c>
      <c r="G39" s="64">
        <f>3.3875 * CHOOSE(CONTROL!$C$22, $C$13, 100%, $E$13)</f>
        <v>3.3875000000000002</v>
      </c>
      <c r="H39" s="64">
        <f>5.9128* CHOOSE(CONTROL!$C$22, $C$13, 100%, $E$13)</f>
        <v>5.9127999999999998</v>
      </c>
      <c r="I39" s="64">
        <f>5.9129 * CHOOSE(CONTROL!$C$22, $C$13, 100%, $E$13)</f>
        <v>5.9128999999999996</v>
      </c>
      <c r="J39" s="64">
        <f>3.3873 * CHOOSE(CONTROL!$C$22, $C$13, 100%, $E$13)</f>
        <v>3.3873000000000002</v>
      </c>
      <c r="K39" s="64">
        <f>3.3875 * CHOOSE(CONTROL!$C$22, $C$13, 100%, $E$13)</f>
        <v>3.3875000000000002</v>
      </c>
      <c r="L39" s="4"/>
      <c r="M39" s="4"/>
      <c r="N39" s="4"/>
    </row>
    <row r="40" spans="1:14" ht="15">
      <c r="A40" s="13">
        <v>42856</v>
      </c>
      <c r="B40" s="63">
        <f>2.7117 * CHOOSE(CONTROL!$C$22, $C$13, 100%, $E$13)</f>
        <v>2.7117</v>
      </c>
      <c r="C40" s="63">
        <f>2.7117 * CHOOSE(CONTROL!$C$22, $C$13, 100%, $E$13)</f>
        <v>2.7117</v>
      </c>
      <c r="D40" s="63">
        <f>2.7374 * CHOOSE(CONTROL!$C$22, $C$13, 100%, $E$13)</f>
        <v>2.7374000000000001</v>
      </c>
      <c r="E40" s="64">
        <f>3.3873 * CHOOSE(CONTROL!$C$22, $C$13, 100%, $E$13)</f>
        <v>3.3873000000000002</v>
      </c>
      <c r="F40" s="64">
        <f>3.3873 * CHOOSE(CONTROL!$C$22, $C$13, 100%, $E$13)</f>
        <v>3.3873000000000002</v>
      </c>
      <c r="G40" s="64">
        <f>3.389 * CHOOSE(CONTROL!$C$22, $C$13, 100%, $E$13)</f>
        <v>3.3889999999999998</v>
      </c>
      <c r="H40" s="64">
        <f>5.9251* CHOOSE(CONTROL!$C$22, $C$13, 100%, $E$13)</f>
        <v>5.9250999999999996</v>
      </c>
      <c r="I40" s="64">
        <f>5.9267 * CHOOSE(CONTROL!$C$22, $C$13, 100%, $E$13)</f>
        <v>5.9267000000000003</v>
      </c>
      <c r="J40" s="64">
        <f>3.3873 * CHOOSE(CONTROL!$C$22, $C$13, 100%, $E$13)</f>
        <v>3.3873000000000002</v>
      </c>
      <c r="K40" s="64">
        <f>3.389 * CHOOSE(CONTROL!$C$22, $C$13, 100%, $E$13)</f>
        <v>3.3889999999999998</v>
      </c>
      <c r="L40" s="4"/>
      <c r="M40" s="4"/>
      <c r="N40" s="4"/>
    </row>
    <row r="41" spans="1:14" ht="15">
      <c r="A41" s="13">
        <v>42887</v>
      </c>
      <c r="B41" s="63">
        <f>2.7177 * CHOOSE(CONTROL!$C$22, $C$13, 100%, $E$13)</f>
        <v>2.7176999999999998</v>
      </c>
      <c r="C41" s="63">
        <f>2.7177 * CHOOSE(CONTROL!$C$22, $C$13, 100%, $E$13)</f>
        <v>2.7176999999999998</v>
      </c>
      <c r="D41" s="63">
        <f>2.7435 * CHOOSE(CONTROL!$C$22, $C$13, 100%, $E$13)</f>
        <v>2.7435</v>
      </c>
      <c r="E41" s="64">
        <f>3.2645 * CHOOSE(CONTROL!$C$22, $C$13, 100%, $E$13)</f>
        <v>3.2645</v>
      </c>
      <c r="F41" s="64">
        <f>3.2645 * CHOOSE(CONTROL!$C$22, $C$13, 100%, $E$13)</f>
        <v>3.2645</v>
      </c>
      <c r="G41" s="64">
        <f>3.2661 * CHOOSE(CONTROL!$C$22, $C$13, 100%, $E$13)</f>
        <v>3.2660999999999998</v>
      </c>
      <c r="H41" s="64">
        <f>5.9374* CHOOSE(CONTROL!$C$22, $C$13, 100%, $E$13)</f>
        <v>5.9374000000000002</v>
      </c>
      <c r="I41" s="64">
        <f>5.9391 * CHOOSE(CONTROL!$C$22, $C$13, 100%, $E$13)</f>
        <v>5.9390999999999998</v>
      </c>
      <c r="J41" s="64">
        <f>3.2645 * CHOOSE(CONTROL!$C$22, $C$13, 100%, $E$13)</f>
        <v>3.2645</v>
      </c>
      <c r="K41" s="64">
        <f>3.2661 * CHOOSE(CONTROL!$C$22, $C$13, 100%, $E$13)</f>
        <v>3.2660999999999998</v>
      </c>
      <c r="L41" s="4"/>
      <c r="M41" s="4"/>
      <c r="N41" s="4"/>
    </row>
    <row r="42" spans="1:14" ht="15">
      <c r="A42" s="13">
        <v>42917</v>
      </c>
      <c r="B42" s="63">
        <f>2.7414 * CHOOSE(CONTROL!$C$22, $C$13, 100%, $E$13)</f>
        <v>2.7414000000000001</v>
      </c>
      <c r="C42" s="63">
        <f>2.7414 * CHOOSE(CONTROL!$C$22, $C$13, 100%, $E$13)</f>
        <v>2.7414000000000001</v>
      </c>
      <c r="D42" s="63">
        <f>2.7672 * CHOOSE(CONTROL!$C$22, $C$13, 100%, $E$13)</f>
        <v>2.7671999999999999</v>
      </c>
      <c r="E42" s="64">
        <f>3.633 * CHOOSE(CONTROL!$C$22, $C$13, 100%, $E$13)</f>
        <v>3.633</v>
      </c>
      <c r="F42" s="64">
        <f>3.633 * CHOOSE(CONTROL!$C$22, $C$13, 100%, $E$13)</f>
        <v>3.633</v>
      </c>
      <c r="G42" s="64">
        <f>3.6346 * CHOOSE(CONTROL!$C$22, $C$13, 100%, $E$13)</f>
        <v>3.6345999999999998</v>
      </c>
      <c r="H42" s="64">
        <f>5.9498* CHOOSE(CONTROL!$C$22, $C$13, 100%, $E$13)</f>
        <v>5.9497999999999998</v>
      </c>
      <c r="I42" s="64">
        <f>5.9514 * CHOOSE(CONTROL!$C$22, $C$13, 100%, $E$13)</f>
        <v>5.9513999999999996</v>
      </c>
      <c r="J42" s="64">
        <f>3.633 * CHOOSE(CONTROL!$C$22, $C$13, 100%, $E$13)</f>
        <v>3.633</v>
      </c>
      <c r="K42" s="64">
        <f>3.6346 * CHOOSE(CONTROL!$C$22, $C$13, 100%, $E$13)</f>
        <v>3.6345999999999998</v>
      </c>
      <c r="L42" s="4"/>
      <c r="M42" s="4"/>
      <c r="N42" s="4"/>
    </row>
    <row r="43" spans="1:14" ht="15">
      <c r="A43" s="13">
        <v>42948</v>
      </c>
      <c r="B43" s="63">
        <f>2.7566 * CHOOSE(CONTROL!$C$22, $C$13, 100%, $E$13)</f>
        <v>2.7566000000000002</v>
      </c>
      <c r="C43" s="63">
        <f>2.7566 * CHOOSE(CONTROL!$C$22, $C$13, 100%, $E$13)</f>
        <v>2.7566000000000002</v>
      </c>
      <c r="D43" s="63">
        <f>2.7824 * CHOOSE(CONTROL!$C$22, $C$13, 100%, $E$13)</f>
        <v>2.7824</v>
      </c>
      <c r="E43" s="64">
        <f>3.633 * CHOOSE(CONTROL!$C$22, $C$13, 100%, $E$13)</f>
        <v>3.633</v>
      </c>
      <c r="F43" s="64">
        <f>3.633 * CHOOSE(CONTROL!$C$22, $C$13, 100%, $E$13)</f>
        <v>3.633</v>
      </c>
      <c r="G43" s="64">
        <f>3.6346 * CHOOSE(CONTROL!$C$22, $C$13, 100%, $E$13)</f>
        <v>3.6345999999999998</v>
      </c>
      <c r="H43" s="64">
        <f>5.9622* CHOOSE(CONTROL!$C$22, $C$13, 100%, $E$13)</f>
        <v>5.9622000000000002</v>
      </c>
      <c r="I43" s="64">
        <f>5.9638 * CHOOSE(CONTROL!$C$22, $C$13, 100%, $E$13)</f>
        <v>5.9638</v>
      </c>
      <c r="J43" s="64">
        <f>3.633 * CHOOSE(CONTROL!$C$22, $C$13, 100%, $E$13)</f>
        <v>3.633</v>
      </c>
      <c r="K43" s="64">
        <f>3.6346 * CHOOSE(CONTROL!$C$22, $C$13, 100%, $E$13)</f>
        <v>3.6345999999999998</v>
      </c>
      <c r="L43" s="4"/>
      <c r="M43" s="4"/>
      <c r="N43" s="4"/>
    </row>
    <row r="44" spans="1:14" ht="15">
      <c r="A44" s="13">
        <v>42979</v>
      </c>
      <c r="B44" s="63">
        <f>2.7506 * CHOOSE(CONTROL!$C$22, $C$13, 100%, $E$13)</f>
        <v>2.7505999999999999</v>
      </c>
      <c r="C44" s="63">
        <f>2.7506 * CHOOSE(CONTROL!$C$22, $C$13, 100%, $E$13)</f>
        <v>2.7505999999999999</v>
      </c>
      <c r="D44" s="63">
        <f>2.7763 * CHOOSE(CONTROL!$C$22, $C$13, 100%, $E$13)</f>
        <v>2.7763</v>
      </c>
      <c r="E44" s="64">
        <f>3.633 * CHOOSE(CONTROL!$C$22, $C$13, 100%, $E$13)</f>
        <v>3.633</v>
      </c>
      <c r="F44" s="64">
        <f>3.633 * CHOOSE(CONTROL!$C$22, $C$13, 100%, $E$13)</f>
        <v>3.633</v>
      </c>
      <c r="G44" s="64">
        <f>3.6346 * CHOOSE(CONTROL!$C$22, $C$13, 100%, $E$13)</f>
        <v>3.6345999999999998</v>
      </c>
      <c r="H44" s="64">
        <f>5.9746* CHOOSE(CONTROL!$C$22, $C$13, 100%, $E$13)</f>
        <v>5.9745999999999997</v>
      </c>
      <c r="I44" s="64">
        <f>5.9763 * CHOOSE(CONTROL!$C$22, $C$13, 100%, $E$13)</f>
        <v>5.9763000000000002</v>
      </c>
      <c r="J44" s="64">
        <f>3.633 * CHOOSE(CONTROL!$C$22, $C$13, 100%, $E$13)</f>
        <v>3.633</v>
      </c>
      <c r="K44" s="64">
        <f>3.6346 * CHOOSE(CONTROL!$C$22, $C$13, 100%, $E$13)</f>
        <v>3.6345999999999998</v>
      </c>
      <c r="L44" s="4"/>
      <c r="M44" s="4"/>
      <c r="N44" s="4"/>
    </row>
    <row r="45" spans="1:14" ht="15">
      <c r="A45" s="13">
        <v>43009</v>
      </c>
      <c r="B45" s="63">
        <f>2.7682 * CHOOSE(CONTROL!$C$22, $C$13, 100%, $E$13)</f>
        <v>2.7682000000000002</v>
      </c>
      <c r="C45" s="63">
        <f>2.7682 * CHOOSE(CONTROL!$C$22, $C$13, 100%, $E$13)</f>
        <v>2.7682000000000002</v>
      </c>
      <c r="D45" s="63">
        <f>2.7811 * CHOOSE(CONTROL!$C$22, $C$13, 100%, $E$13)</f>
        <v>2.7810999999999999</v>
      </c>
      <c r="E45" s="64">
        <f>3.633 * CHOOSE(CONTROL!$C$22, $C$13, 100%, $E$13)</f>
        <v>3.633</v>
      </c>
      <c r="F45" s="64">
        <f>3.633 * CHOOSE(CONTROL!$C$22, $C$13, 100%, $E$13)</f>
        <v>3.633</v>
      </c>
      <c r="G45" s="64">
        <f>3.6332 * CHOOSE(CONTROL!$C$22, $C$13, 100%, $E$13)</f>
        <v>3.6332</v>
      </c>
      <c r="H45" s="64">
        <f>5.9871* CHOOSE(CONTROL!$C$22, $C$13, 100%, $E$13)</f>
        <v>5.9870999999999999</v>
      </c>
      <c r="I45" s="64">
        <f>5.9872 * CHOOSE(CONTROL!$C$22, $C$13, 100%, $E$13)</f>
        <v>5.9871999999999996</v>
      </c>
      <c r="J45" s="64">
        <f>3.633 * CHOOSE(CONTROL!$C$22, $C$13, 100%, $E$13)</f>
        <v>3.633</v>
      </c>
      <c r="K45" s="64">
        <f>3.6332 * CHOOSE(CONTROL!$C$22, $C$13, 100%, $E$13)</f>
        <v>3.6332</v>
      </c>
      <c r="L45" s="4"/>
      <c r="M45" s="4"/>
      <c r="N45" s="4"/>
    </row>
    <row r="46" spans="1:14" ht="15">
      <c r="A46" s="13">
        <v>43040</v>
      </c>
      <c r="B46" s="63">
        <f>2.7713 * CHOOSE(CONTROL!$C$22, $C$13, 100%, $E$13)</f>
        <v>2.7713000000000001</v>
      </c>
      <c r="C46" s="63">
        <f>2.7713 * CHOOSE(CONTROL!$C$22, $C$13, 100%, $E$13)</f>
        <v>2.7713000000000001</v>
      </c>
      <c r="D46" s="63">
        <f>2.7841 * CHOOSE(CONTROL!$C$22, $C$13, 100%, $E$13)</f>
        <v>2.7841</v>
      </c>
      <c r="E46" s="64">
        <f>3.633 * CHOOSE(CONTROL!$C$22, $C$13, 100%, $E$13)</f>
        <v>3.633</v>
      </c>
      <c r="F46" s="64">
        <f>3.633 * CHOOSE(CONTROL!$C$22, $C$13, 100%, $E$13)</f>
        <v>3.633</v>
      </c>
      <c r="G46" s="64">
        <f>3.6332 * CHOOSE(CONTROL!$C$22, $C$13, 100%, $E$13)</f>
        <v>3.6332</v>
      </c>
      <c r="H46" s="64">
        <f>5.9995* CHOOSE(CONTROL!$C$22, $C$13, 100%, $E$13)</f>
        <v>5.9995000000000003</v>
      </c>
      <c r="I46" s="64">
        <f>5.9997 * CHOOSE(CONTROL!$C$22, $C$13, 100%, $E$13)</f>
        <v>5.9996999999999998</v>
      </c>
      <c r="J46" s="64">
        <f>3.633 * CHOOSE(CONTROL!$C$22, $C$13, 100%, $E$13)</f>
        <v>3.633</v>
      </c>
      <c r="K46" s="64">
        <f>3.6332 * CHOOSE(CONTROL!$C$22, $C$13, 100%, $E$13)</f>
        <v>3.6332</v>
      </c>
      <c r="L46" s="4"/>
      <c r="M46" s="4"/>
      <c r="N46" s="4"/>
    </row>
    <row r="47" spans="1:14" ht="15">
      <c r="A47" s="13">
        <v>43070</v>
      </c>
      <c r="B47" s="63">
        <f>2.7743 * CHOOSE(CONTROL!$C$22, $C$13, 100%, $E$13)</f>
        <v>2.7743000000000002</v>
      </c>
      <c r="C47" s="63">
        <f>2.7743 * CHOOSE(CONTROL!$C$22, $C$13, 100%, $E$13)</f>
        <v>2.7743000000000002</v>
      </c>
      <c r="D47" s="63">
        <f>2.7872 * CHOOSE(CONTROL!$C$22, $C$13, 100%, $E$13)</f>
        <v>2.7871999999999999</v>
      </c>
      <c r="E47" s="64">
        <f>3.633 * CHOOSE(CONTROL!$C$22, $C$13, 100%, $E$13)</f>
        <v>3.633</v>
      </c>
      <c r="F47" s="64">
        <f>3.633 * CHOOSE(CONTROL!$C$22, $C$13, 100%, $E$13)</f>
        <v>3.633</v>
      </c>
      <c r="G47" s="64">
        <f>3.6332 * CHOOSE(CONTROL!$C$22, $C$13, 100%, $E$13)</f>
        <v>3.6332</v>
      </c>
      <c r="H47" s="64">
        <f>6.012* CHOOSE(CONTROL!$C$22, $C$13, 100%, $E$13)</f>
        <v>6.0119999999999996</v>
      </c>
      <c r="I47" s="64">
        <f>6.0122 * CHOOSE(CONTROL!$C$22, $C$13, 100%, $E$13)</f>
        <v>6.0122</v>
      </c>
      <c r="J47" s="64">
        <f>3.633 * CHOOSE(CONTROL!$C$22, $C$13, 100%, $E$13)</f>
        <v>3.633</v>
      </c>
      <c r="K47" s="64">
        <f>3.6332 * CHOOSE(CONTROL!$C$22, $C$13, 100%, $E$13)</f>
        <v>3.6332</v>
      </c>
      <c r="L47" s="4"/>
      <c r="M47" s="4"/>
      <c r="N47" s="4"/>
    </row>
    <row r="48" spans="1:14" ht="15">
      <c r="A48" s="13">
        <v>43101</v>
      </c>
      <c r="B48" s="63">
        <f>2.8174 * CHOOSE(CONTROL!$C$22, $C$13, 100%, $E$13)</f>
        <v>2.8174000000000001</v>
      </c>
      <c r="C48" s="63">
        <f>2.8174 * CHOOSE(CONTROL!$C$22, $C$13, 100%, $E$13)</f>
        <v>2.8174000000000001</v>
      </c>
      <c r="D48" s="63">
        <f>2.8303 * CHOOSE(CONTROL!$C$22, $C$13, 100%, $E$13)</f>
        <v>2.8302999999999998</v>
      </c>
      <c r="E48" s="64">
        <f>3.2609 * CHOOSE(CONTROL!$C$22, $C$13, 100%, $E$13)</f>
        <v>3.2608999999999999</v>
      </c>
      <c r="F48" s="64">
        <f>3.2609 * CHOOSE(CONTROL!$C$22, $C$13, 100%, $E$13)</f>
        <v>3.2608999999999999</v>
      </c>
      <c r="G48" s="64">
        <f>3.261 * CHOOSE(CONTROL!$C$22, $C$13, 100%, $E$13)</f>
        <v>3.2610000000000001</v>
      </c>
      <c r="H48" s="64">
        <f>6.0246* CHOOSE(CONTROL!$C$22, $C$13, 100%, $E$13)</f>
        <v>6.0246000000000004</v>
      </c>
      <c r="I48" s="64">
        <f>6.0247 * CHOOSE(CONTROL!$C$22, $C$13, 100%, $E$13)</f>
        <v>6.0247000000000002</v>
      </c>
      <c r="J48" s="64">
        <f>3.2609 * CHOOSE(CONTROL!$C$22, $C$13, 100%, $E$13)</f>
        <v>3.2608999999999999</v>
      </c>
      <c r="K48" s="64">
        <f>3.261 * CHOOSE(CONTROL!$C$22, $C$13, 100%, $E$13)</f>
        <v>3.2610000000000001</v>
      </c>
      <c r="L48" s="4"/>
      <c r="M48" s="4"/>
      <c r="N48" s="4"/>
    </row>
    <row r="49" spans="1:14" ht="15">
      <c r="A49" s="13">
        <v>43132</v>
      </c>
      <c r="B49" s="63">
        <f>2.8144 * CHOOSE(CONTROL!$C$22, $C$13, 100%, $E$13)</f>
        <v>2.8144</v>
      </c>
      <c r="C49" s="63">
        <f>2.8144 * CHOOSE(CONTROL!$C$22, $C$13, 100%, $E$13)</f>
        <v>2.8144</v>
      </c>
      <c r="D49" s="63">
        <f>2.8272 * CHOOSE(CONTROL!$C$22, $C$13, 100%, $E$13)</f>
        <v>2.8271999999999999</v>
      </c>
      <c r="E49" s="64">
        <f>3.2349 * CHOOSE(CONTROL!$C$22, $C$13, 100%, $E$13)</f>
        <v>3.2349000000000001</v>
      </c>
      <c r="F49" s="64">
        <f>3.2349 * CHOOSE(CONTROL!$C$22, $C$13, 100%, $E$13)</f>
        <v>3.2349000000000001</v>
      </c>
      <c r="G49" s="64">
        <f>3.2351 * CHOOSE(CONTROL!$C$22, $C$13, 100%, $E$13)</f>
        <v>3.2351000000000001</v>
      </c>
      <c r="H49" s="64">
        <f>6.0371* CHOOSE(CONTROL!$C$22, $C$13, 100%, $E$13)</f>
        <v>6.0370999999999997</v>
      </c>
      <c r="I49" s="64">
        <f>6.0373 * CHOOSE(CONTROL!$C$22, $C$13, 100%, $E$13)</f>
        <v>6.0373000000000001</v>
      </c>
      <c r="J49" s="64">
        <f>3.2349 * CHOOSE(CONTROL!$C$22, $C$13, 100%, $E$13)</f>
        <v>3.2349000000000001</v>
      </c>
      <c r="K49" s="64">
        <f>3.2351 * CHOOSE(CONTROL!$C$22, $C$13, 100%, $E$13)</f>
        <v>3.2351000000000001</v>
      </c>
      <c r="L49" s="4"/>
      <c r="M49" s="4"/>
      <c r="N49" s="4"/>
    </row>
    <row r="50" spans="1:14" ht="15">
      <c r="A50" s="13">
        <v>43160</v>
      </c>
      <c r="B50" s="63">
        <f>2.8113 * CHOOSE(CONTROL!$C$22, $C$13, 100%, $E$13)</f>
        <v>2.8113000000000001</v>
      </c>
      <c r="C50" s="63">
        <f>2.8113 * CHOOSE(CONTROL!$C$22, $C$13, 100%, $E$13)</f>
        <v>2.8113000000000001</v>
      </c>
      <c r="D50" s="63">
        <f>2.8242 * CHOOSE(CONTROL!$C$22, $C$13, 100%, $E$13)</f>
        <v>2.8241999999999998</v>
      </c>
      <c r="E50" s="64">
        <f>3.2516 * CHOOSE(CONTROL!$C$22, $C$13, 100%, $E$13)</f>
        <v>3.2515999999999998</v>
      </c>
      <c r="F50" s="64">
        <f>3.2516 * CHOOSE(CONTROL!$C$22, $C$13, 100%, $E$13)</f>
        <v>3.2515999999999998</v>
      </c>
      <c r="G50" s="64">
        <f>3.2518 * CHOOSE(CONTROL!$C$22, $C$13, 100%, $E$13)</f>
        <v>3.2517999999999998</v>
      </c>
      <c r="H50" s="64">
        <f>6.0497* CHOOSE(CONTROL!$C$22, $C$13, 100%, $E$13)</f>
        <v>6.0496999999999996</v>
      </c>
      <c r="I50" s="64">
        <f>6.0499 * CHOOSE(CONTROL!$C$22, $C$13, 100%, $E$13)</f>
        <v>6.0499000000000001</v>
      </c>
      <c r="J50" s="64">
        <f>3.2516 * CHOOSE(CONTROL!$C$22, $C$13, 100%, $E$13)</f>
        <v>3.2515999999999998</v>
      </c>
      <c r="K50" s="64">
        <f>3.2518 * CHOOSE(CONTROL!$C$22, $C$13, 100%, $E$13)</f>
        <v>3.2517999999999998</v>
      </c>
      <c r="L50" s="4"/>
      <c r="M50" s="4"/>
      <c r="N50" s="4"/>
    </row>
    <row r="51" spans="1:14" ht="15">
      <c r="A51" s="13">
        <v>43191</v>
      </c>
      <c r="B51" s="63">
        <f>2.8078 * CHOOSE(CONTROL!$C$22, $C$13, 100%, $E$13)</f>
        <v>2.8077999999999999</v>
      </c>
      <c r="C51" s="63">
        <f>2.8078 * CHOOSE(CONTROL!$C$22, $C$13, 100%, $E$13)</f>
        <v>2.8077999999999999</v>
      </c>
      <c r="D51" s="63">
        <f>2.8207 * CHOOSE(CONTROL!$C$22, $C$13, 100%, $E$13)</f>
        <v>2.8207</v>
      </c>
      <c r="E51" s="64">
        <f>3.2675 * CHOOSE(CONTROL!$C$22, $C$13, 100%, $E$13)</f>
        <v>3.2675000000000001</v>
      </c>
      <c r="F51" s="64">
        <f>3.2675 * CHOOSE(CONTROL!$C$22, $C$13, 100%, $E$13)</f>
        <v>3.2675000000000001</v>
      </c>
      <c r="G51" s="64">
        <f>3.2677 * CHOOSE(CONTROL!$C$22, $C$13, 100%, $E$13)</f>
        <v>3.2677</v>
      </c>
      <c r="H51" s="64">
        <f>6.0623* CHOOSE(CONTROL!$C$22, $C$13, 100%, $E$13)</f>
        <v>6.0622999999999996</v>
      </c>
      <c r="I51" s="64">
        <f>6.0625 * CHOOSE(CONTROL!$C$22, $C$13, 100%, $E$13)</f>
        <v>6.0625</v>
      </c>
      <c r="J51" s="64">
        <f>3.2675 * CHOOSE(CONTROL!$C$22, $C$13, 100%, $E$13)</f>
        <v>3.2675000000000001</v>
      </c>
      <c r="K51" s="64">
        <f>3.2677 * CHOOSE(CONTROL!$C$22, $C$13, 100%, $E$13)</f>
        <v>3.2677</v>
      </c>
      <c r="L51" s="4"/>
      <c r="M51" s="4"/>
      <c r="N51" s="4"/>
    </row>
    <row r="52" spans="1:14" ht="15">
      <c r="A52" s="13">
        <v>43221</v>
      </c>
      <c r="B52" s="63">
        <f>2.8078 * CHOOSE(CONTROL!$C$22, $C$13, 100%, $E$13)</f>
        <v>2.8077999999999999</v>
      </c>
      <c r="C52" s="63">
        <f>2.8078 * CHOOSE(CONTROL!$C$22, $C$13, 100%, $E$13)</f>
        <v>2.8077999999999999</v>
      </c>
      <c r="D52" s="63">
        <f>2.8336 * CHOOSE(CONTROL!$C$22, $C$13, 100%, $E$13)</f>
        <v>2.8336000000000001</v>
      </c>
      <c r="E52" s="64">
        <f>3.2751 * CHOOSE(CONTROL!$C$22, $C$13, 100%, $E$13)</f>
        <v>3.2751000000000001</v>
      </c>
      <c r="F52" s="64">
        <f>3.2751 * CHOOSE(CONTROL!$C$22, $C$13, 100%, $E$13)</f>
        <v>3.2751000000000001</v>
      </c>
      <c r="G52" s="64">
        <f>3.2767 * CHOOSE(CONTROL!$C$22, $C$13, 100%, $E$13)</f>
        <v>3.2766999999999999</v>
      </c>
      <c r="H52" s="64">
        <f>6.0749* CHOOSE(CONTROL!$C$22, $C$13, 100%, $E$13)</f>
        <v>6.0749000000000004</v>
      </c>
      <c r="I52" s="64">
        <f>6.0766 * CHOOSE(CONTROL!$C$22, $C$13, 100%, $E$13)</f>
        <v>6.0766</v>
      </c>
      <c r="J52" s="64">
        <f>3.2751 * CHOOSE(CONTROL!$C$22, $C$13, 100%, $E$13)</f>
        <v>3.2751000000000001</v>
      </c>
      <c r="K52" s="64">
        <f>3.2767 * CHOOSE(CONTROL!$C$22, $C$13, 100%, $E$13)</f>
        <v>3.2766999999999999</v>
      </c>
      <c r="L52" s="4"/>
      <c r="M52" s="4"/>
      <c r="N52" s="4"/>
    </row>
    <row r="53" spans="1:14" ht="15">
      <c r="A53" s="13">
        <v>43252</v>
      </c>
      <c r="B53" s="63">
        <f>2.8139 * CHOOSE(CONTROL!$C$22, $C$13, 100%, $E$13)</f>
        <v>2.8138999999999998</v>
      </c>
      <c r="C53" s="63">
        <f>2.8139 * CHOOSE(CONTROL!$C$22, $C$13, 100%, $E$13)</f>
        <v>2.8138999999999998</v>
      </c>
      <c r="D53" s="63">
        <f>2.8397 * CHOOSE(CONTROL!$C$22, $C$13, 100%, $E$13)</f>
        <v>2.8397000000000001</v>
      </c>
      <c r="E53" s="64">
        <f>3.2718 * CHOOSE(CONTROL!$C$22, $C$13, 100%, $E$13)</f>
        <v>3.2717999999999998</v>
      </c>
      <c r="F53" s="64">
        <f>3.2718 * CHOOSE(CONTROL!$C$22, $C$13, 100%, $E$13)</f>
        <v>3.2717999999999998</v>
      </c>
      <c r="G53" s="64">
        <f>3.2734 * CHOOSE(CONTROL!$C$22, $C$13, 100%, $E$13)</f>
        <v>3.2734000000000001</v>
      </c>
      <c r="H53" s="64">
        <f>6.0876* CHOOSE(CONTROL!$C$22, $C$13, 100%, $E$13)</f>
        <v>6.0876000000000001</v>
      </c>
      <c r="I53" s="64">
        <f>6.0892 * CHOOSE(CONTROL!$C$22, $C$13, 100%, $E$13)</f>
        <v>6.0891999999999999</v>
      </c>
      <c r="J53" s="64">
        <f>3.2718 * CHOOSE(CONTROL!$C$22, $C$13, 100%, $E$13)</f>
        <v>3.2717999999999998</v>
      </c>
      <c r="K53" s="64">
        <f>3.2734 * CHOOSE(CONTROL!$C$22, $C$13, 100%, $E$13)</f>
        <v>3.2734000000000001</v>
      </c>
      <c r="L53" s="4"/>
      <c r="M53" s="4"/>
      <c r="N53" s="4"/>
    </row>
    <row r="54" spans="1:14" ht="15">
      <c r="A54" s="13">
        <v>43282</v>
      </c>
      <c r="B54" s="63">
        <f>2.8974 * CHOOSE(CONTROL!$C$22, $C$13, 100%, $E$13)</f>
        <v>2.8974000000000002</v>
      </c>
      <c r="C54" s="63">
        <f>2.8974 * CHOOSE(CONTROL!$C$22, $C$13, 100%, $E$13)</f>
        <v>2.8974000000000002</v>
      </c>
      <c r="D54" s="63">
        <f>2.9231 * CHOOSE(CONTROL!$C$22, $C$13, 100%, $E$13)</f>
        <v>2.9230999999999998</v>
      </c>
      <c r="E54" s="64">
        <f>3.459 * CHOOSE(CONTROL!$C$22, $C$13, 100%, $E$13)</f>
        <v>3.4590000000000001</v>
      </c>
      <c r="F54" s="64">
        <f>3.459 * CHOOSE(CONTROL!$C$22, $C$13, 100%, $E$13)</f>
        <v>3.4590000000000001</v>
      </c>
      <c r="G54" s="64">
        <f>3.4606 * CHOOSE(CONTROL!$C$22, $C$13, 100%, $E$13)</f>
        <v>3.4605999999999999</v>
      </c>
      <c r="H54" s="64">
        <f>6.1003* CHOOSE(CONTROL!$C$22, $C$13, 100%, $E$13)</f>
        <v>6.1002999999999998</v>
      </c>
      <c r="I54" s="64">
        <f>6.1019 * CHOOSE(CONTROL!$C$22, $C$13, 100%, $E$13)</f>
        <v>6.1018999999999997</v>
      </c>
      <c r="J54" s="64">
        <f>3.459 * CHOOSE(CONTROL!$C$22, $C$13, 100%, $E$13)</f>
        <v>3.4590000000000001</v>
      </c>
      <c r="K54" s="64">
        <f>3.4606 * CHOOSE(CONTROL!$C$22, $C$13, 100%, $E$13)</f>
        <v>3.4605999999999999</v>
      </c>
      <c r="L54" s="4"/>
      <c r="M54" s="4"/>
      <c r="N54" s="4"/>
    </row>
    <row r="55" spans="1:14" ht="15">
      <c r="A55" s="13">
        <v>43313</v>
      </c>
      <c r="B55" s="63">
        <f>2.904 * CHOOSE(CONTROL!$C$22, $C$13, 100%, $E$13)</f>
        <v>2.9039999999999999</v>
      </c>
      <c r="C55" s="63">
        <f>2.904 * CHOOSE(CONTROL!$C$22, $C$13, 100%, $E$13)</f>
        <v>2.9039999999999999</v>
      </c>
      <c r="D55" s="63">
        <f>2.9298 * CHOOSE(CONTROL!$C$22, $C$13, 100%, $E$13)</f>
        <v>2.9298000000000002</v>
      </c>
      <c r="E55" s="64">
        <f>3.4409 * CHOOSE(CONTROL!$C$22, $C$13, 100%, $E$13)</f>
        <v>3.4409000000000001</v>
      </c>
      <c r="F55" s="64">
        <f>3.4409 * CHOOSE(CONTROL!$C$22, $C$13, 100%, $E$13)</f>
        <v>3.4409000000000001</v>
      </c>
      <c r="G55" s="64">
        <f>3.4426 * CHOOSE(CONTROL!$C$22, $C$13, 100%, $E$13)</f>
        <v>3.4426000000000001</v>
      </c>
      <c r="H55" s="64">
        <f>6.113* CHOOSE(CONTROL!$C$22, $C$13, 100%, $E$13)</f>
        <v>6.1130000000000004</v>
      </c>
      <c r="I55" s="64">
        <f>6.1146 * CHOOSE(CONTROL!$C$22, $C$13, 100%, $E$13)</f>
        <v>6.1146000000000003</v>
      </c>
      <c r="J55" s="64">
        <f>3.4409 * CHOOSE(CONTROL!$C$22, $C$13, 100%, $E$13)</f>
        <v>3.4409000000000001</v>
      </c>
      <c r="K55" s="64">
        <f>3.4426 * CHOOSE(CONTROL!$C$22, $C$13, 100%, $E$13)</f>
        <v>3.4426000000000001</v>
      </c>
      <c r="L55" s="4"/>
      <c r="M55" s="4"/>
      <c r="N55" s="4"/>
    </row>
    <row r="56" spans="1:14" ht="15">
      <c r="A56" s="13">
        <v>43344</v>
      </c>
      <c r="B56" s="63">
        <f>2.901 * CHOOSE(CONTROL!$C$22, $C$13, 100%, $E$13)</f>
        <v>2.9009999999999998</v>
      </c>
      <c r="C56" s="63">
        <f>2.901 * CHOOSE(CONTROL!$C$22, $C$13, 100%, $E$13)</f>
        <v>2.9009999999999998</v>
      </c>
      <c r="D56" s="63">
        <f>2.9268 * CHOOSE(CONTROL!$C$22, $C$13, 100%, $E$13)</f>
        <v>2.9268000000000001</v>
      </c>
      <c r="E56" s="64">
        <f>3.4363 * CHOOSE(CONTROL!$C$22, $C$13, 100%, $E$13)</f>
        <v>3.4363000000000001</v>
      </c>
      <c r="F56" s="64">
        <f>3.4363 * CHOOSE(CONTROL!$C$22, $C$13, 100%, $E$13)</f>
        <v>3.4363000000000001</v>
      </c>
      <c r="G56" s="64">
        <f>3.4379 * CHOOSE(CONTROL!$C$22, $C$13, 100%, $E$13)</f>
        <v>3.4379</v>
      </c>
      <c r="H56" s="64">
        <f>6.1257* CHOOSE(CONTROL!$C$22, $C$13, 100%, $E$13)</f>
        <v>6.1257000000000001</v>
      </c>
      <c r="I56" s="64">
        <f>6.1273 * CHOOSE(CONTROL!$C$22, $C$13, 100%, $E$13)</f>
        <v>6.1273</v>
      </c>
      <c r="J56" s="64">
        <f>3.4363 * CHOOSE(CONTROL!$C$22, $C$13, 100%, $E$13)</f>
        <v>3.4363000000000001</v>
      </c>
      <c r="K56" s="64">
        <f>3.4379 * CHOOSE(CONTROL!$C$22, $C$13, 100%, $E$13)</f>
        <v>3.4379</v>
      </c>
      <c r="L56" s="4"/>
      <c r="M56" s="4"/>
      <c r="N56" s="4"/>
    </row>
    <row r="57" spans="1:14" ht="15">
      <c r="A57" s="13">
        <v>43374</v>
      </c>
      <c r="B57" s="63">
        <f>2.8921 * CHOOSE(CONTROL!$C$22, $C$13, 100%, $E$13)</f>
        <v>2.8921000000000001</v>
      </c>
      <c r="C57" s="63">
        <f>2.8921 * CHOOSE(CONTROL!$C$22, $C$13, 100%, $E$13)</f>
        <v>2.8921000000000001</v>
      </c>
      <c r="D57" s="63">
        <f>2.905 * CHOOSE(CONTROL!$C$22, $C$13, 100%, $E$13)</f>
        <v>2.9049999999999998</v>
      </c>
      <c r="E57" s="64">
        <f>3.433 * CHOOSE(CONTROL!$C$22, $C$13, 100%, $E$13)</f>
        <v>3.4329999999999998</v>
      </c>
      <c r="F57" s="64">
        <f>3.433 * CHOOSE(CONTROL!$C$22, $C$13, 100%, $E$13)</f>
        <v>3.4329999999999998</v>
      </c>
      <c r="G57" s="64">
        <f>3.4331 * CHOOSE(CONTROL!$C$22, $C$13, 100%, $E$13)</f>
        <v>3.4331</v>
      </c>
      <c r="H57" s="64">
        <f>6.1385* CHOOSE(CONTROL!$C$22, $C$13, 100%, $E$13)</f>
        <v>6.1384999999999996</v>
      </c>
      <c r="I57" s="64">
        <f>6.1386 * CHOOSE(CONTROL!$C$22, $C$13, 100%, $E$13)</f>
        <v>6.1386000000000003</v>
      </c>
      <c r="J57" s="64">
        <f>3.433 * CHOOSE(CONTROL!$C$22, $C$13, 100%, $E$13)</f>
        <v>3.4329999999999998</v>
      </c>
      <c r="K57" s="64">
        <f>3.4331 * CHOOSE(CONTROL!$C$22, $C$13, 100%, $E$13)</f>
        <v>3.4331</v>
      </c>
      <c r="L57" s="4"/>
      <c r="M57" s="4"/>
      <c r="N57" s="4"/>
    </row>
    <row r="58" spans="1:14" ht="15">
      <c r="A58" s="13">
        <v>43405</v>
      </c>
      <c r="B58" s="63">
        <f>2.8951 * CHOOSE(CONTROL!$C$22, $C$13, 100%, $E$13)</f>
        <v>2.8950999999999998</v>
      </c>
      <c r="C58" s="63">
        <f>2.8951 * CHOOSE(CONTROL!$C$22, $C$13, 100%, $E$13)</f>
        <v>2.8950999999999998</v>
      </c>
      <c r="D58" s="63">
        <f>2.908 * CHOOSE(CONTROL!$C$22, $C$13, 100%, $E$13)</f>
        <v>2.9079999999999999</v>
      </c>
      <c r="E58" s="64">
        <f>3.4401 * CHOOSE(CONTROL!$C$22, $C$13, 100%, $E$13)</f>
        <v>3.4401000000000002</v>
      </c>
      <c r="F58" s="64">
        <f>3.4401 * CHOOSE(CONTROL!$C$22, $C$13, 100%, $E$13)</f>
        <v>3.4401000000000002</v>
      </c>
      <c r="G58" s="64">
        <f>3.4403 * CHOOSE(CONTROL!$C$22, $C$13, 100%, $E$13)</f>
        <v>3.4403000000000001</v>
      </c>
      <c r="H58" s="64">
        <f>6.1513* CHOOSE(CONTROL!$C$22, $C$13, 100%, $E$13)</f>
        <v>6.1513</v>
      </c>
      <c r="I58" s="64">
        <f>6.1514 * CHOOSE(CONTROL!$C$22, $C$13, 100%, $E$13)</f>
        <v>6.1513999999999998</v>
      </c>
      <c r="J58" s="64">
        <f>3.4401 * CHOOSE(CONTROL!$C$22, $C$13, 100%, $E$13)</f>
        <v>3.4401000000000002</v>
      </c>
      <c r="K58" s="64">
        <f>3.4403 * CHOOSE(CONTROL!$C$22, $C$13, 100%, $E$13)</f>
        <v>3.4403000000000001</v>
      </c>
      <c r="L58" s="4"/>
      <c r="M58" s="4"/>
      <c r="N58" s="4"/>
    </row>
    <row r="59" spans="1:14" ht="15">
      <c r="A59" s="13">
        <v>43435</v>
      </c>
      <c r="B59" s="63">
        <f>2.8951 * CHOOSE(CONTROL!$C$22, $C$13, 100%, $E$13)</f>
        <v>2.8950999999999998</v>
      </c>
      <c r="C59" s="63">
        <f>2.8951 * CHOOSE(CONTROL!$C$22, $C$13, 100%, $E$13)</f>
        <v>2.8950999999999998</v>
      </c>
      <c r="D59" s="63">
        <f>2.908 * CHOOSE(CONTROL!$C$22, $C$13, 100%, $E$13)</f>
        <v>2.9079999999999999</v>
      </c>
      <c r="E59" s="64">
        <f>3.4275 * CHOOSE(CONTROL!$C$22, $C$13, 100%, $E$13)</f>
        <v>3.4275000000000002</v>
      </c>
      <c r="F59" s="64">
        <f>3.4275 * CHOOSE(CONTROL!$C$22, $C$13, 100%, $E$13)</f>
        <v>3.4275000000000002</v>
      </c>
      <c r="G59" s="64">
        <f>3.4277 * CHOOSE(CONTROL!$C$22, $C$13, 100%, $E$13)</f>
        <v>3.4277000000000002</v>
      </c>
      <c r="H59" s="64">
        <f>6.1641* CHOOSE(CONTROL!$C$22, $C$13, 100%, $E$13)</f>
        <v>6.1641000000000004</v>
      </c>
      <c r="I59" s="64">
        <f>6.1643 * CHOOSE(CONTROL!$C$22, $C$13, 100%, $E$13)</f>
        <v>6.1642999999999999</v>
      </c>
      <c r="J59" s="64">
        <f>3.4275 * CHOOSE(CONTROL!$C$22, $C$13, 100%, $E$13)</f>
        <v>3.4275000000000002</v>
      </c>
      <c r="K59" s="64">
        <f>3.4277 * CHOOSE(CONTROL!$C$22, $C$13, 100%, $E$13)</f>
        <v>3.4277000000000002</v>
      </c>
      <c r="L59" s="4"/>
      <c r="M59" s="4"/>
      <c r="N59" s="4"/>
    </row>
    <row r="60" spans="1:14" ht="15">
      <c r="A60" s="13">
        <v>43466</v>
      </c>
      <c r="B60" s="63">
        <f>2.9246 * CHOOSE(CONTROL!$C$22, $C$13, 100%, $E$13)</f>
        <v>2.9245999999999999</v>
      </c>
      <c r="C60" s="63">
        <f>2.9246 * CHOOSE(CONTROL!$C$22, $C$13, 100%, $E$13)</f>
        <v>2.9245999999999999</v>
      </c>
      <c r="D60" s="63">
        <f>2.9375 * CHOOSE(CONTROL!$C$22, $C$13, 100%, $E$13)</f>
        <v>2.9375</v>
      </c>
      <c r="E60" s="64">
        <f>3.4699 * CHOOSE(CONTROL!$C$22, $C$13, 100%, $E$13)</f>
        <v>3.4699</v>
      </c>
      <c r="F60" s="64">
        <f>3.4699 * CHOOSE(CONTROL!$C$22, $C$13, 100%, $E$13)</f>
        <v>3.4699</v>
      </c>
      <c r="G60" s="64">
        <f>3.4701 * CHOOSE(CONTROL!$C$22, $C$13, 100%, $E$13)</f>
        <v>3.4701</v>
      </c>
      <c r="H60" s="64">
        <f>6.1769* CHOOSE(CONTROL!$C$22, $C$13, 100%, $E$13)</f>
        <v>6.1768999999999998</v>
      </c>
      <c r="I60" s="64">
        <f>6.1771 * CHOOSE(CONTROL!$C$22, $C$13, 100%, $E$13)</f>
        <v>6.1771000000000003</v>
      </c>
      <c r="J60" s="64">
        <f>3.4699 * CHOOSE(CONTROL!$C$22, $C$13, 100%, $E$13)</f>
        <v>3.4699</v>
      </c>
      <c r="K60" s="64">
        <f>3.4701 * CHOOSE(CONTROL!$C$22, $C$13, 100%, $E$13)</f>
        <v>3.4701</v>
      </c>
      <c r="L60" s="4"/>
      <c r="M60" s="4"/>
      <c r="N60" s="4"/>
    </row>
    <row r="61" spans="1:14" ht="15">
      <c r="A61" s="13">
        <v>43497</v>
      </c>
      <c r="B61" s="63">
        <f>2.9216 * CHOOSE(CONTROL!$C$22, $C$13, 100%, $E$13)</f>
        <v>2.9216000000000002</v>
      </c>
      <c r="C61" s="63">
        <f>2.9216 * CHOOSE(CONTROL!$C$22, $C$13, 100%, $E$13)</f>
        <v>2.9216000000000002</v>
      </c>
      <c r="D61" s="63">
        <f>2.9345 * CHOOSE(CONTROL!$C$22, $C$13, 100%, $E$13)</f>
        <v>2.9344999999999999</v>
      </c>
      <c r="E61" s="64">
        <f>3.4392 * CHOOSE(CONTROL!$C$22, $C$13, 100%, $E$13)</f>
        <v>3.4392</v>
      </c>
      <c r="F61" s="64">
        <f>3.4392 * CHOOSE(CONTROL!$C$22, $C$13, 100%, $E$13)</f>
        <v>3.4392</v>
      </c>
      <c r="G61" s="64">
        <f>3.4394 * CHOOSE(CONTROL!$C$22, $C$13, 100%, $E$13)</f>
        <v>3.4394</v>
      </c>
      <c r="H61" s="64">
        <f>6.1898* CHOOSE(CONTROL!$C$22, $C$13, 100%, $E$13)</f>
        <v>6.1898</v>
      </c>
      <c r="I61" s="64">
        <f>6.19 * CHOOSE(CONTROL!$C$22, $C$13, 100%, $E$13)</f>
        <v>6.19</v>
      </c>
      <c r="J61" s="64">
        <f>3.4392 * CHOOSE(CONTROL!$C$22, $C$13, 100%, $E$13)</f>
        <v>3.4392</v>
      </c>
      <c r="K61" s="64">
        <f>3.4394 * CHOOSE(CONTROL!$C$22, $C$13, 100%, $E$13)</f>
        <v>3.4394</v>
      </c>
      <c r="L61" s="4"/>
      <c r="M61" s="4"/>
      <c r="N61" s="4"/>
    </row>
    <row r="62" spans="1:14" ht="15">
      <c r="A62" s="13">
        <v>43525</v>
      </c>
      <c r="B62" s="63">
        <f>2.9185 * CHOOSE(CONTROL!$C$22, $C$13, 100%, $E$13)</f>
        <v>2.9184999999999999</v>
      </c>
      <c r="C62" s="63">
        <f>2.9185 * CHOOSE(CONTROL!$C$22, $C$13, 100%, $E$13)</f>
        <v>2.9184999999999999</v>
      </c>
      <c r="D62" s="63">
        <f>2.9314 * CHOOSE(CONTROL!$C$22, $C$13, 100%, $E$13)</f>
        <v>2.9314</v>
      </c>
      <c r="E62" s="64">
        <f>3.4596 * CHOOSE(CONTROL!$C$22, $C$13, 100%, $E$13)</f>
        <v>3.4596</v>
      </c>
      <c r="F62" s="64">
        <f>3.4596 * CHOOSE(CONTROL!$C$22, $C$13, 100%, $E$13)</f>
        <v>3.4596</v>
      </c>
      <c r="G62" s="64">
        <f>3.4598 * CHOOSE(CONTROL!$C$22, $C$13, 100%, $E$13)</f>
        <v>3.4598</v>
      </c>
      <c r="H62" s="64">
        <f>6.2027* CHOOSE(CONTROL!$C$22, $C$13, 100%, $E$13)</f>
        <v>6.2027000000000001</v>
      </c>
      <c r="I62" s="64">
        <f>6.2029 * CHOOSE(CONTROL!$C$22, $C$13, 100%, $E$13)</f>
        <v>6.2028999999999996</v>
      </c>
      <c r="J62" s="64">
        <f>3.4596 * CHOOSE(CONTROL!$C$22, $C$13, 100%, $E$13)</f>
        <v>3.4596</v>
      </c>
      <c r="K62" s="64">
        <f>3.4598 * CHOOSE(CONTROL!$C$22, $C$13, 100%, $E$13)</f>
        <v>3.4598</v>
      </c>
      <c r="L62" s="4"/>
      <c r="M62" s="4"/>
      <c r="N62" s="4"/>
    </row>
    <row r="63" spans="1:14" ht="15">
      <c r="A63" s="13">
        <v>43556</v>
      </c>
      <c r="B63" s="63">
        <f>2.9152 * CHOOSE(CONTROL!$C$22, $C$13, 100%, $E$13)</f>
        <v>2.9152</v>
      </c>
      <c r="C63" s="63">
        <f>2.9152 * CHOOSE(CONTROL!$C$22, $C$13, 100%, $E$13)</f>
        <v>2.9152</v>
      </c>
      <c r="D63" s="63">
        <f>2.9281 * CHOOSE(CONTROL!$C$22, $C$13, 100%, $E$13)</f>
        <v>2.9281000000000001</v>
      </c>
      <c r="E63" s="64">
        <f>3.4796 * CHOOSE(CONTROL!$C$22, $C$13, 100%, $E$13)</f>
        <v>3.4796</v>
      </c>
      <c r="F63" s="64">
        <f>3.4796 * CHOOSE(CONTROL!$C$22, $C$13, 100%, $E$13)</f>
        <v>3.4796</v>
      </c>
      <c r="G63" s="64">
        <f>3.4798 * CHOOSE(CONTROL!$C$22, $C$13, 100%, $E$13)</f>
        <v>3.4798</v>
      </c>
      <c r="H63" s="64">
        <f>6.2156* CHOOSE(CONTROL!$C$22, $C$13, 100%, $E$13)</f>
        <v>6.2156000000000002</v>
      </c>
      <c r="I63" s="64">
        <f>6.2158 * CHOOSE(CONTROL!$C$22, $C$13, 100%, $E$13)</f>
        <v>6.2157999999999998</v>
      </c>
      <c r="J63" s="64">
        <f>3.4796 * CHOOSE(CONTROL!$C$22, $C$13, 100%, $E$13)</f>
        <v>3.4796</v>
      </c>
      <c r="K63" s="64">
        <f>3.4798 * CHOOSE(CONTROL!$C$22, $C$13, 100%, $E$13)</f>
        <v>3.4798</v>
      </c>
      <c r="L63" s="4"/>
      <c r="M63" s="4"/>
      <c r="N63" s="4"/>
    </row>
    <row r="64" spans="1:14" ht="15">
      <c r="A64" s="13">
        <v>43586</v>
      </c>
      <c r="B64" s="63">
        <f>2.9152 * CHOOSE(CONTROL!$C$22, $C$13, 100%, $E$13)</f>
        <v>2.9152</v>
      </c>
      <c r="C64" s="63">
        <f>2.9152 * CHOOSE(CONTROL!$C$22, $C$13, 100%, $E$13)</f>
        <v>2.9152</v>
      </c>
      <c r="D64" s="63">
        <f>2.9409 * CHOOSE(CONTROL!$C$22, $C$13, 100%, $E$13)</f>
        <v>2.9409000000000001</v>
      </c>
      <c r="E64" s="64">
        <f>3.4887 * CHOOSE(CONTROL!$C$22, $C$13, 100%, $E$13)</f>
        <v>3.4887000000000001</v>
      </c>
      <c r="F64" s="64">
        <f>3.4887 * CHOOSE(CONTROL!$C$22, $C$13, 100%, $E$13)</f>
        <v>3.4887000000000001</v>
      </c>
      <c r="G64" s="64">
        <f>3.4904 * CHOOSE(CONTROL!$C$22, $C$13, 100%, $E$13)</f>
        <v>3.4904000000000002</v>
      </c>
      <c r="H64" s="64">
        <f>6.2286* CHOOSE(CONTROL!$C$22, $C$13, 100%, $E$13)</f>
        <v>6.2286000000000001</v>
      </c>
      <c r="I64" s="64">
        <f>6.2302 * CHOOSE(CONTROL!$C$22, $C$13, 100%, $E$13)</f>
        <v>6.2302</v>
      </c>
      <c r="J64" s="64">
        <f>3.4887 * CHOOSE(CONTROL!$C$22, $C$13, 100%, $E$13)</f>
        <v>3.4887000000000001</v>
      </c>
      <c r="K64" s="64">
        <f>3.4904 * CHOOSE(CONTROL!$C$22, $C$13, 100%, $E$13)</f>
        <v>3.4904000000000002</v>
      </c>
      <c r="L64" s="4"/>
      <c r="M64" s="4"/>
      <c r="N64" s="4"/>
    </row>
    <row r="65" spans="1:14" ht="15">
      <c r="A65" s="13">
        <v>43617</v>
      </c>
      <c r="B65" s="63">
        <f>2.9213 * CHOOSE(CONTROL!$C$22, $C$13, 100%, $E$13)</f>
        <v>2.9213</v>
      </c>
      <c r="C65" s="63">
        <f>2.9213 * CHOOSE(CONTROL!$C$22, $C$13, 100%, $E$13)</f>
        <v>2.9213</v>
      </c>
      <c r="D65" s="63">
        <f>2.947 * CHOOSE(CONTROL!$C$22, $C$13, 100%, $E$13)</f>
        <v>2.9470000000000001</v>
      </c>
      <c r="E65" s="64">
        <f>3.4839 * CHOOSE(CONTROL!$C$22, $C$13, 100%, $E$13)</f>
        <v>3.4839000000000002</v>
      </c>
      <c r="F65" s="64">
        <f>3.4839 * CHOOSE(CONTROL!$C$22, $C$13, 100%, $E$13)</f>
        <v>3.4839000000000002</v>
      </c>
      <c r="G65" s="64">
        <f>3.4855 * CHOOSE(CONTROL!$C$22, $C$13, 100%, $E$13)</f>
        <v>3.4855</v>
      </c>
      <c r="H65" s="64">
        <f>6.2415* CHOOSE(CONTROL!$C$22, $C$13, 100%, $E$13)</f>
        <v>6.2415000000000003</v>
      </c>
      <c r="I65" s="64">
        <f>6.2432 * CHOOSE(CONTROL!$C$22, $C$13, 100%, $E$13)</f>
        <v>6.2431999999999999</v>
      </c>
      <c r="J65" s="64">
        <f>3.4839 * CHOOSE(CONTROL!$C$22, $C$13, 100%, $E$13)</f>
        <v>3.4839000000000002</v>
      </c>
      <c r="K65" s="64">
        <f>3.4855 * CHOOSE(CONTROL!$C$22, $C$13, 100%, $E$13)</f>
        <v>3.4855</v>
      </c>
      <c r="L65" s="4"/>
      <c r="M65" s="4"/>
      <c r="N65" s="4"/>
    </row>
    <row r="66" spans="1:14" ht="15">
      <c r="A66" s="13">
        <v>43647</v>
      </c>
      <c r="B66" s="63">
        <f>2.9781 * CHOOSE(CONTROL!$C$22, $C$13, 100%, $E$13)</f>
        <v>2.9781</v>
      </c>
      <c r="C66" s="63">
        <f>2.9781 * CHOOSE(CONTROL!$C$22, $C$13, 100%, $E$13)</f>
        <v>2.9781</v>
      </c>
      <c r="D66" s="63">
        <f>3.0039 * CHOOSE(CONTROL!$C$22, $C$13, 100%, $E$13)</f>
        <v>3.0038999999999998</v>
      </c>
      <c r="E66" s="64">
        <f>3.4566 * CHOOSE(CONTROL!$C$22, $C$13, 100%, $E$13)</f>
        <v>3.4565999999999999</v>
      </c>
      <c r="F66" s="64">
        <f>3.4566 * CHOOSE(CONTROL!$C$22, $C$13, 100%, $E$13)</f>
        <v>3.4565999999999999</v>
      </c>
      <c r="G66" s="64">
        <f>3.4582 * CHOOSE(CONTROL!$C$22, $C$13, 100%, $E$13)</f>
        <v>3.4582000000000002</v>
      </c>
      <c r="H66" s="64">
        <f>6.2545* CHOOSE(CONTROL!$C$22, $C$13, 100%, $E$13)</f>
        <v>6.2545000000000002</v>
      </c>
      <c r="I66" s="64">
        <f>6.2562 * CHOOSE(CONTROL!$C$22, $C$13, 100%, $E$13)</f>
        <v>6.2561999999999998</v>
      </c>
      <c r="J66" s="64">
        <f>3.4566 * CHOOSE(CONTROL!$C$22, $C$13, 100%, $E$13)</f>
        <v>3.4565999999999999</v>
      </c>
      <c r="K66" s="64">
        <f>3.4582 * CHOOSE(CONTROL!$C$22, $C$13, 100%, $E$13)</f>
        <v>3.4582000000000002</v>
      </c>
      <c r="L66" s="4"/>
      <c r="M66" s="4"/>
      <c r="N66" s="4"/>
    </row>
    <row r="67" spans="1:14" ht="15">
      <c r="A67" s="13">
        <v>43678</v>
      </c>
      <c r="B67" s="63">
        <f>2.9848 * CHOOSE(CONTROL!$C$22, $C$13, 100%, $E$13)</f>
        <v>2.9847999999999999</v>
      </c>
      <c r="C67" s="63">
        <f>2.9848 * CHOOSE(CONTROL!$C$22, $C$13, 100%, $E$13)</f>
        <v>2.9847999999999999</v>
      </c>
      <c r="D67" s="63">
        <f>3.0106 * CHOOSE(CONTROL!$C$22, $C$13, 100%, $E$13)</f>
        <v>3.0106000000000002</v>
      </c>
      <c r="E67" s="64">
        <f>3.434 * CHOOSE(CONTROL!$C$22, $C$13, 100%, $E$13)</f>
        <v>3.4340000000000002</v>
      </c>
      <c r="F67" s="64">
        <f>3.434 * CHOOSE(CONTROL!$C$22, $C$13, 100%, $E$13)</f>
        <v>3.4340000000000002</v>
      </c>
      <c r="G67" s="64">
        <f>3.4356 * CHOOSE(CONTROL!$C$22, $C$13, 100%, $E$13)</f>
        <v>3.4356</v>
      </c>
      <c r="H67" s="64">
        <f>6.2676* CHOOSE(CONTROL!$C$22, $C$13, 100%, $E$13)</f>
        <v>6.2675999999999998</v>
      </c>
      <c r="I67" s="64">
        <f>6.2692 * CHOOSE(CONTROL!$C$22, $C$13, 100%, $E$13)</f>
        <v>6.2691999999999997</v>
      </c>
      <c r="J67" s="64">
        <f>3.434 * CHOOSE(CONTROL!$C$22, $C$13, 100%, $E$13)</f>
        <v>3.4340000000000002</v>
      </c>
      <c r="K67" s="64">
        <f>3.4356 * CHOOSE(CONTROL!$C$22, $C$13, 100%, $E$13)</f>
        <v>3.4356</v>
      </c>
      <c r="L67" s="4"/>
      <c r="M67" s="4"/>
      <c r="N67" s="4"/>
    </row>
    <row r="68" spans="1:14" ht="15">
      <c r="A68" s="13">
        <v>43709</v>
      </c>
      <c r="B68" s="63">
        <f>2.9818 * CHOOSE(CONTROL!$C$22, $C$13, 100%, $E$13)</f>
        <v>2.9817999999999998</v>
      </c>
      <c r="C68" s="63">
        <f>2.9818 * CHOOSE(CONTROL!$C$22, $C$13, 100%, $E$13)</f>
        <v>2.9817999999999998</v>
      </c>
      <c r="D68" s="63">
        <f>3.0075 * CHOOSE(CONTROL!$C$22, $C$13, 100%, $E$13)</f>
        <v>3.0074999999999998</v>
      </c>
      <c r="E68" s="64">
        <f>3.4288 * CHOOSE(CONTROL!$C$22, $C$13, 100%, $E$13)</f>
        <v>3.4287999999999998</v>
      </c>
      <c r="F68" s="64">
        <f>3.4288 * CHOOSE(CONTROL!$C$22, $C$13, 100%, $E$13)</f>
        <v>3.4287999999999998</v>
      </c>
      <c r="G68" s="64">
        <f>3.4305 * CHOOSE(CONTROL!$C$22, $C$13, 100%, $E$13)</f>
        <v>3.4304999999999999</v>
      </c>
      <c r="H68" s="64">
        <f>6.2806* CHOOSE(CONTROL!$C$22, $C$13, 100%, $E$13)</f>
        <v>6.2805999999999997</v>
      </c>
      <c r="I68" s="64">
        <f>6.2823 * CHOOSE(CONTROL!$C$22, $C$13, 100%, $E$13)</f>
        <v>6.2823000000000002</v>
      </c>
      <c r="J68" s="64">
        <f>3.4288 * CHOOSE(CONTROL!$C$22, $C$13, 100%, $E$13)</f>
        <v>3.4287999999999998</v>
      </c>
      <c r="K68" s="64">
        <f>3.4305 * CHOOSE(CONTROL!$C$22, $C$13, 100%, $E$13)</f>
        <v>3.4304999999999999</v>
      </c>
      <c r="L68" s="4"/>
      <c r="M68" s="4"/>
      <c r="N68" s="4"/>
    </row>
    <row r="69" spans="1:14" ht="15">
      <c r="A69" s="13">
        <v>43739</v>
      </c>
      <c r="B69" s="63">
        <f>2.9731 * CHOOSE(CONTROL!$C$22, $C$13, 100%, $E$13)</f>
        <v>2.9731000000000001</v>
      </c>
      <c r="C69" s="63">
        <f>2.9731 * CHOOSE(CONTROL!$C$22, $C$13, 100%, $E$13)</f>
        <v>2.9731000000000001</v>
      </c>
      <c r="D69" s="63">
        <f>2.986 * CHOOSE(CONTROL!$C$22, $C$13, 100%, $E$13)</f>
        <v>2.9860000000000002</v>
      </c>
      <c r="E69" s="64">
        <f>3.4275 * CHOOSE(CONTROL!$C$22, $C$13, 100%, $E$13)</f>
        <v>3.4275000000000002</v>
      </c>
      <c r="F69" s="64">
        <f>3.4275 * CHOOSE(CONTROL!$C$22, $C$13, 100%, $E$13)</f>
        <v>3.4275000000000002</v>
      </c>
      <c r="G69" s="64">
        <f>3.4277 * CHOOSE(CONTROL!$C$22, $C$13, 100%, $E$13)</f>
        <v>3.4277000000000002</v>
      </c>
      <c r="H69" s="64">
        <f>6.2937* CHOOSE(CONTROL!$C$22, $C$13, 100%, $E$13)</f>
        <v>6.2937000000000003</v>
      </c>
      <c r="I69" s="64">
        <f>6.2939 * CHOOSE(CONTROL!$C$22, $C$13, 100%, $E$13)</f>
        <v>6.2938999999999998</v>
      </c>
      <c r="J69" s="64">
        <f>3.4275 * CHOOSE(CONTROL!$C$22, $C$13, 100%, $E$13)</f>
        <v>3.4275000000000002</v>
      </c>
      <c r="K69" s="64">
        <f>3.4277 * CHOOSE(CONTROL!$C$22, $C$13, 100%, $E$13)</f>
        <v>3.4277000000000002</v>
      </c>
      <c r="L69" s="4"/>
      <c r="M69" s="4"/>
      <c r="N69" s="4"/>
    </row>
    <row r="70" spans="1:14" ht="15">
      <c r="A70" s="13">
        <v>43770</v>
      </c>
      <c r="B70" s="63">
        <f>2.9762 * CHOOSE(CONTROL!$C$22, $C$13, 100%, $E$13)</f>
        <v>2.9762</v>
      </c>
      <c r="C70" s="63">
        <f>2.9762 * CHOOSE(CONTROL!$C$22, $C$13, 100%, $E$13)</f>
        <v>2.9762</v>
      </c>
      <c r="D70" s="63">
        <f>2.9891 * CHOOSE(CONTROL!$C$22, $C$13, 100%, $E$13)</f>
        <v>2.9891000000000001</v>
      </c>
      <c r="E70" s="64">
        <f>3.4357 * CHOOSE(CONTROL!$C$22, $C$13, 100%, $E$13)</f>
        <v>3.4357000000000002</v>
      </c>
      <c r="F70" s="64">
        <f>3.4357 * CHOOSE(CONTROL!$C$22, $C$13, 100%, $E$13)</f>
        <v>3.4357000000000002</v>
      </c>
      <c r="G70" s="64">
        <f>3.4359 * CHOOSE(CONTROL!$C$22, $C$13, 100%, $E$13)</f>
        <v>3.4359000000000002</v>
      </c>
      <c r="H70" s="64">
        <f>6.3068* CHOOSE(CONTROL!$C$22, $C$13, 100%, $E$13)</f>
        <v>6.3068</v>
      </c>
      <c r="I70" s="64">
        <f>6.307 * CHOOSE(CONTROL!$C$22, $C$13, 100%, $E$13)</f>
        <v>6.3070000000000004</v>
      </c>
      <c r="J70" s="64">
        <f>3.4357 * CHOOSE(CONTROL!$C$22, $C$13, 100%, $E$13)</f>
        <v>3.4357000000000002</v>
      </c>
      <c r="K70" s="64">
        <f>3.4359 * CHOOSE(CONTROL!$C$22, $C$13, 100%, $E$13)</f>
        <v>3.4359000000000002</v>
      </c>
      <c r="L70" s="4"/>
      <c r="M70" s="4"/>
      <c r="N70" s="4"/>
    </row>
    <row r="71" spans="1:14" ht="15">
      <c r="A71" s="13">
        <v>43800</v>
      </c>
      <c r="B71" s="63">
        <f>2.9762 * CHOOSE(CONTROL!$C$22, $C$13, 100%, $E$13)</f>
        <v>2.9762</v>
      </c>
      <c r="C71" s="63">
        <f>2.9762 * CHOOSE(CONTROL!$C$22, $C$13, 100%, $E$13)</f>
        <v>2.9762</v>
      </c>
      <c r="D71" s="63">
        <f>2.9891 * CHOOSE(CONTROL!$C$22, $C$13, 100%, $E$13)</f>
        <v>2.9891000000000001</v>
      </c>
      <c r="E71" s="64">
        <f>3.4206 * CHOOSE(CONTROL!$C$22, $C$13, 100%, $E$13)</f>
        <v>3.4205999999999999</v>
      </c>
      <c r="F71" s="64">
        <f>3.4206 * CHOOSE(CONTROL!$C$22, $C$13, 100%, $E$13)</f>
        <v>3.4205999999999999</v>
      </c>
      <c r="G71" s="64">
        <f>3.4207 * CHOOSE(CONTROL!$C$22, $C$13, 100%, $E$13)</f>
        <v>3.4207000000000001</v>
      </c>
      <c r="H71" s="64">
        <f>6.32* CHOOSE(CONTROL!$C$22, $C$13, 100%, $E$13)</f>
        <v>6.32</v>
      </c>
      <c r="I71" s="64">
        <f>6.3201 * CHOOSE(CONTROL!$C$22, $C$13, 100%, $E$13)</f>
        <v>6.3201000000000001</v>
      </c>
      <c r="J71" s="64">
        <f>3.4206 * CHOOSE(CONTROL!$C$22, $C$13, 100%, $E$13)</f>
        <v>3.4205999999999999</v>
      </c>
      <c r="K71" s="64">
        <f>3.4207 * CHOOSE(CONTROL!$C$22, $C$13, 100%, $E$13)</f>
        <v>3.4207000000000001</v>
      </c>
      <c r="L71" s="4"/>
      <c r="M71" s="4"/>
      <c r="N71" s="4"/>
    </row>
    <row r="72" spans="1:14" ht="15">
      <c r="A72" s="13">
        <v>43831</v>
      </c>
      <c r="B72" s="63">
        <f>3.0034 * CHOOSE(CONTROL!$C$22, $C$13, 100%, $E$13)</f>
        <v>3.0034000000000001</v>
      </c>
      <c r="C72" s="63">
        <f>3.0034 * CHOOSE(CONTROL!$C$22, $C$13, 100%, $E$13)</f>
        <v>3.0034000000000001</v>
      </c>
      <c r="D72" s="63">
        <f>3.0162 * CHOOSE(CONTROL!$C$22, $C$13, 100%, $E$13)</f>
        <v>3.0162</v>
      </c>
      <c r="E72" s="64">
        <f>3.5343 * CHOOSE(CONTROL!$C$22, $C$13, 100%, $E$13)</f>
        <v>3.5343</v>
      </c>
      <c r="F72" s="64">
        <f>3.5343 * CHOOSE(CONTROL!$C$22, $C$13, 100%, $E$13)</f>
        <v>3.5343</v>
      </c>
      <c r="G72" s="64">
        <f>3.5345 * CHOOSE(CONTROL!$C$22, $C$13, 100%, $E$13)</f>
        <v>3.5345</v>
      </c>
      <c r="H72" s="64">
        <f>6.3331* CHOOSE(CONTROL!$C$22, $C$13, 100%, $E$13)</f>
        <v>6.3331</v>
      </c>
      <c r="I72" s="64">
        <f>6.3333 * CHOOSE(CONTROL!$C$22, $C$13, 100%, $E$13)</f>
        <v>6.3333000000000004</v>
      </c>
      <c r="J72" s="64">
        <f>3.5343 * CHOOSE(CONTROL!$C$22, $C$13, 100%, $E$13)</f>
        <v>3.5343</v>
      </c>
      <c r="K72" s="64">
        <f>3.5345 * CHOOSE(CONTROL!$C$22, $C$13, 100%, $E$13)</f>
        <v>3.5345</v>
      </c>
      <c r="L72" s="4"/>
      <c r="M72" s="4"/>
      <c r="N72" s="4"/>
    </row>
    <row r="73" spans="1:14" ht="15">
      <c r="A73" s="13">
        <v>43862</v>
      </c>
      <c r="B73" s="63">
        <f>3.0003 * CHOOSE(CONTROL!$C$22, $C$13, 100%, $E$13)</f>
        <v>3.0003000000000002</v>
      </c>
      <c r="C73" s="63">
        <f>3.0003 * CHOOSE(CONTROL!$C$22, $C$13, 100%, $E$13)</f>
        <v>3.0003000000000002</v>
      </c>
      <c r="D73" s="63">
        <f>3.0132 * CHOOSE(CONTROL!$C$22, $C$13, 100%, $E$13)</f>
        <v>3.0131999999999999</v>
      </c>
      <c r="E73" s="64">
        <f>3.4967 * CHOOSE(CONTROL!$C$22, $C$13, 100%, $E$13)</f>
        <v>3.4967000000000001</v>
      </c>
      <c r="F73" s="64">
        <f>3.4967 * CHOOSE(CONTROL!$C$22, $C$13, 100%, $E$13)</f>
        <v>3.4967000000000001</v>
      </c>
      <c r="G73" s="64">
        <f>3.4969 * CHOOSE(CONTROL!$C$22, $C$13, 100%, $E$13)</f>
        <v>3.4969000000000001</v>
      </c>
      <c r="H73" s="64">
        <f>6.3463* CHOOSE(CONTROL!$C$22, $C$13, 100%, $E$13)</f>
        <v>6.3463000000000003</v>
      </c>
      <c r="I73" s="64">
        <f>6.3465 * CHOOSE(CONTROL!$C$22, $C$13, 100%, $E$13)</f>
        <v>6.3464999999999998</v>
      </c>
      <c r="J73" s="64">
        <f>3.4967 * CHOOSE(CONTROL!$C$22, $C$13, 100%, $E$13)</f>
        <v>3.4967000000000001</v>
      </c>
      <c r="K73" s="64">
        <f>3.4969 * CHOOSE(CONTROL!$C$22, $C$13, 100%, $E$13)</f>
        <v>3.4969000000000001</v>
      </c>
      <c r="L73" s="4"/>
      <c r="M73" s="4"/>
      <c r="N73" s="4"/>
    </row>
    <row r="74" spans="1:14" ht="15">
      <c r="A74" s="13">
        <v>43891</v>
      </c>
      <c r="B74" s="63">
        <f>2.9973 * CHOOSE(CONTROL!$C$22, $C$13, 100%, $E$13)</f>
        <v>2.9973000000000001</v>
      </c>
      <c r="C74" s="63">
        <f>2.9973 * CHOOSE(CONTROL!$C$22, $C$13, 100%, $E$13)</f>
        <v>2.9973000000000001</v>
      </c>
      <c r="D74" s="63">
        <f>3.0102 * CHOOSE(CONTROL!$C$22, $C$13, 100%, $E$13)</f>
        <v>3.0102000000000002</v>
      </c>
      <c r="E74" s="64">
        <f>3.5226 * CHOOSE(CONTROL!$C$22, $C$13, 100%, $E$13)</f>
        <v>3.5226000000000002</v>
      </c>
      <c r="F74" s="64">
        <f>3.5226 * CHOOSE(CONTROL!$C$22, $C$13, 100%, $E$13)</f>
        <v>3.5226000000000002</v>
      </c>
      <c r="G74" s="64">
        <f>3.5228 * CHOOSE(CONTROL!$C$22, $C$13, 100%, $E$13)</f>
        <v>3.5228000000000002</v>
      </c>
      <c r="H74" s="64">
        <f>6.3595* CHOOSE(CONTROL!$C$22, $C$13, 100%, $E$13)</f>
        <v>6.3594999999999997</v>
      </c>
      <c r="I74" s="64">
        <f>6.3597 * CHOOSE(CONTROL!$C$22, $C$13, 100%, $E$13)</f>
        <v>6.3597000000000001</v>
      </c>
      <c r="J74" s="64">
        <f>3.5226 * CHOOSE(CONTROL!$C$22, $C$13, 100%, $E$13)</f>
        <v>3.5226000000000002</v>
      </c>
      <c r="K74" s="64">
        <f>3.5228 * CHOOSE(CONTROL!$C$22, $C$13, 100%, $E$13)</f>
        <v>3.5228000000000002</v>
      </c>
      <c r="L74" s="4"/>
      <c r="M74" s="4"/>
      <c r="N74" s="4"/>
    </row>
    <row r="75" spans="1:14" ht="15">
      <c r="A75" s="13">
        <v>43922</v>
      </c>
      <c r="B75" s="63">
        <f>2.994 * CHOOSE(CONTROL!$C$22, $C$13, 100%, $E$13)</f>
        <v>2.9940000000000002</v>
      </c>
      <c r="C75" s="63">
        <f>2.994 * CHOOSE(CONTROL!$C$22, $C$13, 100%, $E$13)</f>
        <v>2.9940000000000002</v>
      </c>
      <c r="D75" s="63">
        <f>3.0069 * CHOOSE(CONTROL!$C$22, $C$13, 100%, $E$13)</f>
        <v>3.0068999999999999</v>
      </c>
      <c r="E75" s="64">
        <f>3.5484 * CHOOSE(CONTROL!$C$22, $C$13, 100%, $E$13)</f>
        <v>3.5484</v>
      </c>
      <c r="F75" s="64">
        <f>3.5484 * CHOOSE(CONTROL!$C$22, $C$13, 100%, $E$13)</f>
        <v>3.5484</v>
      </c>
      <c r="G75" s="64">
        <f>3.5486 * CHOOSE(CONTROL!$C$22, $C$13, 100%, $E$13)</f>
        <v>3.5486</v>
      </c>
      <c r="H75" s="64">
        <f>6.3728* CHOOSE(CONTROL!$C$22, $C$13, 100%, $E$13)</f>
        <v>6.3727999999999998</v>
      </c>
      <c r="I75" s="64">
        <f>6.373 * CHOOSE(CONTROL!$C$22, $C$13, 100%, $E$13)</f>
        <v>6.3730000000000002</v>
      </c>
      <c r="J75" s="64">
        <f>3.5484 * CHOOSE(CONTROL!$C$22, $C$13, 100%, $E$13)</f>
        <v>3.5484</v>
      </c>
      <c r="K75" s="64">
        <f>3.5486 * CHOOSE(CONTROL!$C$22, $C$13, 100%, $E$13)</f>
        <v>3.5486</v>
      </c>
      <c r="L75" s="4"/>
      <c r="M75" s="4"/>
      <c r="N75" s="4"/>
    </row>
    <row r="76" spans="1:14" ht="15">
      <c r="A76" s="13">
        <v>43952</v>
      </c>
      <c r="B76" s="63">
        <f>2.994 * CHOOSE(CONTROL!$C$22, $C$13, 100%, $E$13)</f>
        <v>2.9940000000000002</v>
      </c>
      <c r="C76" s="63">
        <f>2.994 * CHOOSE(CONTROL!$C$22, $C$13, 100%, $E$13)</f>
        <v>2.9940000000000002</v>
      </c>
      <c r="D76" s="63">
        <f>3.0197 * CHOOSE(CONTROL!$C$22, $C$13, 100%, $E$13)</f>
        <v>3.0196999999999998</v>
      </c>
      <c r="E76" s="64">
        <f>3.5597 * CHOOSE(CONTROL!$C$22, $C$13, 100%, $E$13)</f>
        <v>3.5596999999999999</v>
      </c>
      <c r="F76" s="64">
        <f>3.5597 * CHOOSE(CONTROL!$C$22, $C$13, 100%, $E$13)</f>
        <v>3.5596999999999999</v>
      </c>
      <c r="G76" s="64">
        <f>3.5613 * CHOOSE(CONTROL!$C$22, $C$13, 100%, $E$13)</f>
        <v>3.5613000000000001</v>
      </c>
      <c r="H76" s="64">
        <f>6.3861* CHOOSE(CONTROL!$C$22, $C$13, 100%, $E$13)</f>
        <v>6.3860999999999999</v>
      </c>
      <c r="I76" s="64">
        <f>6.3877 * CHOOSE(CONTROL!$C$22, $C$13, 100%, $E$13)</f>
        <v>6.3876999999999997</v>
      </c>
      <c r="J76" s="64">
        <f>3.5597 * CHOOSE(CONTROL!$C$22, $C$13, 100%, $E$13)</f>
        <v>3.5596999999999999</v>
      </c>
      <c r="K76" s="64">
        <f>3.5613 * CHOOSE(CONTROL!$C$22, $C$13, 100%, $E$13)</f>
        <v>3.5613000000000001</v>
      </c>
      <c r="L76" s="4"/>
      <c r="M76" s="4"/>
      <c r="N76" s="4"/>
    </row>
    <row r="77" spans="1:14" ht="15">
      <c r="A77" s="13">
        <v>43983</v>
      </c>
      <c r="B77" s="63">
        <f>3.0001 * CHOOSE(CONTROL!$C$22, $C$13, 100%, $E$13)</f>
        <v>3.0001000000000002</v>
      </c>
      <c r="C77" s="63">
        <f>3.0001 * CHOOSE(CONTROL!$C$22, $C$13, 100%, $E$13)</f>
        <v>3.0001000000000002</v>
      </c>
      <c r="D77" s="63">
        <f>3.0258 * CHOOSE(CONTROL!$C$22, $C$13, 100%, $E$13)</f>
        <v>3.0257999999999998</v>
      </c>
      <c r="E77" s="64">
        <f>3.5526 * CHOOSE(CONTROL!$C$22, $C$13, 100%, $E$13)</f>
        <v>3.5526</v>
      </c>
      <c r="F77" s="64">
        <f>3.5526 * CHOOSE(CONTROL!$C$22, $C$13, 100%, $E$13)</f>
        <v>3.5526</v>
      </c>
      <c r="G77" s="64">
        <f>3.5543 * CHOOSE(CONTROL!$C$22, $C$13, 100%, $E$13)</f>
        <v>3.5543</v>
      </c>
      <c r="H77" s="64">
        <f>6.3994* CHOOSE(CONTROL!$C$22, $C$13, 100%, $E$13)</f>
        <v>6.3994</v>
      </c>
      <c r="I77" s="64">
        <f>6.401 * CHOOSE(CONTROL!$C$22, $C$13, 100%, $E$13)</f>
        <v>6.4009999999999998</v>
      </c>
      <c r="J77" s="64">
        <f>3.5526 * CHOOSE(CONTROL!$C$22, $C$13, 100%, $E$13)</f>
        <v>3.5526</v>
      </c>
      <c r="K77" s="64">
        <f>3.5543 * CHOOSE(CONTROL!$C$22, $C$13, 100%, $E$13)</f>
        <v>3.5543</v>
      </c>
      <c r="L77" s="4"/>
      <c r="M77" s="4"/>
      <c r="N77" s="4"/>
    </row>
    <row r="78" spans="1:14" ht="15">
      <c r="A78" s="13">
        <v>44013</v>
      </c>
      <c r="B78" s="63">
        <f>3.0509 * CHOOSE(CONTROL!$C$22, $C$13, 100%, $E$13)</f>
        <v>3.0508999999999999</v>
      </c>
      <c r="C78" s="63">
        <f>3.0509 * CHOOSE(CONTROL!$C$22, $C$13, 100%, $E$13)</f>
        <v>3.0508999999999999</v>
      </c>
      <c r="D78" s="63">
        <f>3.0766 * CHOOSE(CONTROL!$C$22, $C$13, 100%, $E$13)</f>
        <v>3.0766</v>
      </c>
      <c r="E78" s="64">
        <f>3.6456 * CHOOSE(CONTROL!$C$22, $C$13, 100%, $E$13)</f>
        <v>3.6456</v>
      </c>
      <c r="F78" s="64">
        <f>3.6456 * CHOOSE(CONTROL!$C$22, $C$13, 100%, $E$13)</f>
        <v>3.6456</v>
      </c>
      <c r="G78" s="64">
        <f>3.6473 * CHOOSE(CONTROL!$C$22, $C$13, 100%, $E$13)</f>
        <v>3.6473</v>
      </c>
      <c r="H78" s="64">
        <f>6.4127* CHOOSE(CONTROL!$C$22, $C$13, 100%, $E$13)</f>
        <v>6.4127000000000001</v>
      </c>
      <c r="I78" s="64">
        <f>6.4143 * CHOOSE(CONTROL!$C$22, $C$13, 100%, $E$13)</f>
        <v>6.4142999999999999</v>
      </c>
      <c r="J78" s="64">
        <f>3.6456 * CHOOSE(CONTROL!$C$22, $C$13, 100%, $E$13)</f>
        <v>3.6456</v>
      </c>
      <c r="K78" s="64">
        <f>3.6473 * CHOOSE(CONTROL!$C$22, $C$13, 100%, $E$13)</f>
        <v>3.6473</v>
      </c>
      <c r="L78" s="4"/>
      <c r="M78" s="4"/>
      <c r="N78" s="4"/>
    </row>
    <row r="79" spans="1:14" ht="15">
      <c r="A79" s="13">
        <v>44044</v>
      </c>
      <c r="B79" s="63">
        <f>3.0576 * CHOOSE(CONTROL!$C$22, $C$13, 100%, $E$13)</f>
        <v>3.0575999999999999</v>
      </c>
      <c r="C79" s="63">
        <f>3.0576 * CHOOSE(CONTROL!$C$22, $C$13, 100%, $E$13)</f>
        <v>3.0575999999999999</v>
      </c>
      <c r="D79" s="63">
        <f>3.0833 * CHOOSE(CONTROL!$C$22, $C$13, 100%, $E$13)</f>
        <v>3.0832999999999999</v>
      </c>
      <c r="E79" s="64">
        <f>3.6165 * CHOOSE(CONTROL!$C$22, $C$13, 100%, $E$13)</f>
        <v>3.6164999999999998</v>
      </c>
      <c r="F79" s="64">
        <f>3.6165 * CHOOSE(CONTROL!$C$22, $C$13, 100%, $E$13)</f>
        <v>3.6164999999999998</v>
      </c>
      <c r="G79" s="64">
        <f>3.6181 * CHOOSE(CONTROL!$C$22, $C$13, 100%, $E$13)</f>
        <v>3.6181000000000001</v>
      </c>
      <c r="H79" s="64">
        <f>6.4261* CHOOSE(CONTROL!$C$22, $C$13, 100%, $E$13)</f>
        <v>6.4260999999999999</v>
      </c>
      <c r="I79" s="64">
        <f>6.4277 * CHOOSE(CONTROL!$C$22, $C$13, 100%, $E$13)</f>
        <v>6.4276999999999997</v>
      </c>
      <c r="J79" s="64">
        <f>3.6165 * CHOOSE(CONTROL!$C$22, $C$13, 100%, $E$13)</f>
        <v>3.6164999999999998</v>
      </c>
      <c r="K79" s="64">
        <f>3.6181 * CHOOSE(CONTROL!$C$22, $C$13, 100%, $E$13)</f>
        <v>3.6181000000000001</v>
      </c>
      <c r="L79" s="4"/>
      <c r="M79" s="4"/>
      <c r="N79" s="4"/>
    </row>
    <row r="80" spans="1:14" ht="15">
      <c r="A80" s="13">
        <v>44075</v>
      </c>
      <c r="B80" s="63">
        <f>3.0545 * CHOOSE(CONTROL!$C$22, $C$13, 100%, $E$13)</f>
        <v>3.0545</v>
      </c>
      <c r="C80" s="63">
        <f>3.0545 * CHOOSE(CONTROL!$C$22, $C$13, 100%, $E$13)</f>
        <v>3.0545</v>
      </c>
      <c r="D80" s="63">
        <f>3.0803 * CHOOSE(CONTROL!$C$22, $C$13, 100%, $E$13)</f>
        <v>3.0802999999999998</v>
      </c>
      <c r="E80" s="64">
        <f>3.6106 * CHOOSE(CONTROL!$C$22, $C$13, 100%, $E$13)</f>
        <v>3.6105999999999998</v>
      </c>
      <c r="F80" s="64">
        <f>3.6106 * CHOOSE(CONTROL!$C$22, $C$13, 100%, $E$13)</f>
        <v>3.6105999999999998</v>
      </c>
      <c r="G80" s="64">
        <f>3.6123 * CHOOSE(CONTROL!$C$22, $C$13, 100%, $E$13)</f>
        <v>3.6122999999999998</v>
      </c>
      <c r="H80" s="64">
        <f>6.4394* CHOOSE(CONTROL!$C$22, $C$13, 100%, $E$13)</f>
        <v>6.4394</v>
      </c>
      <c r="I80" s="64">
        <f>6.4411 * CHOOSE(CONTROL!$C$22, $C$13, 100%, $E$13)</f>
        <v>6.4410999999999996</v>
      </c>
      <c r="J80" s="64">
        <f>3.6106 * CHOOSE(CONTROL!$C$22, $C$13, 100%, $E$13)</f>
        <v>3.6105999999999998</v>
      </c>
      <c r="K80" s="64">
        <f>3.6123 * CHOOSE(CONTROL!$C$22, $C$13, 100%, $E$13)</f>
        <v>3.6122999999999998</v>
      </c>
      <c r="L80" s="4"/>
      <c r="M80" s="4"/>
      <c r="N80" s="4"/>
    </row>
    <row r="81" spans="1:14" ht="15">
      <c r="A81" s="13">
        <v>44105</v>
      </c>
      <c r="B81" s="63">
        <f>3.0462 * CHOOSE(CONTROL!$C$22, $C$13, 100%, $E$13)</f>
        <v>3.0461999999999998</v>
      </c>
      <c r="C81" s="63">
        <f>3.0462 * CHOOSE(CONTROL!$C$22, $C$13, 100%, $E$13)</f>
        <v>3.0461999999999998</v>
      </c>
      <c r="D81" s="63">
        <f>3.0591 * CHOOSE(CONTROL!$C$22, $C$13, 100%, $E$13)</f>
        <v>3.0590999999999999</v>
      </c>
      <c r="E81" s="64">
        <f>3.6122 * CHOOSE(CONTROL!$C$22, $C$13, 100%, $E$13)</f>
        <v>3.6122000000000001</v>
      </c>
      <c r="F81" s="64">
        <f>3.6122 * CHOOSE(CONTROL!$C$22, $C$13, 100%, $E$13)</f>
        <v>3.6122000000000001</v>
      </c>
      <c r="G81" s="64">
        <f>3.6124 * CHOOSE(CONTROL!$C$22, $C$13, 100%, $E$13)</f>
        <v>3.6124000000000001</v>
      </c>
      <c r="H81" s="64">
        <f>6.4529* CHOOSE(CONTROL!$C$22, $C$13, 100%, $E$13)</f>
        <v>6.4528999999999996</v>
      </c>
      <c r="I81" s="64">
        <f>6.453 * CHOOSE(CONTROL!$C$22, $C$13, 100%, $E$13)</f>
        <v>6.4530000000000003</v>
      </c>
      <c r="J81" s="64">
        <f>3.6122 * CHOOSE(CONTROL!$C$22, $C$13, 100%, $E$13)</f>
        <v>3.6122000000000001</v>
      </c>
      <c r="K81" s="64">
        <f>3.6124 * CHOOSE(CONTROL!$C$22, $C$13, 100%, $E$13)</f>
        <v>3.6124000000000001</v>
      </c>
      <c r="L81" s="4"/>
      <c r="M81" s="4"/>
      <c r="N81" s="4"/>
    </row>
    <row r="82" spans="1:14" ht="15">
      <c r="A82" s="13">
        <v>44136</v>
      </c>
      <c r="B82" s="63">
        <f>3.0493 * CHOOSE(CONTROL!$C$22, $C$13, 100%, $E$13)</f>
        <v>3.0493000000000001</v>
      </c>
      <c r="C82" s="63">
        <f>3.0493 * CHOOSE(CONTROL!$C$22, $C$13, 100%, $E$13)</f>
        <v>3.0493000000000001</v>
      </c>
      <c r="D82" s="63">
        <f>3.0621 * CHOOSE(CONTROL!$C$22, $C$13, 100%, $E$13)</f>
        <v>3.0621</v>
      </c>
      <c r="E82" s="64">
        <f>3.6219 * CHOOSE(CONTROL!$C$22, $C$13, 100%, $E$13)</f>
        <v>3.6219000000000001</v>
      </c>
      <c r="F82" s="64">
        <f>3.6219 * CHOOSE(CONTROL!$C$22, $C$13, 100%, $E$13)</f>
        <v>3.6219000000000001</v>
      </c>
      <c r="G82" s="64">
        <f>3.622 * CHOOSE(CONTROL!$C$22, $C$13, 100%, $E$13)</f>
        <v>3.6219999999999999</v>
      </c>
      <c r="H82" s="64">
        <f>6.4663* CHOOSE(CONTROL!$C$22, $C$13, 100%, $E$13)</f>
        <v>6.4663000000000004</v>
      </c>
      <c r="I82" s="64">
        <f>6.4665 * CHOOSE(CONTROL!$C$22, $C$13, 100%, $E$13)</f>
        <v>6.4664999999999999</v>
      </c>
      <c r="J82" s="64">
        <f>3.6219 * CHOOSE(CONTROL!$C$22, $C$13, 100%, $E$13)</f>
        <v>3.6219000000000001</v>
      </c>
      <c r="K82" s="64">
        <f>3.622 * CHOOSE(CONTROL!$C$22, $C$13, 100%, $E$13)</f>
        <v>3.6219999999999999</v>
      </c>
      <c r="L82" s="4"/>
      <c r="M82" s="4"/>
      <c r="N82" s="4"/>
    </row>
    <row r="83" spans="1:14" ht="15">
      <c r="A83" s="13">
        <v>44166</v>
      </c>
      <c r="B83" s="63">
        <f>3.0493 * CHOOSE(CONTROL!$C$22, $C$13, 100%, $E$13)</f>
        <v>3.0493000000000001</v>
      </c>
      <c r="C83" s="63">
        <f>3.0493 * CHOOSE(CONTROL!$C$22, $C$13, 100%, $E$13)</f>
        <v>3.0493000000000001</v>
      </c>
      <c r="D83" s="63">
        <f>3.0621 * CHOOSE(CONTROL!$C$22, $C$13, 100%, $E$13)</f>
        <v>3.0621</v>
      </c>
      <c r="E83" s="64">
        <f>3.6031 * CHOOSE(CONTROL!$C$22, $C$13, 100%, $E$13)</f>
        <v>3.6031</v>
      </c>
      <c r="F83" s="64">
        <f>3.6031 * CHOOSE(CONTROL!$C$22, $C$13, 100%, $E$13)</f>
        <v>3.6031</v>
      </c>
      <c r="G83" s="64">
        <f>3.6033 * CHOOSE(CONTROL!$C$22, $C$13, 100%, $E$13)</f>
        <v>3.6032999999999999</v>
      </c>
      <c r="H83" s="64">
        <f>6.4798* CHOOSE(CONTROL!$C$22, $C$13, 100%, $E$13)</f>
        <v>6.4798</v>
      </c>
      <c r="I83" s="64">
        <f>6.48 * CHOOSE(CONTROL!$C$22, $C$13, 100%, $E$13)</f>
        <v>6.48</v>
      </c>
      <c r="J83" s="64">
        <f>3.6031 * CHOOSE(CONTROL!$C$22, $C$13, 100%, $E$13)</f>
        <v>3.6031</v>
      </c>
      <c r="K83" s="64">
        <f>3.6033 * CHOOSE(CONTROL!$C$22, $C$13, 100%, $E$13)</f>
        <v>3.6032999999999999</v>
      </c>
      <c r="L83" s="4"/>
      <c r="M83" s="4"/>
      <c r="N83" s="4"/>
    </row>
    <row r="84" spans="1:14" ht="15">
      <c r="A84" s="13">
        <v>44197</v>
      </c>
      <c r="B84" s="63">
        <f>3.0805 * CHOOSE(CONTROL!$C$22, $C$13, 100%, $E$13)</f>
        <v>3.0804999999999998</v>
      </c>
      <c r="C84" s="63">
        <f>3.0805 * CHOOSE(CONTROL!$C$22, $C$13, 100%, $E$13)</f>
        <v>3.0804999999999998</v>
      </c>
      <c r="D84" s="63">
        <f>3.0934 * CHOOSE(CONTROL!$C$22, $C$13, 100%, $E$13)</f>
        <v>3.0933999999999999</v>
      </c>
      <c r="E84" s="64">
        <f>3.649 * CHOOSE(CONTROL!$C$22, $C$13, 100%, $E$13)</f>
        <v>3.649</v>
      </c>
      <c r="F84" s="64">
        <f>3.649 * CHOOSE(CONTROL!$C$22, $C$13, 100%, $E$13)</f>
        <v>3.649</v>
      </c>
      <c r="G84" s="64">
        <f>3.6492 * CHOOSE(CONTROL!$C$22, $C$13, 100%, $E$13)</f>
        <v>3.6492</v>
      </c>
      <c r="H84" s="64">
        <f>6.4933* CHOOSE(CONTROL!$C$22, $C$13, 100%, $E$13)</f>
        <v>6.4932999999999996</v>
      </c>
      <c r="I84" s="64">
        <f>6.4935 * CHOOSE(CONTROL!$C$22, $C$13, 100%, $E$13)</f>
        <v>6.4935</v>
      </c>
      <c r="J84" s="64">
        <f>3.649 * CHOOSE(CONTROL!$C$22, $C$13, 100%, $E$13)</f>
        <v>3.649</v>
      </c>
      <c r="K84" s="64">
        <f>3.6492 * CHOOSE(CONTROL!$C$22, $C$13, 100%, $E$13)</f>
        <v>3.6492</v>
      </c>
      <c r="L84" s="4"/>
      <c r="M84" s="4"/>
      <c r="N84" s="4"/>
    </row>
    <row r="85" spans="1:14" ht="15">
      <c r="A85" s="13">
        <v>44228</v>
      </c>
      <c r="B85" s="63">
        <f>3.0775 * CHOOSE(CONTROL!$C$22, $C$13, 100%, $E$13)</f>
        <v>3.0775000000000001</v>
      </c>
      <c r="C85" s="63">
        <f>3.0775 * CHOOSE(CONTROL!$C$22, $C$13, 100%, $E$13)</f>
        <v>3.0775000000000001</v>
      </c>
      <c r="D85" s="63">
        <f>3.0903 * CHOOSE(CONTROL!$C$22, $C$13, 100%, $E$13)</f>
        <v>3.0903</v>
      </c>
      <c r="E85" s="64">
        <f>3.6087 * CHOOSE(CONTROL!$C$22, $C$13, 100%, $E$13)</f>
        <v>3.6086999999999998</v>
      </c>
      <c r="F85" s="64">
        <f>3.6087 * CHOOSE(CONTROL!$C$22, $C$13, 100%, $E$13)</f>
        <v>3.6086999999999998</v>
      </c>
      <c r="G85" s="64">
        <f>3.6088 * CHOOSE(CONTROL!$C$22, $C$13, 100%, $E$13)</f>
        <v>3.6088</v>
      </c>
      <c r="H85" s="64">
        <f>6.5068* CHOOSE(CONTROL!$C$22, $C$13, 100%, $E$13)</f>
        <v>6.5068000000000001</v>
      </c>
      <c r="I85" s="64">
        <f>6.507 * CHOOSE(CONTROL!$C$22, $C$13, 100%, $E$13)</f>
        <v>6.5069999999999997</v>
      </c>
      <c r="J85" s="64">
        <f>3.6087 * CHOOSE(CONTROL!$C$22, $C$13, 100%, $E$13)</f>
        <v>3.6086999999999998</v>
      </c>
      <c r="K85" s="64">
        <f>3.6088 * CHOOSE(CONTROL!$C$22, $C$13, 100%, $E$13)</f>
        <v>3.6088</v>
      </c>
      <c r="L85" s="4"/>
      <c r="M85" s="4"/>
      <c r="N85" s="4"/>
    </row>
    <row r="86" spans="1:14" ht="15">
      <c r="A86" s="13">
        <v>44256</v>
      </c>
      <c r="B86" s="63">
        <f>3.0744 * CHOOSE(CONTROL!$C$22, $C$13, 100%, $E$13)</f>
        <v>3.0743999999999998</v>
      </c>
      <c r="C86" s="63">
        <f>3.0744 * CHOOSE(CONTROL!$C$22, $C$13, 100%, $E$13)</f>
        <v>3.0743999999999998</v>
      </c>
      <c r="D86" s="63">
        <f>3.0873 * CHOOSE(CONTROL!$C$22, $C$13, 100%, $E$13)</f>
        <v>3.0872999999999999</v>
      </c>
      <c r="E86" s="64">
        <f>3.6367 * CHOOSE(CONTROL!$C$22, $C$13, 100%, $E$13)</f>
        <v>3.6366999999999998</v>
      </c>
      <c r="F86" s="64">
        <f>3.6367 * CHOOSE(CONTROL!$C$22, $C$13, 100%, $E$13)</f>
        <v>3.6366999999999998</v>
      </c>
      <c r="G86" s="64">
        <f>3.6369 * CHOOSE(CONTROL!$C$22, $C$13, 100%, $E$13)</f>
        <v>3.6368999999999998</v>
      </c>
      <c r="H86" s="64">
        <f>6.5204* CHOOSE(CONTROL!$C$22, $C$13, 100%, $E$13)</f>
        <v>6.5204000000000004</v>
      </c>
      <c r="I86" s="64">
        <f>6.5205 * CHOOSE(CONTROL!$C$22, $C$13, 100%, $E$13)</f>
        <v>6.5205000000000002</v>
      </c>
      <c r="J86" s="64">
        <f>3.6367 * CHOOSE(CONTROL!$C$22, $C$13, 100%, $E$13)</f>
        <v>3.6366999999999998</v>
      </c>
      <c r="K86" s="64">
        <f>3.6369 * CHOOSE(CONTROL!$C$22, $C$13, 100%, $E$13)</f>
        <v>3.6368999999999998</v>
      </c>
      <c r="L86" s="4"/>
      <c r="M86" s="4"/>
      <c r="N86" s="4"/>
    </row>
    <row r="87" spans="1:14" ht="15">
      <c r="A87" s="13">
        <v>44287</v>
      </c>
      <c r="B87" s="63">
        <f>3.0712 * CHOOSE(CONTROL!$C$22, $C$13, 100%, $E$13)</f>
        <v>3.0712000000000002</v>
      </c>
      <c r="C87" s="63">
        <f>3.0712 * CHOOSE(CONTROL!$C$22, $C$13, 100%, $E$13)</f>
        <v>3.0712000000000002</v>
      </c>
      <c r="D87" s="63">
        <f>3.0841 * CHOOSE(CONTROL!$C$22, $C$13, 100%, $E$13)</f>
        <v>3.0840999999999998</v>
      </c>
      <c r="E87" s="64">
        <f>3.6649 * CHOOSE(CONTROL!$C$22, $C$13, 100%, $E$13)</f>
        <v>3.6648999999999998</v>
      </c>
      <c r="F87" s="64">
        <f>3.6649 * CHOOSE(CONTROL!$C$22, $C$13, 100%, $E$13)</f>
        <v>3.6648999999999998</v>
      </c>
      <c r="G87" s="64">
        <f>3.665 * CHOOSE(CONTROL!$C$22, $C$13, 100%, $E$13)</f>
        <v>3.665</v>
      </c>
      <c r="H87" s="64">
        <f>6.5339* CHOOSE(CONTROL!$C$22, $C$13, 100%, $E$13)</f>
        <v>6.5339</v>
      </c>
      <c r="I87" s="64">
        <f>6.5341 * CHOOSE(CONTROL!$C$22, $C$13, 100%, $E$13)</f>
        <v>6.5340999999999996</v>
      </c>
      <c r="J87" s="64">
        <f>3.6649 * CHOOSE(CONTROL!$C$22, $C$13, 100%, $E$13)</f>
        <v>3.6648999999999998</v>
      </c>
      <c r="K87" s="64">
        <f>3.665 * CHOOSE(CONTROL!$C$22, $C$13, 100%, $E$13)</f>
        <v>3.665</v>
      </c>
      <c r="L87" s="4"/>
      <c r="M87" s="4"/>
      <c r="N87" s="4"/>
    </row>
    <row r="88" spans="1:14" ht="15">
      <c r="A88" s="13">
        <v>44317</v>
      </c>
      <c r="B88" s="63">
        <f>3.0712 * CHOOSE(CONTROL!$C$22, $C$13, 100%, $E$13)</f>
        <v>3.0712000000000002</v>
      </c>
      <c r="C88" s="63">
        <f>3.0712 * CHOOSE(CONTROL!$C$22, $C$13, 100%, $E$13)</f>
        <v>3.0712000000000002</v>
      </c>
      <c r="D88" s="63">
        <f>3.097 * CHOOSE(CONTROL!$C$22, $C$13, 100%, $E$13)</f>
        <v>3.097</v>
      </c>
      <c r="E88" s="64">
        <f>3.677 * CHOOSE(CONTROL!$C$22, $C$13, 100%, $E$13)</f>
        <v>3.677</v>
      </c>
      <c r="F88" s="64">
        <f>3.677 * CHOOSE(CONTROL!$C$22, $C$13, 100%, $E$13)</f>
        <v>3.677</v>
      </c>
      <c r="G88" s="64">
        <f>3.6787 * CHOOSE(CONTROL!$C$22, $C$13, 100%, $E$13)</f>
        <v>3.6787000000000001</v>
      </c>
      <c r="H88" s="64">
        <f>6.5476* CHOOSE(CONTROL!$C$22, $C$13, 100%, $E$13)</f>
        <v>6.5476000000000001</v>
      </c>
      <c r="I88" s="64">
        <f>6.5492 * CHOOSE(CONTROL!$C$22, $C$13, 100%, $E$13)</f>
        <v>6.5491999999999999</v>
      </c>
      <c r="J88" s="64">
        <f>3.677 * CHOOSE(CONTROL!$C$22, $C$13, 100%, $E$13)</f>
        <v>3.677</v>
      </c>
      <c r="K88" s="64">
        <f>3.6787 * CHOOSE(CONTROL!$C$22, $C$13, 100%, $E$13)</f>
        <v>3.6787000000000001</v>
      </c>
      <c r="L88" s="4"/>
      <c r="M88" s="4"/>
      <c r="N88" s="4"/>
    </row>
    <row r="89" spans="1:14" ht="15">
      <c r="A89" s="13">
        <v>44348</v>
      </c>
      <c r="B89" s="63">
        <f>3.0773 * CHOOSE(CONTROL!$C$22, $C$13, 100%, $E$13)</f>
        <v>3.0773000000000001</v>
      </c>
      <c r="C89" s="63">
        <f>3.0773 * CHOOSE(CONTROL!$C$22, $C$13, 100%, $E$13)</f>
        <v>3.0773000000000001</v>
      </c>
      <c r="D89" s="63">
        <f>3.103 * CHOOSE(CONTROL!$C$22, $C$13, 100%, $E$13)</f>
        <v>3.1030000000000002</v>
      </c>
      <c r="E89" s="64">
        <f>3.6691 * CHOOSE(CONTROL!$C$22, $C$13, 100%, $E$13)</f>
        <v>3.6690999999999998</v>
      </c>
      <c r="F89" s="64">
        <f>3.6691 * CHOOSE(CONTROL!$C$22, $C$13, 100%, $E$13)</f>
        <v>3.6690999999999998</v>
      </c>
      <c r="G89" s="64">
        <f>3.6707 * CHOOSE(CONTROL!$C$22, $C$13, 100%, $E$13)</f>
        <v>3.6707000000000001</v>
      </c>
      <c r="H89" s="64">
        <f>6.5612* CHOOSE(CONTROL!$C$22, $C$13, 100%, $E$13)</f>
        <v>6.5612000000000004</v>
      </c>
      <c r="I89" s="64">
        <f>6.5628 * CHOOSE(CONTROL!$C$22, $C$13, 100%, $E$13)</f>
        <v>6.5628000000000002</v>
      </c>
      <c r="J89" s="64">
        <f>3.6691 * CHOOSE(CONTROL!$C$22, $C$13, 100%, $E$13)</f>
        <v>3.6690999999999998</v>
      </c>
      <c r="K89" s="64">
        <f>3.6707 * CHOOSE(CONTROL!$C$22, $C$13, 100%, $E$13)</f>
        <v>3.6707000000000001</v>
      </c>
      <c r="L89" s="4"/>
      <c r="M89" s="4"/>
      <c r="N89" s="4"/>
    </row>
    <row r="90" spans="1:14" ht="15">
      <c r="A90" s="13">
        <v>44378</v>
      </c>
      <c r="B90" s="63">
        <f>3.137 * CHOOSE(CONTROL!$C$22, $C$13, 100%, $E$13)</f>
        <v>3.137</v>
      </c>
      <c r="C90" s="63">
        <f>3.137 * CHOOSE(CONTROL!$C$22, $C$13, 100%, $E$13)</f>
        <v>3.137</v>
      </c>
      <c r="D90" s="63">
        <f>3.1627 * CHOOSE(CONTROL!$C$22, $C$13, 100%, $E$13)</f>
        <v>3.1627000000000001</v>
      </c>
      <c r="E90" s="64">
        <f>3.6976 * CHOOSE(CONTROL!$C$22, $C$13, 100%, $E$13)</f>
        <v>3.6976</v>
      </c>
      <c r="F90" s="64">
        <f>3.6976 * CHOOSE(CONTROL!$C$22, $C$13, 100%, $E$13)</f>
        <v>3.6976</v>
      </c>
      <c r="G90" s="64">
        <f>3.6993 * CHOOSE(CONTROL!$C$22, $C$13, 100%, $E$13)</f>
        <v>3.6993</v>
      </c>
      <c r="H90" s="64">
        <f>6.5749* CHOOSE(CONTROL!$C$22, $C$13, 100%, $E$13)</f>
        <v>6.5749000000000004</v>
      </c>
      <c r="I90" s="64">
        <f>6.5765 * CHOOSE(CONTROL!$C$22, $C$13, 100%, $E$13)</f>
        <v>6.5765000000000002</v>
      </c>
      <c r="J90" s="64">
        <f>3.6976 * CHOOSE(CONTROL!$C$22, $C$13, 100%, $E$13)</f>
        <v>3.6976</v>
      </c>
      <c r="K90" s="64">
        <f>3.6993 * CHOOSE(CONTROL!$C$22, $C$13, 100%, $E$13)</f>
        <v>3.6993</v>
      </c>
      <c r="L90" s="4"/>
      <c r="M90" s="4"/>
      <c r="N90" s="4"/>
    </row>
    <row r="91" spans="1:14" ht="15">
      <c r="A91" s="13">
        <v>44409</v>
      </c>
      <c r="B91" s="63">
        <f>3.1436 * CHOOSE(CONTROL!$C$22, $C$13, 100%, $E$13)</f>
        <v>3.1436000000000002</v>
      </c>
      <c r="C91" s="63">
        <f>3.1436 * CHOOSE(CONTROL!$C$22, $C$13, 100%, $E$13)</f>
        <v>3.1436000000000002</v>
      </c>
      <c r="D91" s="63">
        <f>3.1694 * CHOOSE(CONTROL!$C$22, $C$13, 100%, $E$13)</f>
        <v>3.1694</v>
      </c>
      <c r="E91" s="64">
        <f>3.6658 * CHOOSE(CONTROL!$C$22, $C$13, 100%, $E$13)</f>
        <v>3.6657999999999999</v>
      </c>
      <c r="F91" s="64">
        <f>3.6658 * CHOOSE(CONTROL!$C$22, $C$13, 100%, $E$13)</f>
        <v>3.6657999999999999</v>
      </c>
      <c r="G91" s="64">
        <f>3.6675 * CHOOSE(CONTROL!$C$22, $C$13, 100%, $E$13)</f>
        <v>3.6675</v>
      </c>
      <c r="H91" s="64">
        <f>6.5886* CHOOSE(CONTROL!$C$22, $C$13, 100%, $E$13)</f>
        <v>6.5885999999999996</v>
      </c>
      <c r="I91" s="64">
        <f>6.5902 * CHOOSE(CONTROL!$C$22, $C$13, 100%, $E$13)</f>
        <v>6.5902000000000003</v>
      </c>
      <c r="J91" s="64">
        <f>3.6658 * CHOOSE(CONTROL!$C$22, $C$13, 100%, $E$13)</f>
        <v>3.6657999999999999</v>
      </c>
      <c r="K91" s="64">
        <f>3.6675 * CHOOSE(CONTROL!$C$22, $C$13, 100%, $E$13)</f>
        <v>3.6675</v>
      </c>
      <c r="L91" s="4"/>
      <c r="M91" s="4"/>
      <c r="N91" s="4"/>
    </row>
    <row r="92" spans="1:14" ht="15">
      <c r="A92" s="13">
        <v>44440</v>
      </c>
      <c r="B92" s="63">
        <f>3.1406 * CHOOSE(CONTROL!$C$22, $C$13, 100%, $E$13)</f>
        <v>3.1406000000000001</v>
      </c>
      <c r="C92" s="63">
        <f>3.1406 * CHOOSE(CONTROL!$C$22, $C$13, 100%, $E$13)</f>
        <v>3.1406000000000001</v>
      </c>
      <c r="D92" s="63">
        <f>3.1663 * CHOOSE(CONTROL!$C$22, $C$13, 100%, $E$13)</f>
        <v>3.1663000000000001</v>
      </c>
      <c r="E92" s="64">
        <f>3.6597 * CHOOSE(CONTROL!$C$22, $C$13, 100%, $E$13)</f>
        <v>3.6597</v>
      </c>
      <c r="F92" s="64">
        <f>3.6597 * CHOOSE(CONTROL!$C$22, $C$13, 100%, $E$13)</f>
        <v>3.6597</v>
      </c>
      <c r="G92" s="64">
        <f>3.6613 * CHOOSE(CONTROL!$C$22, $C$13, 100%, $E$13)</f>
        <v>3.6613000000000002</v>
      </c>
      <c r="H92" s="64">
        <f>6.6023* CHOOSE(CONTROL!$C$22, $C$13, 100%, $E$13)</f>
        <v>6.6022999999999996</v>
      </c>
      <c r="I92" s="64">
        <f>6.6039 * CHOOSE(CONTROL!$C$22, $C$13, 100%, $E$13)</f>
        <v>6.6039000000000003</v>
      </c>
      <c r="J92" s="64">
        <f>3.6597 * CHOOSE(CONTROL!$C$22, $C$13, 100%, $E$13)</f>
        <v>3.6597</v>
      </c>
      <c r="K92" s="64">
        <f>3.6613 * CHOOSE(CONTROL!$C$22, $C$13, 100%, $E$13)</f>
        <v>3.6613000000000002</v>
      </c>
      <c r="L92" s="4"/>
      <c r="M92" s="4"/>
      <c r="N92" s="4"/>
    </row>
    <row r="93" spans="1:14" ht="15">
      <c r="A93" s="13">
        <v>44470</v>
      </c>
      <c r="B93" s="63">
        <f>3.1326 * CHOOSE(CONTROL!$C$22, $C$13, 100%, $E$13)</f>
        <v>3.1326000000000001</v>
      </c>
      <c r="C93" s="63">
        <f>3.1326 * CHOOSE(CONTROL!$C$22, $C$13, 100%, $E$13)</f>
        <v>3.1326000000000001</v>
      </c>
      <c r="D93" s="63">
        <f>3.1455 * CHOOSE(CONTROL!$C$22, $C$13, 100%, $E$13)</f>
        <v>3.1455000000000002</v>
      </c>
      <c r="E93" s="64">
        <f>3.6625 * CHOOSE(CONTROL!$C$22, $C$13, 100%, $E$13)</f>
        <v>3.6625000000000001</v>
      </c>
      <c r="F93" s="64">
        <f>3.6625 * CHOOSE(CONTROL!$C$22, $C$13, 100%, $E$13)</f>
        <v>3.6625000000000001</v>
      </c>
      <c r="G93" s="64">
        <f>3.6626 * CHOOSE(CONTROL!$C$22, $C$13, 100%, $E$13)</f>
        <v>3.6625999999999999</v>
      </c>
      <c r="H93" s="64">
        <f>6.616* CHOOSE(CONTROL!$C$22, $C$13, 100%, $E$13)</f>
        <v>6.6159999999999997</v>
      </c>
      <c r="I93" s="64">
        <f>6.6162 * CHOOSE(CONTROL!$C$22, $C$13, 100%, $E$13)</f>
        <v>6.6162000000000001</v>
      </c>
      <c r="J93" s="64">
        <f>3.6625 * CHOOSE(CONTROL!$C$22, $C$13, 100%, $E$13)</f>
        <v>3.6625000000000001</v>
      </c>
      <c r="K93" s="64">
        <f>3.6626 * CHOOSE(CONTROL!$C$22, $C$13, 100%, $E$13)</f>
        <v>3.6625999999999999</v>
      </c>
      <c r="L93" s="4"/>
      <c r="M93" s="4"/>
      <c r="N93" s="4"/>
    </row>
    <row r="94" spans="1:14" ht="15">
      <c r="A94" s="13">
        <v>44501</v>
      </c>
      <c r="B94" s="63">
        <f>3.1356 * CHOOSE(CONTROL!$C$22, $C$13, 100%, $E$13)</f>
        <v>3.1356000000000002</v>
      </c>
      <c r="C94" s="63">
        <f>3.1356 * CHOOSE(CONTROL!$C$22, $C$13, 100%, $E$13)</f>
        <v>3.1356000000000002</v>
      </c>
      <c r="D94" s="63">
        <f>3.1485 * CHOOSE(CONTROL!$C$22, $C$13, 100%, $E$13)</f>
        <v>3.1484999999999999</v>
      </c>
      <c r="E94" s="64">
        <f>3.6727 * CHOOSE(CONTROL!$C$22, $C$13, 100%, $E$13)</f>
        <v>3.6726999999999999</v>
      </c>
      <c r="F94" s="64">
        <f>3.6727 * CHOOSE(CONTROL!$C$22, $C$13, 100%, $E$13)</f>
        <v>3.6726999999999999</v>
      </c>
      <c r="G94" s="64">
        <f>3.6728 * CHOOSE(CONTROL!$C$22, $C$13, 100%, $E$13)</f>
        <v>3.6728000000000001</v>
      </c>
      <c r="H94" s="64">
        <f>6.6298* CHOOSE(CONTROL!$C$22, $C$13, 100%, $E$13)</f>
        <v>6.6298000000000004</v>
      </c>
      <c r="I94" s="64">
        <f>6.63 * CHOOSE(CONTROL!$C$22, $C$13, 100%, $E$13)</f>
        <v>6.63</v>
      </c>
      <c r="J94" s="64">
        <f>3.6727 * CHOOSE(CONTROL!$C$22, $C$13, 100%, $E$13)</f>
        <v>3.6726999999999999</v>
      </c>
      <c r="K94" s="64">
        <f>3.6728 * CHOOSE(CONTROL!$C$22, $C$13, 100%, $E$13)</f>
        <v>3.6728000000000001</v>
      </c>
      <c r="L94" s="4"/>
      <c r="M94" s="4"/>
      <c r="N94" s="4"/>
    </row>
    <row r="95" spans="1:14" ht="15">
      <c r="A95" s="13">
        <v>44531</v>
      </c>
      <c r="B95" s="63">
        <f>3.1356 * CHOOSE(CONTROL!$C$22, $C$13, 100%, $E$13)</f>
        <v>3.1356000000000002</v>
      </c>
      <c r="C95" s="63">
        <f>3.1356 * CHOOSE(CONTROL!$C$22, $C$13, 100%, $E$13)</f>
        <v>3.1356000000000002</v>
      </c>
      <c r="D95" s="63">
        <f>3.1485 * CHOOSE(CONTROL!$C$22, $C$13, 100%, $E$13)</f>
        <v>3.1484999999999999</v>
      </c>
      <c r="E95" s="64">
        <f>3.6524 * CHOOSE(CONTROL!$C$22, $C$13, 100%, $E$13)</f>
        <v>3.6524000000000001</v>
      </c>
      <c r="F95" s="64">
        <f>3.6524 * CHOOSE(CONTROL!$C$22, $C$13, 100%, $E$13)</f>
        <v>3.6524000000000001</v>
      </c>
      <c r="G95" s="64">
        <f>3.6526 * CHOOSE(CONTROL!$C$22, $C$13, 100%, $E$13)</f>
        <v>3.6526000000000001</v>
      </c>
      <c r="H95" s="64">
        <f>6.6436* CHOOSE(CONTROL!$C$22, $C$13, 100%, $E$13)</f>
        <v>6.6436000000000002</v>
      </c>
      <c r="I95" s="64">
        <f>6.6438 * CHOOSE(CONTROL!$C$22, $C$13, 100%, $E$13)</f>
        <v>6.6437999999999997</v>
      </c>
      <c r="J95" s="64">
        <f>3.6524 * CHOOSE(CONTROL!$C$22, $C$13, 100%, $E$13)</f>
        <v>3.6524000000000001</v>
      </c>
      <c r="K95" s="64">
        <f>3.6526 * CHOOSE(CONTROL!$C$22, $C$13, 100%, $E$13)</f>
        <v>3.6526000000000001</v>
      </c>
      <c r="L95" s="4"/>
      <c r="M95" s="4"/>
      <c r="N95" s="4"/>
    </row>
    <row r="96" spans="1:14" ht="15">
      <c r="A96" s="13">
        <v>44562</v>
      </c>
      <c r="B96" s="63">
        <f>3.1653 * CHOOSE(CONTROL!$C$22, $C$13, 100%, $E$13)</f>
        <v>3.1652999999999998</v>
      </c>
      <c r="C96" s="63">
        <f>3.1653 * CHOOSE(CONTROL!$C$22, $C$13, 100%, $E$13)</f>
        <v>3.1652999999999998</v>
      </c>
      <c r="D96" s="63">
        <f>3.1782 * CHOOSE(CONTROL!$C$22, $C$13, 100%, $E$13)</f>
        <v>3.1781999999999999</v>
      </c>
      <c r="E96" s="64">
        <f>3.7076 * CHOOSE(CONTROL!$C$22, $C$13, 100%, $E$13)</f>
        <v>3.7075999999999998</v>
      </c>
      <c r="F96" s="64">
        <f>3.7076 * CHOOSE(CONTROL!$C$22, $C$13, 100%, $E$13)</f>
        <v>3.7075999999999998</v>
      </c>
      <c r="G96" s="64">
        <f>3.7078 * CHOOSE(CONTROL!$C$22, $C$13, 100%, $E$13)</f>
        <v>3.7078000000000002</v>
      </c>
      <c r="H96" s="64">
        <f>6.6575* CHOOSE(CONTROL!$C$22, $C$13, 100%, $E$13)</f>
        <v>6.6574999999999998</v>
      </c>
      <c r="I96" s="64">
        <f>6.6577 * CHOOSE(CONTROL!$C$22, $C$13, 100%, $E$13)</f>
        <v>6.6577000000000002</v>
      </c>
      <c r="J96" s="64">
        <f>3.7076 * CHOOSE(CONTROL!$C$22, $C$13, 100%, $E$13)</f>
        <v>3.7075999999999998</v>
      </c>
      <c r="K96" s="64">
        <f>3.7078 * CHOOSE(CONTROL!$C$22, $C$13, 100%, $E$13)</f>
        <v>3.7078000000000002</v>
      </c>
      <c r="L96" s="4"/>
      <c r="M96" s="4"/>
      <c r="N96" s="4"/>
    </row>
    <row r="97" spans="1:14" ht="15">
      <c r="A97" s="13">
        <v>44593</v>
      </c>
      <c r="B97" s="63">
        <f>3.1623 * CHOOSE(CONTROL!$C$22, $C$13, 100%, $E$13)</f>
        <v>3.1623000000000001</v>
      </c>
      <c r="C97" s="63">
        <f>3.1623 * CHOOSE(CONTROL!$C$22, $C$13, 100%, $E$13)</f>
        <v>3.1623000000000001</v>
      </c>
      <c r="D97" s="63">
        <f>3.1752 * CHOOSE(CONTROL!$C$22, $C$13, 100%, $E$13)</f>
        <v>3.1751999999999998</v>
      </c>
      <c r="E97" s="64">
        <f>3.6651 * CHOOSE(CONTROL!$C$22, $C$13, 100%, $E$13)</f>
        <v>3.6650999999999998</v>
      </c>
      <c r="F97" s="64">
        <f>3.6651 * CHOOSE(CONTROL!$C$22, $C$13, 100%, $E$13)</f>
        <v>3.6650999999999998</v>
      </c>
      <c r="G97" s="64">
        <f>3.6653 * CHOOSE(CONTROL!$C$22, $C$13, 100%, $E$13)</f>
        <v>3.6652999999999998</v>
      </c>
      <c r="H97" s="64">
        <f>6.6713* CHOOSE(CONTROL!$C$22, $C$13, 100%, $E$13)</f>
        <v>6.6712999999999996</v>
      </c>
      <c r="I97" s="64">
        <f>6.6715 * CHOOSE(CONTROL!$C$22, $C$13, 100%, $E$13)</f>
        <v>6.6715</v>
      </c>
      <c r="J97" s="64">
        <f>3.6651 * CHOOSE(CONTROL!$C$22, $C$13, 100%, $E$13)</f>
        <v>3.6650999999999998</v>
      </c>
      <c r="K97" s="64">
        <f>3.6653 * CHOOSE(CONTROL!$C$22, $C$13, 100%, $E$13)</f>
        <v>3.6652999999999998</v>
      </c>
      <c r="L97" s="4"/>
      <c r="M97" s="4"/>
      <c r="N97" s="4"/>
    </row>
    <row r="98" spans="1:14" ht="15">
      <c r="A98" s="13">
        <v>44621</v>
      </c>
      <c r="B98" s="63">
        <f>3.1593 * CHOOSE(CONTROL!$C$22, $C$13, 100%, $E$13)</f>
        <v>3.1593</v>
      </c>
      <c r="C98" s="63">
        <f>3.1593 * CHOOSE(CONTROL!$C$22, $C$13, 100%, $E$13)</f>
        <v>3.1593</v>
      </c>
      <c r="D98" s="63">
        <f>3.1721 * CHOOSE(CONTROL!$C$22, $C$13, 100%, $E$13)</f>
        <v>3.1720999999999999</v>
      </c>
      <c r="E98" s="64">
        <f>3.6948 * CHOOSE(CONTROL!$C$22, $C$13, 100%, $E$13)</f>
        <v>3.6947999999999999</v>
      </c>
      <c r="F98" s="64">
        <f>3.6948 * CHOOSE(CONTROL!$C$22, $C$13, 100%, $E$13)</f>
        <v>3.6947999999999999</v>
      </c>
      <c r="G98" s="64">
        <f>3.695 * CHOOSE(CONTROL!$C$22, $C$13, 100%, $E$13)</f>
        <v>3.6949999999999998</v>
      </c>
      <c r="H98" s="64">
        <f>6.6852* CHOOSE(CONTROL!$C$22, $C$13, 100%, $E$13)</f>
        <v>6.6852</v>
      </c>
      <c r="I98" s="64">
        <f>6.6854 * CHOOSE(CONTROL!$C$22, $C$13, 100%, $E$13)</f>
        <v>6.6853999999999996</v>
      </c>
      <c r="J98" s="64">
        <f>3.6948 * CHOOSE(CONTROL!$C$22, $C$13, 100%, $E$13)</f>
        <v>3.6947999999999999</v>
      </c>
      <c r="K98" s="64">
        <f>3.695 * CHOOSE(CONTROL!$C$22, $C$13, 100%, $E$13)</f>
        <v>3.6949999999999998</v>
      </c>
      <c r="L98" s="4"/>
      <c r="M98" s="4"/>
      <c r="N98" s="4"/>
    </row>
    <row r="99" spans="1:14" ht="15">
      <c r="A99" s="13">
        <v>44652</v>
      </c>
      <c r="B99" s="63">
        <f>3.1561 * CHOOSE(CONTROL!$C$22, $C$13, 100%, $E$13)</f>
        <v>3.1560999999999999</v>
      </c>
      <c r="C99" s="63">
        <f>3.1561 * CHOOSE(CONTROL!$C$22, $C$13, 100%, $E$13)</f>
        <v>3.1560999999999999</v>
      </c>
      <c r="D99" s="63">
        <f>3.169 * CHOOSE(CONTROL!$C$22, $C$13, 100%, $E$13)</f>
        <v>3.169</v>
      </c>
      <c r="E99" s="64">
        <f>3.7248 * CHOOSE(CONTROL!$C$22, $C$13, 100%, $E$13)</f>
        <v>3.7248000000000001</v>
      </c>
      <c r="F99" s="64">
        <f>3.7248 * CHOOSE(CONTROL!$C$22, $C$13, 100%, $E$13)</f>
        <v>3.7248000000000001</v>
      </c>
      <c r="G99" s="64">
        <f>3.7249 * CHOOSE(CONTROL!$C$22, $C$13, 100%, $E$13)</f>
        <v>3.7248999999999999</v>
      </c>
      <c r="H99" s="64">
        <f>6.6992* CHOOSE(CONTROL!$C$22, $C$13, 100%, $E$13)</f>
        <v>6.6992000000000003</v>
      </c>
      <c r="I99" s="64">
        <f>6.6994 * CHOOSE(CONTROL!$C$22, $C$13, 100%, $E$13)</f>
        <v>6.6993999999999998</v>
      </c>
      <c r="J99" s="64">
        <f>3.7248 * CHOOSE(CONTROL!$C$22, $C$13, 100%, $E$13)</f>
        <v>3.7248000000000001</v>
      </c>
      <c r="K99" s="64">
        <f>3.7249 * CHOOSE(CONTROL!$C$22, $C$13, 100%, $E$13)</f>
        <v>3.7248999999999999</v>
      </c>
      <c r="L99" s="4"/>
      <c r="M99" s="4"/>
      <c r="N99" s="4"/>
    </row>
    <row r="100" spans="1:14" ht="15">
      <c r="A100" s="13">
        <v>44682</v>
      </c>
      <c r="B100" s="63">
        <f>3.1561 * CHOOSE(CONTROL!$C$22, $C$13, 100%, $E$13)</f>
        <v>3.1560999999999999</v>
      </c>
      <c r="C100" s="63">
        <f>3.1561 * CHOOSE(CONTROL!$C$22, $C$13, 100%, $E$13)</f>
        <v>3.1560999999999999</v>
      </c>
      <c r="D100" s="63">
        <f>3.1819 * CHOOSE(CONTROL!$C$22, $C$13, 100%, $E$13)</f>
        <v>3.1819000000000002</v>
      </c>
      <c r="E100" s="64">
        <f>3.7376 * CHOOSE(CONTROL!$C$22, $C$13, 100%, $E$13)</f>
        <v>3.7376</v>
      </c>
      <c r="F100" s="64">
        <f>3.7376 * CHOOSE(CONTROL!$C$22, $C$13, 100%, $E$13)</f>
        <v>3.7376</v>
      </c>
      <c r="G100" s="64">
        <f>3.7392 * CHOOSE(CONTROL!$C$22, $C$13, 100%, $E$13)</f>
        <v>3.7391999999999999</v>
      </c>
      <c r="H100" s="64">
        <f>6.7131* CHOOSE(CONTROL!$C$22, $C$13, 100%, $E$13)</f>
        <v>6.7130999999999998</v>
      </c>
      <c r="I100" s="64">
        <f>6.7148 * CHOOSE(CONTROL!$C$22, $C$13, 100%, $E$13)</f>
        <v>6.7148000000000003</v>
      </c>
      <c r="J100" s="64">
        <f>3.7376 * CHOOSE(CONTROL!$C$22, $C$13, 100%, $E$13)</f>
        <v>3.7376</v>
      </c>
      <c r="K100" s="64">
        <f>3.7392 * CHOOSE(CONTROL!$C$22, $C$13, 100%, $E$13)</f>
        <v>3.7391999999999999</v>
      </c>
      <c r="L100" s="4"/>
      <c r="M100" s="4"/>
      <c r="N100" s="4"/>
    </row>
    <row r="101" spans="1:14" ht="15">
      <c r="A101" s="13">
        <v>44713</v>
      </c>
      <c r="B101" s="63">
        <f>3.1622 * CHOOSE(CONTROL!$C$22, $C$13, 100%, $E$13)</f>
        <v>3.1621999999999999</v>
      </c>
      <c r="C101" s="63">
        <f>3.1622 * CHOOSE(CONTROL!$C$22, $C$13, 100%, $E$13)</f>
        <v>3.1621999999999999</v>
      </c>
      <c r="D101" s="63">
        <f>3.188 * CHOOSE(CONTROL!$C$22, $C$13, 100%, $E$13)</f>
        <v>3.1880000000000002</v>
      </c>
      <c r="E101" s="64">
        <f>3.729 * CHOOSE(CONTROL!$C$22, $C$13, 100%, $E$13)</f>
        <v>3.7290000000000001</v>
      </c>
      <c r="F101" s="64">
        <f>3.729 * CHOOSE(CONTROL!$C$22, $C$13, 100%, $E$13)</f>
        <v>3.7290000000000001</v>
      </c>
      <c r="G101" s="64">
        <f>3.7306 * CHOOSE(CONTROL!$C$22, $C$13, 100%, $E$13)</f>
        <v>3.7305999999999999</v>
      </c>
      <c r="H101" s="64">
        <f>6.7271* CHOOSE(CONTROL!$C$22, $C$13, 100%, $E$13)</f>
        <v>6.7271000000000001</v>
      </c>
      <c r="I101" s="64">
        <f>6.7288 * CHOOSE(CONTROL!$C$22, $C$13, 100%, $E$13)</f>
        <v>6.7287999999999997</v>
      </c>
      <c r="J101" s="64">
        <f>3.729 * CHOOSE(CONTROL!$C$22, $C$13, 100%, $E$13)</f>
        <v>3.7290000000000001</v>
      </c>
      <c r="K101" s="64">
        <f>3.7306 * CHOOSE(CONTROL!$C$22, $C$13, 100%, $E$13)</f>
        <v>3.7305999999999999</v>
      </c>
      <c r="L101" s="4"/>
      <c r="M101" s="4"/>
      <c r="N101" s="4"/>
    </row>
    <row r="102" spans="1:14" ht="15">
      <c r="A102" s="13">
        <v>44743</v>
      </c>
      <c r="B102" s="63">
        <f>3.2179 * CHOOSE(CONTROL!$C$22, $C$13, 100%, $E$13)</f>
        <v>3.2179000000000002</v>
      </c>
      <c r="C102" s="63">
        <f>3.2179 * CHOOSE(CONTROL!$C$22, $C$13, 100%, $E$13)</f>
        <v>3.2179000000000002</v>
      </c>
      <c r="D102" s="63">
        <f>3.2436 * CHOOSE(CONTROL!$C$22, $C$13, 100%, $E$13)</f>
        <v>3.2435999999999998</v>
      </c>
      <c r="E102" s="64">
        <f>3.796 * CHOOSE(CONTROL!$C$22, $C$13, 100%, $E$13)</f>
        <v>3.7959999999999998</v>
      </c>
      <c r="F102" s="64">
        <f>3.796 * CHOOSE(CONTROL!$C$22, $C$13, 100%, $E$13)</f>
        <v>3.7959999999999998</v>
      </c>
      <c r="G102" s="64">
        <f>3.7977 * CHOOSE(CONTROL!$C$22, $C$13, 100%, $E$13)</f>
        <v>3.7976999999999999</v>
      </c>
      <c r="H102" s="64">
        <f>6.7411* CHOOSE(CONTROL!$C$22, $C$13, 100%, $E$13)</f>
        <v>6.7411000000000003</v>
      </c>
      <c r="I102" s="64">
        <f>6.7428 * CHOOSE(CONTROL!$C$22, $C$13, 100%, $E$13)</f>
        <v>6.7427999999999999</v>
      </c>
      <c r="J102" s="64">
        <f>3.796 * CHOOSE(CONTROL!$C$22, $C$13, 100%, $E$13)</f>
        <v>3.7959999999999998</v>
      </c>
      <c r="K102" s="64">
        <f>3.7977 * CHOOSE(CONTROL!$C$22, $C$13, 100%, $E$13)</f>
        <v>3.7976999999999999</v>
      </c>
      <c r="L102" s="4"/>
      <c r="M102" s="4"/>
      <c r="N102" s="4"/>
    </row>
    <row r="103" spans="1:14" ht="15">
      <c r="A103" s="13">
        <v>44774</v>
      </c>
      <c r="B103" s="63">
        <f>3.2245 * CHOOSE(CONTROL!$C$22, $C$13, 100%, $E$13)</f>
        <v>3.2244999999999999</v>
      </c>
      <c r="C103" s="63">
        <f>3.2245 * CHOOSE(CONTROL!$C$22, $C$13, 100%, $E$13)</f>
        <v>3.2244999999999999</v>
      </c>
      <c r="D103" s="63">
        <f>3.2503 * CHOOSE(CONTROL!$C$22, $C$13, 100%, $E$13)</f>
        <v>3.2503000000000002</v>
      </c>
      <c r="E103" s="64">
        <f>3.7622 * CHOOSE(CONTROL!$C$22, $C$13, 100%, $E$13)</f>
        <v>3.7622</v>
      </c>
      <c r="F103" s="64">
        <f>3.7622 * CHOOSE(CONTROL!$C$22, $C$13, 100%, $E$13)</f>
        <v>3.7622</v>
      </c>
      <c r="G103" s="64">
        <f>3.7639 * CHOOSE(CONTROL!$C$22, $C$13, 100%, $E$13)</f>
        <v>3.7639</v>
      </c>
      <c r="H103" s="64">
        <f>6.7552* CHOOSE(CONTROL!$C$22, $C$13, 100%, $E$13)</f>
        <v>6.7552000000000003</v>
      </c>
      <c r="I103" s="64">
        <f>6.7568 * CHOOSE(CONTROL!$C$22, $C$13, 100%, $E$13)</f>
        <v>6.7568000000000001</v>
      </c>
      <c r="J103" s="64">
        <f>3.7622 * CHOOSE(CONTROL!$C$22, $C$13, 100%, $E$13)</f>
        <v>3.7622</v>
      </c>
      <c r="K103" s="64">
        <f>3.7639 * CHOOSE(CONTROL!$C$22, $C$13, 100%, $E$13)</f>
        <v>3.7639</v>
      </c>
      <c r="L103" s="4"/>
      <c r="M103" s="4"/>
      <c r="N103" s="4"/>
    </row>
    <row r="104" spans="1:14" ht="15">
      <c r="A104" s="13">
        <v>44805</v>
      </c>
      <c r="B104" s="63">
        <f>3.2215 * CHOOSE(CONTROL!$C$22, $C$13, 100%, $E$13)</f>
        <v>3.2214999999999998</v>
      </c>
      <c r="C104" s="63">
        <f>3.2215 * CHOOSE(CONTROL!$C$22, $C$13, 100%, $E$13)</f>
        <v>3.2214999999999998</v>
      </c>
      <c r="D104" s="63">
        <f>3.2472 * CHOOSE(CONTROL!$C$22, $C$13, 100%, $E$13)</f>
        <v>3.2471999999999999</v>
      </c>
      <c r="E104" s="64">
        <f>3.7558 * CHOOSE(CONTROL!$C$22, $C$13, 100%, $E$13)</f>
        <v>3.7557999999999998</v>
      </c>
      <c r="F104" s="64">
        <f>3.7558 * CHOOSE(CONTROL!$C$22, $C$13, 100%, $E$13)</f>
        <v>3.7557999999999998</v>
      </c>
      <c r="G104" s="64">
        <f>3.7575 * CHOOSE(CONTROL!$C$22, $C$13, 100%, $E$13)</f>
        <v>3.7574999999999998</v>
      </c>
      <c r="H104" s="64">
        <f>6.7692* CHOOSE(CONTROL!$C$22, $C$13, 100%, $E$13)</f>
        <v>6.7691999999999997</v>
      </c>
      <c r="I104" s="64">
        <f>6.7709 * CHOOSE(CONTROL!$C$22, $C$13, 100%, $E$13)</f>
        <v>6.7709000000000001</v>
      </c>
      <c r="J104" s="64">
        <f>3.7558 * CHOOSE(CONTROL!$C$22, $C$13, 100%, $E$13)</f>
        <v>3.7557999999999998</v>
      </c>
      <c r="K104" s="64">
        <f>3.7575 * CHOOSE(CONTROL!$C$22, $C$13, 100%, $E$13)</f>
        <v>3.7574999999999998</v>
      </c>
      <c r="L104" s="4"/>
      <c r="M104" s="4"/>
      <c r="N104" s="4"/>
    </row>
    <row r="105" spans="1:14" ht="15">
      <c r="A105" s="13">
        <v>44835</v>
      </c>
      <c r="B105" s="63">
        <f>3.2138 * CHOOSE(CONTROL!$C$22, $C$13, 100%, $E$13)</f>
        <v>3.2138</v>
      </c>
      <c r="C105" s="63">
        <f>3.2138 * CHOOSE(CONTROL!$C$22, $C$13, 100%, $E$13)</f>
        <v>3.2138</v>
      </c>
      <c r="D105" s="63">
        <f>3.2267 * CHOOSE(CONTROL!$C$22, $C$13, 100%, $E$13)</f>
        <v>3.2267000000000001</v>
      </c>
      <c r="E105" s="64">
        <f>3.7595 * CHOOSE(CONTROL!$C$22, $C$13, 100%, $E$13)</f>
        <v>3.7595000000000001</v>
      </c>
      <c r="F105" s="64">
        <f>3.7595 * CHOOSE(CONTROL!$C$22, $C$13, 100%, $E$13)</f>
        <v>3.7595000000000001</v>
      </c>
      <c r="G105" s="64">
        <f>3.7597 * CHOOSE(CONTROL!$C$22, $C$13, 100%, $E$13)</f>
        <v>3.7597</v>
      </c>
      <c r="H105" s="64">
        <f>6.7834* CHOOSE(CONTROL!$C$22, $C$13, 100%, $E$13)</f>
        <v>6.7834000000000003</v>
      </c>
      <c r="I105" s="64">
        <f>6.7835 * CHOOSE(CONTROL!$C$22, $C$13, 100%, $E$13)</f>
        <v>6.7835000000000001</v>
      </c>
      <c r="J105" s="64">
        <f>3.7595 * CHOOSE(CONTROL!$C$22, $C$13, 100%, $E$13)</f>
        <v>3.7595000000000001</v>
      </c>
      <c r="K105" s="64">
        <f>3.7597 * CHOOSE(CONTROL!$C$22, $C$13, 100%, $E$13)</f>
        <v>3.7597</v>
      </c>
      <c r="L105" s="4"/>
      <c r="M105" s="4"/>
      <c r="N105" s="4"/>
    </row>
    <row r="106" spans="1:14" ht="15">
      <c r="A106" s="13">
        <v>44866</v>
      </c>
      <c r="B106" s="63">
        <f>3.2169 * CHOOSE(CONTROL!$C$22, $C$13, 100%, $E$13)</f>
        <v>3.2168999999999999</v>
      </c>
      <c r="C106" s="63">
        <f>3.2169 * CHOOSE(CONTROL!$C$22, $C$13, 100%, $E$13)</f>
        <v>3.2168999999999999</v>
      </c>
      <c r="D106" s="63">
        <f>3.2297 * CHOOSE(CONTROL!$C$22, $C$13, 100%, $E$13)</f>
        <v>3.2296999999999998</v>
      </c>
      <c r="E106" s="64">
        <f>3.7702 * CHOOSE(CONTROL!$C$22, $C$13, 100%, $E$13)</f>
        <v>3.7702</v>
      </c>
      <c r="F106" s="64">
        <f>3.7702 * CHOOSE(CONTROL!$C$22, $C$13, 100%, $E$13)</f>
        <v>3.7702</v>
      </c>
      <c r="G106" s="64">
        <f>3.7703 * CHOOSE(CONTROL!$C$22, $C$13, 100%, $E$13)</f>
        <v>3.7703000000000002</v>
      </c>
      <c r="H106" s="64">
        <f>6.7975* CHOOSE(CONTROL!$C$22, $C$13, 100%, $E$13)</f>
        <v>6.7975000000000003</v>
      </c>
      <c r="I106" s="64">
        <f>6.7977 * CHOOSE(CONTROL!$C$22, $C$13, 100%, $E$13)</f>
        <v>6.7976999999999999</v>
      </c>
      <c r="J106" s="64">
        <f>3.7702 * CHOOSE(CONTROL!$C$22, $C$13, 100%, $E$13)</f>
        <v>3.7702</v>
      </c>
      <c r="K106" s="64">
        <f>3.7703 * CHOOSE(CONTROL!$C$22, $C$13, 100%, $E$13)</f>
        <v>3.7703000000000002</v>
      </c>
      <c r="L106" s="4"/>
      <c r="M106" s="4"/>
      <c r="N106" s="4"/>
    </row>
    <row r="107" spans="1:14" ht="15">
      <c r="A107" s="13">
        <v>44896</v>
      </c>
      <c r="B107" s="63">
        <f>3.2169 * CHOOSE(CONTROL!$C$22, $C$13, 100%, $E$13)</f>
        <v>3.2168999999999999</v>
      </c>
      <c r="C107" s="63">
        <f>3.2169 * CHOOSE(CONTROL!$C$22, $C$13, 100%, $E$13)</f>
        <v>3.2168999999999999</v>
      </c>
      <c r="D107" s="63">
        <f>3.2297 * CHOOSE(CONTROL!$C$22, $C$13, 100%, $E$13)</f>
        <v>3.2296999999999998</v>
      </c>
      <c r="E107" s="64">
        <f>3.7488 * CHOOSE(CONTROL!$C$22, $C$13, 100%, $E$13)</f>
        <v>3.7488000000000001</v>
      </c>
      <c r="F107" s="64">
        <f>3.7488 * CHOOSE(CONTROL!$C$22, $C$13, 100%, $E$13)</f>
        <v>3.7488000000000001</v>
      </c>
      <c r="G107" s="64">
        <f>3.749 * CHOOSE(CONTROL!$C$22, $C$13, 100%, $E$13)</f>
        <v>3.7490000000000001</v>
      </c>
      <c r="H107" s="64">
        <f>6.8116* CHOOSE(CONTROL!$C$22, $C$13, 100%, $E$13)</f>
        <v>6.8116000000000003</v>
      </c>
      <c r="I107" s="64">
        <f>6.8118 * CHOOSE(CONTROL!$C$22, $C$13, 100%, $E$13)</f>
        <v>6.8117999999999999</v>
      </c>
      <c r="J107" s="64">
        <f>3.7488 * CHOOSE(CONTROL!$C$22, $C$13, 100%, $E$13)</f>
        <v>3.7488000000000001</v>
      </c>
      <c r="K107" s="64">
        <f>3.749 * CHOOSE(CONTROL!$C$22, $C$13, 100%, $E$13)</f>
        <v>3.7490000000000001</v>
      </c>
      <c r="L107" s="4"/>
      <c r="M107" s="4"/>
      <c r="N107" s="4"/>
    </row>
    <row r="108" spans="1:14" ht="15">
      <c r="A108" s="13">
        <v>44927</v>
      </c>
      <c r="B108" s="63">
        <f>3.2478 * CHOOSE(CONTROL!$C$22, $C$13, 100%, $E$13)</f>
        <v>3.2477999999999998</v>
      </c>
      <c r="C108" s="63">
        <f>3.2478 * CHOOSE(CONTROL!$C$22, $C$13, 100%, $E$13)</f>
        <v>3.2477999999999998</v>
      </c>
      <c r="D108" s="63">
        <f>3.2607 * CHOOSE(CONTROL!$C$22, $C$13, 100%, $E$13)</f>
        <v>3.2606999999999999</v>
      </c>
      <c r="E108" s="64">
        <f>3.7975 * CHOOSE(CONTROL!$C$22, $C$13, 100%, $E$13)</f>
        <v>3.7974999999999999</v>
      </c>
      <c r="F108" s="64">
        <f>3.7975 * CHOOSE(CONTROL!$C$22, $C$13, 100%, $E$13)</f>
        <v>3.7974999999999999</v>
      </c>
      <c r="G108" s="64">
        <f>3.7977 * CHOOSE(CONTROL!$C$22, $C$13, 100%, $E$13)</f>
        <v>3.7976999999999999</v>
      </c>
      <c r="H108" s="64">
        <f>6.8258* CHOOSE(CONTROL!$C$22, $C$13, 100%, $E$13)</f>
        <v>6.8258000000000001</v>
      </c>
      <c r="I108" s="64">
        <f>6.826 * CHOOSE(CONTROL!$C$22, $C$13, 100%, $E$13)</f>
        <v>6.8259999999999996</v>
      </c>
      <c r="J108" s="64">
        <f>3.7975 * CHOOSE(CONTROL!$C$22, $C$13, 100%, $E$13)</f>
        <v>3.7974999999999999</v>
      </c>
      <c r="K108" s="64">
        <f>3.7977 * CHOOSE(CONTROL!$C$22, $C$13, 100%, $E$13)</f>
        <v>3.7976999999999999</v>
      </c>
      <c r="L108" s="4"/>
      <c r="M108" s="4"/>
      <c r="N108" s="4"/>
    </row>
    <row r="109" spans="1:14" ht="15">
      <c r="A109" s="13">
        <v>44958</v>
      </c>
      <c r="B109" s="63">
        <f>3.2448 * CHOOSE(CONTROL!$C$22, $C$13, 100%, $E$13)</f>
        <v>3.2448000000000001</v>
      </c>
      <c r="C109" s="63">
        <f>3.2448 * CHOOSE(CONTROL!$C$22, $C$13, 100%, $E$13)</f>
        <v>3.2448000000000001</v>
      </c>
      <c r="D109" s="63">
        <f>3.2577 * CHOOSE(CONTROL!$C$22, $C$13, 100%, $E$13)</f>
        <v>3.2576999999999998</v>
      </c>
      <c r="E109" s="64">
        <f>3.7528 * CHOOSE(CONTROL!$C$22, $C$13, 100%, $E$13)</f>
        <v>3.7528000000000001</v>
      </c>
      <c r="F109" s="64">
        <f>3.7528 * CHOOSE(CONTROL!$C$22, $C$13, 100%, $E$13)</f>
        <v>3.7528000000000001</v>
      </c>
      <c r="G109" s="64">
        <f>3.753 * CHOOSE(CONTROL!$C$22, $C$13, 100%, $E$13)</f>
        <v>3.7530000000000001</v>
      </c>
      <c r="H109" s="64">
        <f>6.8401* CHOOSE(CONTROL!$C$22, $C$13, 100%, $E$13)</f>
        <v>6.8400999999999996</v>
      </c>
      <c r="I109" s="64">
        <f>6.8402 * CHOOSE(CONTROL!$C$22, $C$13, 100%, $E$13)</f>
        <v>6.8402000000000003</v>
      </c>
      <c r="J109" s="64">
        <f>3.7528 * CHOOSE(CONTROL!$C$22, $C$13, 100%, $E$13)</f>
        <v>3.7528000000000001</v>
      </c>
      <c r="K109" s="64">
        <f>3.753 * CHOOSE(CONTROL!$C$22, $C$13, 100%, $E$13)</f>
        <v>3.7530000000000001</v>
      </c>
      <c r="L109" s="4"/>
      <c r="M109" s="4"/>
      <c r="N109" s="4"/>
    </row>
    <row r="110" spans="1:14" ht="15">
      <c r="A110" s="13">
        <v>44986</v>
      </c>
      <c r="B110" s="63">
        <f>3.2417 * CHOOSE(CONTROL!$C$22, $C$13, 100%, $E$13)</f>
        <v>3.2416999999999998</v>
      </c>
      <c r="C110" s="63">
        <f>3.2417 * CHOOSE(CONTROL!$C$22, $C$13, 100%, $E$13)</f>
        <v>3.2416999999999998</v>
      </c>
      <c r="D110" s="63">
        <f>3.2546 * CHOOSE(CONTROL!$C$22, $C$13, 100%, $E$13)</f>
        <v>3.2545999999999999</v>
      </c>
      <c r="E110" s="64">
        <f>3.7843 * CHOOSE(CONTROL!$C$22, $C$13, 100%, $E$13)</f>
        <v>3.7843</v>
      </c>
      <c r="F110" s="64">
        <f>3.7843 * CHOOSE(CONTROL!$C$22, $C$13, 100%, $E$13)</f>
        <v>3.7843</v>
      </c>
      <c r="G110" s="64">
        <f>3.7844 * CHOOSE(CONTROL!$C$22, $C$13, 100%, $E$13)</f>
        <v>3.7844000000000002</v>
      </c>
      <c r="H110" s="64">
        <f>6.8543* CHOOSE(CONTROL!$C$22, $C$13, 100%, $E$13)</f>
        <v>6.8543000000000003</v>
      </c>
      <c r="I110" s="64">
        <f>6.8545 * CHOOSE(CONTROL!$C$22, $C$13, 100%, $E$13)</f>
        <v>6.8544999999999998</v>
      </c>
      <c r="J110" s="64">
        <f>3.7843 * CHOOSE(CONTROL!$C$22, $C$13, 100%, $E$13)</f>
        <v>3.7843</v>
      </c>
      <c r="K110" s="64">
        <f>3.7844 * CHOOSE(CONTROL!$C$22, $C$13, 100%, $E$13)</f>
        <v>3.7844000000000002</v>
      </c>
      <c r="L110" s="4"/>
      <c r="M110" s="4"/>
      <c r="N110" s="4"/>
    </row>
    <row r="111" spans="1:14" ht="15">
      <c r="A111" s="13">
        <v>45017</v>
      </c>
      <c r="B111" s="63">
        <f>3.2387 * CHOOSE(CONTROL!$C$22, $C$13, 100%, $E$13)</f>
        <v>3.2387000000000001</v>
      </c>
      <c r="C111" s="63">
        <f>3.2387 * CHOOSE(CONTROL!$C$22, $C$13, 100%, $E$13)</f>
        <v>3.2387000000000001</v>
      </c>
      <c r="D111" s="63">
        <f>3.2516 * CHOOSE(CONTROL!$C$22, $C$13, 100%, $E$13)</f>
        <v>3.2515999999999998</v>
      </c>
      <c r="E111" s="64">
        <f>3.816 * CHOOSE(CONTROL!$C$22, $C$13, 100%, $E$13)</f>
        <v>3.8159999999999998</v>
      </c>
      <c r="F111" s="64">
        <f>3.816 * CHOOSE(CONTROL!$C$22, $C$13, 100%, $E$13)</f>
        <v>3.8159999999999998</v>
      </c>
      <c r="G111" s="64">
        <f>3.8162 * CHOOSE(CONTROL!$C$22, $C$13, 100%, $E$13)</f>
        <v>3.8161999999999998</v>
      </c>
      <c r="H111" s="64">
        <f>6.8686* CHOOSE(CONTROL!$C$22, $C$13, 100%, $E$13)</f>
        <v>6.8685999999999998</v>
      </c>
      <c r="I111" s="64">
        <f>6.8688 * CHOOSE(CONTROL!$C$22, $C$13, 100%, $E$13)</f>
        <v>6.8688000000000002</v>
      </c>
      <c r="J111" s="64">
        <f>3.816 * CHOOSE(CONTROL!$C$22, $C$13, 100%, $E$13)</f>
        <v>3.8159999999999998</v>
      </c>
      <c r="K111" s="64">
        <f>3.8162 * CHOOSE(CONTROL!$C$22, $C$13, 100%, $E$13)</f>
        <v>3.8161999999999998</v>
      </c>
      <c r="L111" s="4"/>
      <c r="M111" s="4"/>
      <c r="N111" s="4"/>
    </row>
    <row r="112" spans="1:14" ht="15">
      <c r="A112" s="13">
        <v>45047</v>
      </c>
      <c r="B112" s="63">
        <f>3.2387 * CHOOSE(CONTROL!$C$22, $C$13, 100%, $E$13)</f>
        <v>3.2387000000000001</v>
      </c>
      <c r="C112" s="63">
        <f>3.2387 * CHOOSE(CONTROL!$C$22, $C$13, 100%, $E$13)</f>
        <v>3.2387000000000001</v>
      </c>
      <c r="D112" s="63">
        <f>3.2644 * CHOOSE(CONTROL!$C$22, $C$13, 100%, $E$13)</f>
        <v>3.2644000000000002</v>
      </c>
      <c r="E112" s="64">
        <f>3.8295 * CHOOSE(CONTROL!$C$22, $C$13, 100%, $E$13)</f>
        <v>3.8294999999999999</v>
      </c>
      <c r="F112" s="64">
        <f>3.8295 * CHOOSE(CONTROL!$C$22, $C$13, 100%, $E$13)</f>
        <v>3.8294999999999999</v>
      </c>
      <c r="G112" s="64">
        <f>3.8312 * CHOOSE(CONTROL!$C$22, $C$13, 100%, $E$13)</f>
        <v>3.8311999999999999</v>
      </c>
      <c r="H112" s="64">
        <f>6.8829* CHOOSE(CONTROL!$C$22, $C$13, 100%, $E$13)</f>
        <v>6.8829000000000002</v>
      </c>
      <c r="I112" s="64">
        <f>6.8845 * CHOOSE(CONTROL!$C$22, $C$13, 100%, $E$13)</f>
        <v>6.8845000000000001</v>
      </c>
      <c r="J112" s="64">
        <f>3.8295 * CHOOSE(CONTROL!$C$22, $C$13, 100%, $E$13)</f>
        <v>3.8294999999999999</v>
      </c>
      <c r="K112" s="64">
        <f>3.8312 * CHOOSE(CONTROL!$C$22, $C$13, 100%, $E$13)</f>
        <v>3.8311999999999999</v>
      </c>
      <c r="L112" s="4"/>
      <c r="M112" s="4"/>
      <c r="N112" s="4"/>
    </row>
    <row r="113" spans="1:14" ht="15">
      <c r="A113" s="13">
        <v>45078</v>
      </c>
      <c r="B113" s="63">
        <f>3.2448 * CHOOSE(CONTROL!$C$22, $C$13, 100%, $E$13)</f>
        <v>3.2448000000000001</v>
      </c>
      <c r="C113" s="63">
        <f>3.2448 * CHOOSE(CONTROL!$C$22, $C$13, 100%, $E$13)</f>
        <v>3.2448000000000001</v>
      </c>
      <c r="D113" s="63">
        <f>3.2705 * CHOOSE(CONTROL!$C$22, $C$13, 100%, $E$13)</f>
        <v>3.2705000000000002</v>
      </c>
      <c r="E113" s="64">
        <f>3.8203 * CHOOSE(CONTROL!$C$22, $C$13, 100%, $E$13)</f>
        <v>3.8203</v>
      </c>
      <c r="F113" s="64">
        <f>3.8203 * CHOOSE(CONTROL!$C$22, $C$13, 100%, $E$13)</f>
        <v>3.8203</v>
      </c>
      <c r="G113" s="64">
        <f>3.8219 * CHOOSE(CONTROL!$C$22, $C$13, 100%, $E$13)</f>
        <v>3.8218999999999999</v>
      </c>
      <c r="H113" s="64">
        <f>6.8972* CHOOSE(CONTROL!$C$22, $C$13, 100%, $E$13)</f>
        <v>6.8971999999999998</v>
      </c>
      <c r="I113" s="64">
        <f>6.8989 * CHOOSE(CONTROL!$C$22, $C$13, 100%, $E$13)</f>
        <v>6.8989000000000003</v>
      </c>
      <c r="J113" s="64">
        <f>3.8203 * CHOOSE(CONTROL!$C$22, $C$13, 100%, $E$13)</f>
        <v>3.8203</v>
      </c>
      <c r="K113" s="64">
        <f>3.8219 * CHOOSE(CONTROL!$C$22, $C$13, 100%, $E$13)</f>
        <v>3.8218999999999999</v>
      </c>
      <c r="L113" s="4"/>
      <c r="M113" s="4"/>
      <c r="N113" s="4"/>
    </row>
    <row r="114" spans="1:14" ht="15">
      <c r="A114" s="13">
        <v>45108</v>
      </c>
      <c r="B114" s="63">
        <f>3.3031 * CHOOSE(CONTROL!$C$22, $C$13, 100%, $E$13)</f>
        <v>3.3031000000000001</v>
      </c>
      <c r="C114" s="63">
        <f>3.3031 * CHOOSE(CONTROL!$C$22, $C$13, 100%, $E$13)</f>
        <v>3.3031000000000001</v>
      </c>
      <c r="D114" s="63">
        <f>3.3288 * CHOOSE(CONTROL!$C$22, $C$13, 100%, $E$13)</f>
        <v>3.3288000000000002</v>
      </c>
      <c r="E114" s="64">
        <f>3.8691 * CHOOSE(CONTROL!$C$22, $C$13, 100%, $E$13)</f>
        <v>3.8691</v>
      </c>
      <c r="F114" s="64">
        <f>3.8691 * CHOOSE(CONTROL!$C$22, $C$13, 100%, $E$13)</f>
        <v>3.8691</v>
      </c>
      <c r="G114" s="64">
        <f>3.8707 * CHOOSE(CONTROL!$C$22, $C$13, 100%, $E$13)</f>
        <v>3.8706999999999998</v>
      </c>
      <c r="H114" s="64">
        <f>6.9116* CHOOSE(CONTROL!$C$22, $C$13, 100%, $E$13)</f>
        <v>6.9116</v>
      </c>
      <c r="I114" s="64">
        <f>6.9132 * CHOOSE(CONTROL!$C$22, $C$13, 100%, $E$13)</f>
        <v>6.9131999999999998</v>
      </c>
      <c r="J114" s="64">
        <f>3.8691 * CHOOSE(CONTROL!$C$22, $C$13, 100%, $E$13)</f>
        <v>3.8691</v>
      </c>
      <c r="K114" s="64">
        <f>3.8707 * CHOOSE(CONTROL!$C$22, $C$13, 100%, $E$13)</f>
        <v>3.8706999999999998</v>
      </c>
      <c r="L114" s="4"/>
      <c r="M114" s="4"/>
      <c r="N114" s="4"/>
    </row>
    <row r="115" spans="1:14" ht="15">
      <c r="A115" s="13">
        <v>45139</v>
      </c>
      <c r="B115" s="63">
        <f>3.3098 * CHOOSE(CONTROL!$C$22, $C$13, 100%, $E$13)</f>
        <v>3.3098000000000001</v>
      </c>
      <c r="C115" s="63">
        <f>3.3098 * CHOOSE(CONTROL!$C$22, $C$13, 100%, $E$13)</f>
        <v>3.3098000000000001</v>
      </c>
      <c r="D115" s="63">
        <f>3.3355 * CHOOSE(CONTROL!$C$22, $C$13, 100%, $E$13)</f>
        <v>3.3355000000000001</v>
      </c>
      <c r="E115" s="64">
        <f>3.8332 * CHOOSE(CONTROL!$C$22, $C$13, 100%, $E$13)</f>
        <v>3.8332000000000002</v>
      </c>
      <c r="F115" s="64">
        <f>3.8332 * CHOOSE(CONTROL!$C$22, $C$13, 100%, $E$13)</f>
        <v>3.8332000000000002</v>
      </c>
      <c r="G115" s="64">
        <f>3.8349 * CHOOSE(CONTROL!$C$22, $C$13, 100%, $E$13)</f>
        <v>3.8349000000000002</v>
      </c>
      <c r="H115" s="64">
        <f>6.926* CHOOSE(CONTROL!$C$22, $C$13, 100%, $E$13)</f>
        <v>6.9260000000000002</v>
      </c>
      <c r="I115" s="64">
        <f>6.9276 * CHOOSE(CONTROL!$C$22, $C$13, 100%, $E$13)</f>
        <v>6.9276</v>
      </c>
      <c r="J115" s="64">
        <f>3.8332 * CHOOSE(CONTROL!$C$22, $C$13, 100%, $E$13)</f>
        <v>3.8332000000000002</v>
      </c>
      <c r="K115" s="64">
        <f>3.8349 * CHOOSE(CONTROL!$C$22, $C$13, 100%, $E$13)</f>
        <v>3.8349000000000002</v>
      </c>
      <c r="L115" s="4"/>
      <c r="M115" s="4"/>
      <c r="N115" s="4"/>
    </row>
    <row r="116" spans="1:14" ht="15">
      <c r="A116" s="13">
        <v>45170</v>
      </c>
      <c r="B116" s="63">
        <f>3.3067 * CHOOSE(CONTROL!$C$22, $C$13, 100%, $E$13)</f>
        <v>3.3067000000000002</v>
      </c>
      <c r="C116" s="63">
        <f>3.3067 * CHOOSE(CONTROL!$C$22, $C$13, 100%, $E$13)</f>
        <v>3.3067000000000002</v>
      </c>
      <c r="D116" s="63">
        <f>3.3325 * CHOOSE(CONTROL!$C$22, $C$13, 100%, $E$13)</f>
        <v>3.3325</v>
      </c>
      <c r="E116" s="64">
        <f>3.8266 * CHOOSE(CONTROL!$C$22, $C$13, 100%, $E$13)</f>
        <v>3.8266</v>
      </c>
      <c r="F116" s="64">
        <f>3.8266 * CHOOSE(CONTROL!$C$22, $C$13, 100%, $E$13)</f>
        <v>3.8266</v>
      </c>
      <c r="G116" s="64">
        <f>3.8282 * CHOOSE(CONTROL!$C$22, $C$13, 100%, $E$13)</f>
        <v>3.8281999999999998</v>
      </c>
      <c r="H116" s="64">
        <f>6.9404* CHOOSE(CONTROL!$C$22, $C$13, 100%, $E$13)</f>
        <v>6.9404000000000003</v>
      </c>
      <c r="I116" s="64">
        <f>6.9421 * CHOOSE(CONTROL!$C$22, $C$13, 100%, $E$13)</f>
        <v>6.9420999999999999</v>
      </c>
      <c r="J116" s="64">
        <f>3.8266 * CHOOSE(CONTROL!$C$22, $C$13, 100%, $E$13)</f>
        <v>3.8266</v>
      </c>
      <c r="K116" s="64">
        <f>3.8282 * CHOOSE(CONTROL!$C$22, $C$13, 100%, $E$13)</f>
        <v>3.8281999999999998</v>
      </c>
      <c r="L116" s="4"/>
      <c r="M116" s="4"/>
      <c r="N116" s="4"/>
    </row>
    <row r="117" spans="1:14" ht="15">
      <c r="A117" s="13">
        <v>45200</v>
      </c>
      <c r="B117" s="63">
        <f>3.2994 * CHOOSE(CONTROL!$C$22, $C$13, 100%, $E$13)</f>
        <v>3.2993999999999999</v>
      </c>
      <c r="C117" s="63">
        <f>3.2994 * CHOOSE(CONTROL!$C$22, $C$13, 100%, $E$13)</f>
        <v>3.2993999999999999</v>
      </c>
      <c r="D117" s="63">
        <f>3.3123 * CHOOSE(CONTROL!$C$22, $C$13, 100%, $E$13)</f>
        <v>3.3123</v>
      </c>
      <c r="E117" s="64">
        <f>3.8312 * CHOOSE(CONTROL!$C$22, $C$13, 100%, $E$13)</f>
        <v>3.8311999999999999</v>
      </c>
      <c r="F117" s="64">
        <f>3.8312 * CHOOSE(CONTROL!$C$22, $C$13, 100%, $E$13)</f>
        <v>3.8311999999999999</v>
      </c>
      <c r="G117" s="64">
        <f>3.8314 * CHOOSE(CONTROL!$C$22, $C$13, 100%, $E$13)</f>
        <v>3.8313999999999999</v>
      </c>
      <c r="H117" s="64">
        <f>6.9549* CHOOSE(CONTROL!$C$22, $C$13, 100%, $E$13)</f>
        <v>6.9549000000000003</v>
      </c>
      <c r="I117" s="64">
        <f>6.9551 * CHOOSE(CONTROL!$C$22, $C$13, 100%, $E$13)</f>
        <v>6.9550999999999998</v>
      </c>
      <c r="J117" s="64">
        <f>3.8312 * CHOOSE(CONTROL!$C$22, $C$13, 100%, $E$13)</f>
        <v>3.8311999999999999</v>
      </c>
      <c r="K117" s="64">
        <f>3.8314 * CHOOSE(CONTROL!$C$22, $C$13, 100%, $E$13)</f>
        <v>3.8313999999999999</v>
      </c>
      <c r="L117" s="4"/>
      <c r="M117" s="4"/>
      <c r="N117" s="4"/>
    </row>
    <row r="118" spans="1:14" ht="15">
      <c r="A118" s="13">
        <v>45231</v>
      </c>
      <c r="B118" s="63">
        <f>3.3024 * CHOOSE(CONTROL!$C$22, $C$13, 100%, $E$13)</f>
        <v>3.3024</v>
      </c>
      <c r="C118" s="63">
        <f>3.3024 * CHOOSE(CONTROL!$C$22, $C$13, 100%, $E$13)</f>
        <v>3.3024</v>
      </c>
      <c r="D118" s="63">
        <f>3.3153 * CHOOSE(CONTROL!$C$22, $C$13, 100%, $E$13)</f>
        <v>3.3153000000000001</v>
      </c>
      <c r="E118" s="64">
        <f>3.8423 * CHOOSE(CONTROL!$C$22, $C$13, 100%, $E$13)</f>
        <v>3.8422999999999998</v>
      </c>
      <c r="F118" s="64">
        <f>3.8423 * CHOOSE(CONTROL!$C$22, $C$13, 100%, $E$13)</f>
        <v>3.8422999999999998</v>
      </c>
      <c r="G118" s="64">
        <f>3.8425 * CHOOSE(CONTROL!$C$22, $C$13, 100%, $E$13)</f>
        <v>3.8424999999999998</v>
      </c>
      <c r="H118" s="64">
        <f>6.9694* CHOOSE(CONTROL!$C$22, $C$13, 100%, $E$13)</f>
        <v>6.9694000000000003</v>
      </c>
      <c r="I118" s="64">
        <f>6.9696 * CHOOSE(CONTROL!$C$22, $C$13, 100%, $E$13)</f>
        <v>6.9695999999999998</v>
      </c>
      <c r="J118" s="64">
        <f>3.8423 * CHOOSE(CONTROL!$C$22, $C$13, 100%, $E$13)</f>
        <v>3.8422999999999998</v>
      </c>
      <c r="K118" s="64">
        <f>3.8425 * CHOOSE(CONTROL!$C$22, $C$13, 100%, $E$13)</f>
        <v>3.8424999999999998</v>
      </c>
      <c r="L118" s="4"/>
      <c r="M118" s="4"/>
      <c r="N118" s="4"/>
    </row>
    <row r="119" spans="1:14" ht="15">
      <c r="A119" s="13">
        <v>45261</v>
      </c>
      <c r="B119" s="63">
        <f>3.3024 * CHOOSE(CONTROL!$C$22, $C$13, 100%, $E$13)</f>
        <v>3.3024</v>
      </c>
      <c r="C119" s="63">
        <f>3.3024 * CHOOSE(CONTROL!$C$22, $C$13, 100%, $E$13)</f>
        <v>3.3024</v>
      </c>
      <c r="D119" s="63">
        <f>3.3153 * CHOOSE(CONTROL!$C$22, $C$13, 100%, $E$13)</f>
        <v>3.3153000000000001</v>
      </c>
      <c r="E119" s="64">
        <f>3.8198 * CHOOSE(CONTROL!$C$22, $C$13, 100%, $E$13)</f>
        <v>3.8197999999999999</v>
      </c>
      <c r="F119" s="64">
        <f>3.8198 * CHOOSE(CONTROL!$C$22, $C$13, 100%, $E$13)</f>
        <v>3.8197999999999999</v>
      </c>
      <c r="G119" s="64">
        <f>3.82 * CHOOSE(CONTROL!$C$22, $C$13, 100%, $E$13)</f>
        <v>3.82</v>
      </c>
      <c r="H119" s="64">
        <f>6.9839* CHOOSE(CONTROL!$C$22, $C$13, 100%, $E$13)</f>
        <v>6.9839000000000002</v>
      </c>
      <c r="I119" s="64">
        <f>6.9841 * CHOOSE(CONTROL!$C$22, $C$13, 100%, $E$13)</f>
        <v>6.9840999999999998</v>
      </c>
      <c r="J119" s="64">
        <f>3.8198 * CHOOSE(CONTROL!$C$22, $C$13, 100%, $E$13)</f>
        <v>3.8197999999999999</v>
      </c>
      <c r="K119" s="64">
        <f>3.82 * CHOOSE(CONTROL!$C$22, $C$13, 100%, $E$13)</f>
        <v>3.82</v>
      </c>
      <c r="L119" s="4"/>
      <c r="M119" s="4"/>
      <c r="N119" s="4"/>
    </row>
    <row r="120" spans="1:14" ht="15">
      <c r="A120" s="13">
        <v>45292</v>
      </c>
      <c r="B120" s="63">
        <f>3.3324 * CHOOSE(CONTROL!$C$22, $C$13, 100%, $E$13)</f>
        <v>3.3323999999999998</v>
      </c>
      <c r="C120" s="63">
        <f>3.3324 * CHOOSE(CONTROL!$C$22, $C$13, 100%, $E$13)</f>
        <v>3.3323999999999998</v>
      </c>
      <c r="D120" s="63">
        <f>3.3453 * CHOOSE(CONTROL!$C$22, $C$13, 100%, $E$13)</f>
        <v>3.3452999999999999</v>
      </c>
      <c r="E120" s="64">
        <f>3.8554 * CHOOSE(CONTROL!$C$22, $C$13, 100%, $E$13)</f>
        <v>3.8553999999999999</v>
      </c>
      <c r="F120" s="64">
        <f>3.8554 * CHOOSE(CONTROL!$C$22, $C$13, 100%, $E$13)</f>
        <v>3.8553999999999999</v>
      </c>
      <c r="G120" s="64">
        <f>3.8555 * CHOOSE(CONTROL!$C$22, $C$13, 100%, $E$13)</f>
        <v>3.8555000000000001</v>
      </c>
      <c r="H120" s="64">
        <f>6.9985* CHOOSE(CONTROL!$C$22, $C$13, 100%, $E$13)</f>
        <v>6.9984999999999999</v>
      </c>
      <c r="I120" s="64">
        <f>6.9986 * CHOOSE(CONTROL!$C$22, $C$13, 100%, $E$13)</f>
        <v>6.9985999999999997</v>
      </c>
      <c r="J120" s="64">
        <f>3.8554 * CHOOSE(CONTROL!$C$22, $C$13, 100%, $E$13)</f>
        <v>3.8553999999999999</v>
      </c>
      <c r="K120" s="64">
        <f>3.8555 * CHOOSE(CONTROL!$C$22, $C$13, 100%, $E$13)</f>
        <v>3.8555000000000001</v>
      </c>
      <c r="L120" s="4"/>
      <c r="M120" s="4"/>
      <c r="N120" s="4"/>
    </row>
    <row r="121" spans="1:14" ht="15">
      <c r="A121" s="13">
        <v>45323</v>
      </c>
      <c r="B121" s="63">
        <f>3.3294 * CHOOSE(CONTROL!$C$22, $C$13, 100%, $E$13)</f>
        <v>3.3294000000000001</v>
      </c>
      <c r="C121" s="63">
        <f>3.3294 * CHOOSE(CONTROL!$C$22, $C$13, 100%, $E$13)</f>
        <v>3.3294000000000001</v>
      </c>
      <c r="D121" s="63">
        <f>3.3422 * CHOOSE(CONTROL!$C$22, $C$13, 100%, $E$13)</f>
        <v>3.3422000000000001</v>
      </c>
      <c r="E121" s="64">
        <f>3.8103 * CHOOSE(CONTROL!$C$22, $C$13, 100%, $E$13)</f>
        <v>3.8102999999999998</v>
      </c>
      <c r="F121" s="64">
        <f>3.8103 * CHOOSE(CONTROL!$C$22, $C$13, 100%, $E$13)</f>
        <v>3.8102999999999998</v>
      </c>
      <c r="G121" s="64">
        <f>3.8105 * CHOOSE(CONTROL!$C$22, $C$13, 100%, $E$13)</f>
        <v>3.8105000000000002</v>
      </c>
      <c r="H121" s="64">
        <f>7.013* CHOOSE(CONTROL!$C$22, $C$13, 100%, $E$13)</f>
        <v>7.0129999999999999</v>
      </c>
      <c r="I121" s="64">
        <f>7.0132 * CHOOSE(CONTROL!$C$22, $C$13, 100%, $E$13)</f>
        <v>7.0132000000000003</v>
      </c>
      <c r="J121" s="64">
        <f>3.8103 * CHOOSE(CONTROL!$C$22, $C$13, 100%, $E$13)</f>
        <v>3.8102999999999998</v>
      </c>
      <c r="K121" s="64">
        <f>3.8105 * CHOOSE(CONTROL!$C$22, $C$13, 100%, $E$13)</f>
        <v>3.8105000000000002</v>
      </c>
      <c r="L121" s="4"/>
      <c r="M121" s="4"/>
      <c r="N121" s="4"/>
    </row>
    <row r="122" spans="1:14" ht="15">
      <c r="A122" s="13">
        <v>45352</v>
      </c>
      <c r="B122" s="63">
        <f>3.3263 * CHOOSE(CONTROL!$C$22, $C$13, 100%, $E$13)</f>
        <v>3.3262999999999998</v>
      </c>
      <c r="C122" s="63">
        <f>3.3263 * CHOOSE(CONTROL!$C$22, $C$13, 100%, $E$13)</f>
        <v>3.3262999999999998</v>
      </c>
      <c r="D122" s="63">
        <f>3.3392 * CHOOSE(CONTROL!$C$22, $C$13, 100%, $E$13)</f>
        <v>3.3391999999999999</v>
      </c>
      <c r="E122" s="64">
        <f>3.842 * CHOOSE(CONTROL!$C$22, $C$13, 100%, $E$13)</f>
        <v>3.8420000000000001</v>
      </c>
      <c r="F122" s="64">
        <f>3.842 * CHOOSE(CONTROL!$C$22, $C$13, 100%, $E$13)</f>
        <v>3.8420000000000001</v>
      </c>
      <c r="G122" s="64">
        <f>3.8422 * CHOOSE(CONTROL!$C$22, $C$13, 100%, $E$13)</f>
        <v>3.8422000000000001</v>
      </c>
      <c r="H122" s="64">
        <f>7.0276* CHOOSE(CONTROL!$C$22, $C$13, 100%, $E$13)</f>
        <v>7.0275999999999996</v>
      </c>
      <c r="I122" s="64">
        <f>7.0278 * CHOOSE(CONTROL!$C$22, $C$13, 100%, $E$13)</f>
        <v>7.0278</v>
      </c>
      <c r="J122" s="64">
        <f>3.842 * CHOOSE(CONTROL!$C$22, $C$13, 100%, $E$13)</f>
        <v>3.8420000000000001</v>
      </c>
      <c r="K122" s="64">
        <f>3.8422 * CHOOSE(CONTROL!$C$22, $C$13, 100%, $E$13)</f>
        <v>3.8422000000000001</v>
      </c>
      <c r="L122" s="4"/>
      <c r="M122" s="4"/>
      <c r="N122" s="4"/>
    </row>
    <row r="123" spans="1:14" ht="15">
      <c r="A123" s="13">
        <v>45383</v>
      </c>
      <c r="B123" s="63">
        <f>3.3234 * CHOOSE(CONTROL!$C$22, $C$13, 100%, $E$13)</f>
        <v>3.3233999999999999</v>
      </c>
      <c r="C123" s="63">
        <f>3.3234 * CHOOSE(CONTROL!$C$22, $C$13, 100%, $E$13)</f>
        <v>3.3233999999999999</v>
      </c>
      <c r="D123" s="63">
        <f>3.3362 * CHOOSE(CONTROL!$C$22, $C$13, 100%, $E$13)</f>
        <v>3.3361999999999998</v>
      </c>
      <c r="E123" s="64">
        <f>3.8741 * CHOOSE(CONTROL!$C$22, $C$13, 100%, $E$13)</f>
        <v>3.8740999999999999</v>
      </c>
      <c r="F123" s="64">
        <f>3.8741 * CHOOSE(CONTROL!$C$22, $C$13, 100%, $E$13)</f>
        <v>3.8740999999999999</v>
      </c>
      <c r="G123" s="64">
        <f>3.8743 * CHOOSE(CONTROL!$C$22, $C$13, 100%, $E$13)</f>
        <v>3.8742999999999999</v>
      </c>
      <c r="H123" s="64">
        <f>7.0423* CHOOSE(CONTROL!$C$22, $C$13, 100%, $E$13)</f>
        <v>7.0423</v>
      </c>
      <c r="I123" s="64">
        <f>7.0425 * CHOOSE(CONTROL!$C$22, $C$13, 100%, $E$13)</f>
        <v>7.0425000000000004</v>
      </c>
      <c r="J123" s="64">
        <f>3.8741 * CHOOSE(CONTROL!$C$22, $C$13, 100%, $E$13)</f>
        <v>3.8740999999999999</v>
      </c>
      <c r="K123" s="64">
        <f>3.8743 * CHOOSE(CONTROL!$C$22, $C$13, 100%, $E$13)</f>
        <v>3.8742999999999999</v>
      </c>
      <c r="L123" s="4"/>
      <c r="M123" s="4"/>
      <c r="N123" s="4"/>
    </row>
    <row r="124" spans="1:14" ht="15">
      <c r="A124" s="13">
        <v>45413</v>
      </c>
      <c r="B124" s="63">
        <f>3.3234 * CHOOSE(CONTROL!$C$22, $C$13, 100%, $E$13)</f>
        <v>3.3233999999999999</v>
      </c>
      <c r="C124" s="63">
        <f>3.3234 * CHOOSE(CONTROL!$C$22, $C$13, 100%, $E$13)</f>
        <v>3.3233999999999999</v>
      </c>
      <c r="D124" s="63">
        <f>3.3491 * CHOOSE(CONTROL!$C$22, $C$13, 100%, $E$13)</f>
        <v>3.3491</v>
      </c>
      <c r="E124" s="64">
        <f>3.8877 * CHOOSE(CONTROL!$C$22, $C$13, 100%, $E$13)</f>
        <v>3.8877000000000002</v>
      </c>
      <c r="F124" s="64">
        <f>3.8877 * CHOOSE(CONTROL!$C$22, $C$13, 100%, $E$13)</f>
        <v>3.8877000000000002</v>
      </c>
      <c r="G124" s="64">
        <f>3.8894 * CHOOSE(CONTROL!$C$22, $C$13, 100%, $E$13)</f>
        <v>3.8894000000000002</v>
      </c>
      <c r="H124" s="64">
        <f>7.057* CHOOSE(CONTROL!$C$22, $C$13, 100%, $E$13)</f>
        <v>7.0570000000000004</v>
      </c>
      <c r="I124" s="64">
        <f>7.0586 * CHOOSE(CONTROL!$C$22, $C$13, 100%, $E$13)</f>
        <v>7.0586000000000002</v>
      </c>
      <c r="J124" s="64">
        <f>3.8877 * CHOOSE(CONTROL!$C$22, $C$13, 100%, $E$13)</f>
        <v>3.8877000000000002</v>
      </c>
      <c r="K124" s="64">
        <f>3.8894 * CHOOSE(CONTROL!$C$22, $C$13, 100%, $E$13)</f>
        <v>3.8894000000000002</v>
      </c>
      <c r="L124" s="4"/>
      <c r="M124" s="4"/>
      <c r="N124" s="4"/>
    </row>
    <row r="125" spans="1:14" ht="15">
      <c r="A125" s="13">
        <v>45444</v>
      </c>
      <c r="B125" s="63">
        <f>3.3294 * CHOOSE(CONTROL!$C$22, $C$13, 100%, $E$13)</f>
        <v>3.3294000000000001</v>
      </c>
      <c r="C125" s="63">
        <f>3.3294 * CHOOSE(CONTROL!$C$22, $C$13, 100%, $E$13)</f>
        <v>3.3294000000000001</v>
      </c>
      <c r="D125" s="63">
        <f>3.3552 * CHOOSE(CONTROL!$C$22, $C$13, 100%, $E$13)</f>
        <v>3.3552</v>
      </c>
      <c r="E125" s="64">
        <f>3.8784 * CHOOSE(CONTROL!$C$22, $C$13, 100%, $E$13)</f>
        <v>3.8784000000000001</v>
      </c>
      <c r="F125" s="64">
        <f>3.8784 * CHOOSE(CONTROL!$C$22, $C$13, 100%, $E$13)</f>
        <v>3.8784000000000001</v>
      </c>
      <c r="G125" s="64">
        <f>3.88 * CHOOSE(CONTROL!$C$22, $C$13, 100%, $E$13)</f>
        <v>3.88</v>
      </c>
      <c r="H125" s="64">
        <f>7.0717* CHOOSE(CONTROL!$C$22, $C$13, 100%, $E$13)</f>
        <v>7.0716999999999999</v>
      </c>
      <c r="I125" s="64">
        <f>7.0733 * CHOOSE(CONTROL!$C$22, $C$13, 100%, $E$13)</f>
        <v>7.0732999999999997</v>
      </c>
      <c r="J125" s="64">
        <f>3.8784 * CHOOSE(CONTROL!$C$22, $C$13, 100%, $E$13)</f>
        <v>3.8784000000000001</v>
      </c>
      <c r="K125" s="64">
        <f>3.88 * CHOOSE(CONTROL!$C$22, $C$13, 100%, $E$13)</f>
        <v>3.88</v>
      </c>
      <c r="L125" s="4"/>
      <c r="M125" s="4"/>
      <c r="N125" s="4"/>
    </row>
    <row r="126" spans="1:14" ht="15">
      <c r="A126" s="13">
        <v>45474</v>
      </c>
      <c r="B126" s="63">
        <f>3.3849 * CHOOSE(CONTROL!$C$22, $C$13, 100%, $E$13)</f>
        <v>3.3849</v>
      </c>
      <c r="C126" s="63">
        <f>3.3849 * CHOOSE(CONTROL!$C$22, $C$13, 100%, $E$13)</f>
        <v>3.3849</v>
      </c>
      <c r="D126" s="63">
        <f>3.4106 * CHOOSE(CONTROL!$C$22, $C$13, 100%, $E$13)</f>
        <v>3.4106000000000001</v>
      </c>
      <c r="E126" s="64">
        <f>3.9401 * CHOOSE(CONTROL!$C$22, $C$13, 100%, $E$13)</f>
        <v>3.9401000000000002</v>
      </c>
      <c r="F126" s="64">
        <f>3.9401 * CHOOSE(CONTROL!$C$22, $C$13, 100%, $E$13)</f>
        <v>3.9401000000000002</v>
      </c>
      <c r="G126" s="64">
        <f>3.9417 * CHOOSE(CONTROL!$C$22, $C$13, 100%, $E$13)</f>
        <v>3.9417</v>
      </c>
      <c r="H126" s="64">
        <f>7.0864* CHOOSE(CONTROL!$C$22, $C$13, 100%, $E$13)</f>
        <v>7.0864000000000003</v>
      </c>
      <c r="I126" s="64">
        <f>7.088 * CHOOSE(CONTROL!$C$22, $C$13, 100%, $E$13)</f>
        <v>7.0880000000000001</v>
      </c>
      <c r="J126" s="64">
        <f>3.9401 * CHOOSE(CONTROL!$C$22, $C$13, 100%, $E$13)</f>
        <v>3.9401000000000002</v>
      </c>
      <c r="K126" s="64">
        <f>3.9417 * CHOOSE(CONTROL!$C$22, $C$13, 100%, $E$13)</f>
        <v>3.9417</v>
      </c>
      <c r="L126" s="4"/>
      <c r="M126" s="4"/>
      <c r="N126" s="4"/>
    </row>
    <row r="127" spans="1:14" ht="15">
      <c r="A127" s="13">
        <v>45505</v>
      </c>
      <c r="B127" s="63">
        <f>3.3915 * CHOOSE(CONTROL!$C$22, $C$13, 100%, $E$13)</f>
        <v>3.3915000000000002</v>
      </c>
      <c r="C127" s="63">
        <f>3.3915 * CHOOSE(CONTROL!$C$22, $C$13, 100%, $E$13)</f>
        <v>3.3915000000000002</v>
      </c>
      <c r="D127" s="63">
        <f>3.4173 * CHOOSE(CONTROL!$C$22, $C$13, 100%, $E$13)</f>
        <v>3.4173</v>
      </c>
      <c r="E127" s="64">
        <f>3.9039 * CHOOSE(CONTROL!$C$22, $C$13, 100%, $E$13)</f>
        <v>3.9039000000000001</v>
      </c>
      <c r="F127" s="64">
        <f>3.9039 * CHOOSE(CONTROL!$C$22, $C$13, 100%, $E$13)</f>
        <v>3.9039000000000001</v>
      </c>
      <c r="G127" s="64">
        <f>3.9055 * CHOOSE(CONTROL!$C$22, $C$13, 100%, $E$13)</f>
        <v>3.9055</v>
      </c>
      <c r="H127" s="64">
        <f>7.1012* CHOOSE(CONTROL!$C$22, $C$13, 100%, $E$13)</f>
        <v>7.1012000000000004</v>
      </c>
      <c r="I127" s="64">
        <f>7.1028 * CHOOSE(CONTROL!$C$22, $C$13, 100%, $E$13)</f>
        <v>7.1028000000000002</v>
      </c>
      <c r="J127" s="64">
        <f>3.9039 * CHOOSE(CONTROL!$C$22, $C$13, 100%, $E$13)</f>
        <v>3.9039000000000001</v>
      </c>
      <c r="K127" s="64">
        <f>3.9055 * CHOOSE(CONTROL!$C$22, $C$13, 100%, $E$13)</f>
        <v>3.9055</v>
      </c>
      <c r="L127" s="4"/>
      <c r="M127" s="4"/>
      <c r="N127" s="4"/>
    </row>
    <row r="128" spans="1:14" ht="15">
      <c r="A128" s="13">
        <v>45536</v>
      </c>
      <c r="B128" s="63">
        <f>3.3885 * CHOOSE(CONTROL!$C$22, $C$13, 100%, $E$13)</f>
        <v>3.3885000000000001</v>
      </c>
      <c r="C128" s="63">
        <f>3.3885 * CHOOSE(CONTROL!$C$22, $C$13, 100%, $E$13)</f>
        <v>3.3885000000000001</v>
      </c>
      <c r="D128" s="63">
        <f>3.4142 * CHOOSE(CONTROL!$C$22, $C$13, 100%, $E$13)</f>
        <v>3.4142000000000001</v>
      </c>
      <c r="E128" s="64">
        <f>3.8972 * CHOOSE(CONTROL!$C$22, $C$13, 100%, $E$13)</f>
        <v>3.8972000000000002</v>
      </c>
      <c r="F128" s="64">
        <f>3.8972 * CHOOSE(CONTROL!$C$22, $C$13, 100%, $E$13)</f>
        <v>3.8972000000000002</v>
      </c>
      <c r="G128" s="64">
        <f>3.8988 * CHOOSE(CONTROL!$C$22, $C$13, 100%, $E$13)</f>
        <v>3.8988</v>
      </c>
      <c r="H128" s="64">
        <f>7.1159* CHOOSE(CONTROL!$C$22, $C$13, 100%, $E$13)</f>
        <v>7.1158999999999999</v>
      </c>
      <c r="I128" s="64">
        <f>7.1176 * CHOOSE(CONTROL!$C$22, $C$13, 100%, $E$13)</f>
        <v>7.1176000000000004</v>
      </c>
      <c r="J128" s="64">
        <f>3.8972 * CHOOSE(CONTROL!$C$22, $C$13, 100%, $E$13)</f>
        <v>3.8972000000000002</v>
      </c>
      <c r="K128" s="64">
        <f>3.8988 * CHOOSE(CONTROL!$C$22, $C$13, 100%, $E$13)</f>
        <v>3.8988</v>
      </c>
      <c r="L128" s="4"/>
      <c r="M128" s="4"/>
      <c r="N128" s="4"/>
    </row>
    <row r="129" spans="1:14" ht="15">
      <c r="A129" s="13">
        <v>45566</v>
      </c>
      <c r="B129" s="63">
        <f>3.3815 * CHOOSE(CONTROL!$C$22, $C$13, 100%, $E$13)</f>
        <v>3.3815</v>
      </c>
      <c r="C129" s="63">
        <f>3.3815 * CHOOSE(CONTROL!$C$22, $C$13, 100%, $E$13)</f>
        <v>3.3815</v>
      </c>
      <c r="D129" s="63">
        <f>3.3944 * CHOOSE(CONTROL!$C$22, $C$13, 100%, $E$13)</f>
        <v>3.3944000000000001</v>
      </c>
      <c r="E129" s="64">
        <f>3.9019 * CHOOSE(CONTROL!$C$22, $C$13, 100%, $E$13)</f>
        <v>3.9018999999999999</v>
      </c>
      <c r="F129" s="64">
        <f>3.9019 * CHOOSE(CONTROL!$C$22, $C$13, 100%, $E$13)</f>
        <v>3.9018999999999999</v>
      </c>
      <c r="G129" s="64">
        <f>3.9021 * CHOOSE(CONTROL!$C$22, $C$13, 100%, $E$13)</f>
        <v>3.9020999999999999</v>
      </c>
      <c r="H129" s="64">
        <f>7.1308* CHOOSE(CONTROL!$C$22, $C$13, 100%, $E$13)</f>
        <v>7.1307999999999998</v>
      </c>
      <c r="I129" s="64">
        <f>7.1309 * CHOOSE(CONTROL!$C$22, $C$13, 100%, $E$13)</f>
        <v>7.1308999999999996</v>
      </c>
      <c r="J129" s="64">
        <f>3.9019 * CHOOSE(CONTROL!$C$22, $C$13, 100%, $E$13)</f>
        <v>3.9018999999999999</v>
      </c>
      <c r="K129" s="64">
        <f>3.9021 * CHOOSE(CONTROL!$C$22, $C$13, 100%, $E$13)</f>
        <v>3.9020999999999999</v>
      </c>
      <c r="L129" s="4"/>
      <c r="M129" s="4"/>
      <c r="N129" s="4"/>
    </row>
    <row r="130" spans="1:14" ht="15">
      <c r="A130" s="13">
        <v>45597</v>
      </c>
      <c r="B130" s="63">
        <f>3.3845 * CHOOSE(CONTROL!$C$22, $C$13, 100%, $E$13)</f>
        <v>3.3845000000000001</v>
      </c>
      <c r="C130" s="63">
        <f>3.3845 * CHOOSE(CONTROL!$C$22, $C$13, 100%, $E$13)</f>
        <v>3.3845000000000001</v>
      </c>
      <c r="D130" s="63">
        <f>3.3974 * CHOOSE(CONTROL!$C$22, $C$13, 100%, $E$13)</f>
        <v>3.3974000000000002</v>
      </c>
      <c r="E130" s="64">
        <f>3.9131 * CHOOSE(CONTROL!$C$22, $C$13, 100%, $E$13)</f>
        <v>3.9131</v>
      </c>
      <c r="F130" s="64">
        <f>3.9131 * CHOOSE(CONTROL!$C$22, $C$13, 100%, $E$13)</f>
        <v>3.9131</v>
      </c>
      <c r="G130" s="64">
        <f>3.9133 * CHOOSE(CONTROL!$C$22, $C$13, 100%, $E$13)</f>
        <v>3.9133</v>
      </c>
      <c r="H130" s="64">
        <f>7.1456* CHOOSE(CONTROL!$C$22, $C$13, 100%, $E$13)</f>
        <v>7.1456</v>
      </c>
      <c r="I130" s="64">
        <f>7.1458 * CHOOSE(CONTROL!$C$22, $C$13, 100%, $E$13)</f>
        <v>7.1458000000000004</v>
      </c>
      <c r="J130" s="64">
        <f>3.9131 * CHOOSE(CONTROL!$C$22, $C$13, 100%, $E$13)</f>
        <v>3.9131</v>
      </c>
      <c r="K130" s="64">
        <f>3.9133 * CHOOSE(CONTROL!$C$22, $C$13, 100%, $E$13)</f>
        <v>3.9133</v>
      </c>
      <c r="L130" s="4"/>
      <c r="M130" s="4"/>
      <c r="N130" s="4"/>
    </row>
    <row r="131" spans="1:14" ht="15">
      <c r="A131" s="13">
        <v>45627</v>
      </c>
      <c r="B131" s="63">
        <f>3.3845 * CHOOSE(CONTROL!$C$22, $C$13, 100%, $E$13)</f>
        <v>3.3845000000000001</v>
      </c>
      <c r="C131" s="63">
        <f>3.3845 * CHOOSE(CONTROL!$C$22, $C$13, 100%, $E$13)</f>
        <v>3.3845000000000001</v>
      </c>
      <c r="D131" s="63">
        <f>3.3974 * CHOOSE(CONTROL!$C$22, $C$13, 100%, $E$13)</f>
        <v>3.3974000000000002</v>
      </c>
      <c r="E131" s="64">
        <f>3.8904 * CHOOSE(CONTROL!$C$22, $C$13, 100%, $E$13)</f>
        <v>3.8904000000000001</v>
      </c>
      <c r="F131" s="64">
        <f>3.8904 * CHOOSE(CONTROL!$C$22, $C$13, 100%, $E$13)</f>
        <v>3.8904000000000001</v>
      </c>
      <c r="G131" s="64">
        <f>3.8906 * CHOOSE(CONTROL!$C$22, $C$13, 100%, $E$13)</f>
        <v>3.8906000000000001</v>
      </c>
      <c r="H131" s="64">
        <f>7.1605* CHOOSE(CONTROL!$C$22, $C$13, 100%, $E$13)</f>
        <v>7.1604999999999999</v>
      </c>
      <c r="I131" s="64">
        <f>7.1607 * CHOOSE(CONTROL!$C$22, $C$13, 100%, $E$13)</f>
        <v>7.1607000000000003</v>
      </c>
      <c r="J131" s="64">
        <f>3.8904 * CHOOSE(CONTROL!$C$22, $C$13, 100%, $E$13)</f>
        <v>3.8904000000000001</v>
      </c>
      <c r="K131" s="64">
        <f>3.8906 * CHOOSE(CONTROL!$C$22, $C$13, 100%, $E$13)</f>
        <v>3.8906000000000001</v>
      </c>
      <c r="L131" s="4"/>
      <c r="M131" s="4"/>
      <c r="N131" s="4"/>
    </row>
    <row r="132" spans="1:14" ht="15">
      <c r="A132" s="13">
        <v>45658</v>
      </c>
      <c r="B132" s="63">
        <f>3.4166 * CHOOSE(CONTROL!$C$22, $C$13, 100%, $E$13)</f>
        <v>3.4165999999999999</v>
      </c>
      <c r="C132" s="63">
        <f>3.4166 * CHOOSE(CONTROL!$C$22, $C$13, 100%, $E$13)</f>
        <v>3.4165999999999999</v>
      </c>
      <c r="D132" s="63">
        <f>3.4295 * CHOOSE(CONTROL!$C$22, $C$13, 100%, $E$13)</f>
        <v>3.4295</v>
      </c>
      <c r="E132" s="64">
        <f>3.9232 * CHOOSE(CONTROL!$C$22, $C$13, 100%, $E$13)</f>
        <v>3.9232</v>
      </c>
      <c r="F132" s="64">
        <f>3.9232 * CHOOSE(CONTROL!$C$22, $C$13, 100%, $E$13)</f>
        <v>3.9232</v>
      </c>
      <c r="G132" s="64">
        <f>3.9234 * CHOOSE(CONTROL!$C$22, $C$13, 100%, $E$13)</f>
        <v>3.9234</v>
      </c>
      <c r="H132" s="64">
        <f>7.1754* CHOOSE(CONTROL!$C$22, $C$13, 100%, $E$13)</f>
        <v>7.1753999999999998</v>
      </c>
      <c r="I132" s="64">
        <f>7.1756 * CHOOSE(CONTROL!$C$22, $C$13, 100%, $E$13)</f>
        <v>7.1756000000000002</v>
      </c>
      <c r="J132" s="64">
        <f>3.9232 * CHOOSE(CONTROL!$C$22, $C$13, 100%, $E$13)</f>
        <v>3.9232</v>
      </c>
      <c r="K132" s="64">
        <f>3.9234 * CHOOSE(CONTROL!$C$22, $C$13, 100%, $E$13)</f>
        <v>3.9234</v>
      </c>
      <c r="L132" s="4"/>
      <c r="M132" s="4"/>
      <c r="N132" s="4"/>
    </row>
    <row r="133" spans="1:14" ht="15">
      <c r="A133" s="13">
        <v>45689</v>
      </c>
      <c r="B133" s="63">
        <f>3.4136 * CHOOSE(CONTROL!$C$22, $C$13, 100%, $E$13)</f>
        <v>3.4136000000000002</v>
      </c>
      <c r="C133" s="63">
        <f>3.4136 * CHOOSE(CONTROL!$C$22, $C$13, 100%, $E$13)</f>
        <v>3.4136000000000002</v>
      </c>
      <c r="D133" s="63">
        <f>3.4264 * CHOOSE(CONTROL!$C$22, $C$13, 100%, $E$13)</f>
        <v>3.4264000000000001</v>
      </c>
      <c r="E133" s="64">
        <f>3.8779 * CHOOSE(CONTROL!$C$22, $C$13, 100%, $E$13)</f>
        <v>3.8778999999999999</v>
      </c>
      <c r="F133" s="64">
        <f>3.8779 * CHOOSE(CONTROL!$C$22, $C$13, 100%, $E$13)</f>
        <v>3.8778999999999999</v>
      </c>
      <c r="G133" s="64">
        <f>3.8781 * CHOOSE(CONTROL!$C$22, $C$13, 100%, $E$13)</f>
        <v>3.8780999999999999</v>
      </c>
      <c r="H133" s="64">
        <f>7.1904* CHOOSE(CONTROL!$C$22, $C$13, 100%, $E$13)</f>
        <v>7.1904000000000003</v>
      </c>
      <c r="I133" s="64">
        <f>7.1906 * CHOOSE(CONTROL!$C$22, $C$13, 100%, $E$13)</f>
        <v>7.1905999999999999</v>
      </c>
      <c r="J133" s="64">
        <f>3.8779 * CHOOSE(CONTROL!$C$22, $C$13, 100%, $E$13)</f>
        <v>3.8778999999999999</v>
      </c>
      <c r="K133" s="64">
        <f>3.8781 * CHOOSE(CONTROL!$C$22, $C$13, 100%, $E$13)</f>
        <v>3.8780999999999999</v>
      </c>
      <c r="L133" s="4"/>
      <c r="M133" s="4"/>
      <c r="N133" s="4"/>
    </row>
    <row r="134" spans="1:14" ht="15">
      <c r="A134" s="13">
        <v>45717</v>
      </c>
      <c r="B134" s="63">
        <f>3.4105 * CHOOSE(CONTROL!$C$22, $C$13, 100%, $E$13)</f>
        <v>3.4104999999999999</v>
      </c>
      <c r="C134" s="63">
        <f>3.4105 * CHOOSE(CONTROL!$C$22, $C$13, 100%, $E$13)</f>
        <v>3.4104999999999999</v>
      </c>
      <c r="D134" s="63">
        <f>3.4234 * CHOOSE(CONTROL!$C$22, $C$13, 100%, $E$13)</f>
        <v>3.4234</v>
      </c>
      <c r="E134" s="64">
        <f>3.9098 * CHOOSE(CONTROL!$C$22, $C$13, 100%, $E$13)</f>
        <v>3.9098000000000002</v>
      </c>
      <c r="F134" s="64">
        <f>3.9098 * CHOOSE(CONTROL!$C$22, $C$13, 100%, $E$13)</f>
        <v>3.9098000000000002</v>
      </c>
      <c r="G134" s="64">
        <f>3.91 * CHOOSE(CONTROL!$C$22, $C$13, 100%, $E$13)</f>
        <v>3.91</v>
      </c>
      <c r="H134" s="64">
        <f>7.2054* CHOOSE(CONTROL!$C$22, $C$13, 100%, $E$13)</f>
        <v>7.2054</v>
      </c>
      <c r="I134" s="64">
        <f>7.2055 * CHOOSE(CONTROL!$C$22, $C$13, 100%, $E$13)</f>
        <v>7.2054999999999998</v>
      </c>
      <c r="J134" s="64">
        <f>3.9098 * CHOOSE(CONTROL!$C$22, $C$13, 100%, $E$13)</f>
        <v>3.9098000000000002</v>
      </c>
      <c r="K134" s="64">
        <f>3.91 * CHOOSE(CONTROL!$C$22, $C$13, 100%, $E$13)</f>
        <v>3.91</v>
      </c>
      <c r="L134" s="4"/>
      <c r="M134" s="4"/>
      <c r="N134" s="4"/>
    </row>
    <row r="135" spans="1:14" ht="15">
      <c r="A135" s="13">
        <v>45748</v>
      </c>
      <c r="B135" s="63">
        <f>3.4077 * CHOOSE(CONTROL!$C$22, $C$13, 100%, $E$13)</f>
        <v>3.4077000000000002</v>
      </c>
      <c r="C135" s="63">
        <f>3.4077 * CHOOSE(CONTROL!$C$22, $C$13, 100%, $E$13)</f>
        <v>3.4077000000000002</v>
      </c>
      <c r="D135" s="63">
        <f>3.4205 * CHOOSE(CONTROL!$C$22, $C$13, 100%, $E$13)</f>
        <v>3.4205000000000001</v>
      </c>
      <c r="E135" s="64">
        <f>3.9422 * CHOOSE(CONTROL!$C$22, $C$13, 100%, $E$13)</f>
        <v>3.9422000000000001</v>
      </c>
      <c r="F135" s="64">
        <f>3.9422 * CHOOSE(CONTROL!$C$22, $C$13, 100%, $E$13)</f>
        <v>3.9422000000000001</v>
      </c>
      <c r="G135" s="64">
        <f>3.9424 * CHOOSE(CONTROL!$C$22, $C$13, 100%, $E$13)</f>
        <v>3.9424000000000001</v>
      </c>
      <c r="H135" s="64">
        <f>7.2204* CHOOSE(CONTROL!$C$22, $C$13, 100%, $E$13)</f>
        <v>7.2203999999999997</v>
      </c>
      <c r="I135" s="64">
        <f>7.2205 * CHOOSE(CONTROL!$C$22, $C$13, 100%, $E$13)</f>
        <v>7.2205000000000004</v>
      </c>
      <c r="J135" s="64">
        <f>3.9422 * CHOOSE(CONTROL!$C$22, $C$13, 100%, $E$13)</f>
        <v>3.9422000000000001</v>
      </c>
      <c r="K135" s="64">
        <f>3.9424 * CHOOSE(CONTROL!$C$22, $C$13, 100%, $E$13)</f>
        <v>3.9424000000000001</v>
      </c>
      <c r="L135" s="4"/>
      <c r="M135" s="4"/>
      <c r="N135" s="4"/>
    </row>
    <row r="136" spans="1:14" ht="15">
      <c r="A136" s="13">
        <v>45778</v>
      </c>
      <c r="B136" s="63">
        <f>3.4077 * CHOOSE(CONTROL!$C$22, $C$13, 100%, $E$13)</f>
        <v>3.4077000000000002</v>
      </c>
      <c r="C136" s="63">
        <f>3.4077 * CHOOSE(CONTROL!$C$22, $C$13, 100%, $E$13)</f>
        <v>3.4077000000000002</v>
      </c>
      <c r="D136" s="63">
        <f>3.4334 * CHOOSE(CONTROL!$C$22, $C$13, 100%, $E$13)</f>
        <v>3.4333999999999998</v>
      </c>
      <c r="E136" s="64">
        <f>3.9559 * CHOOSE(CONTROL!$C$22, $C$13, 100%, $E$13)</f>
        <v>3.9559000000000002</v>
      </c>
      <c r="F136" s="64">
        <f>3.9559 * CHOOSE(CONTROL!$C$22, $C$13, 100%, $E$13)</f>
        <v>3.9559000000000002</v>
      </c>
      <c r="G136" s="64">
        <f>3.9575 * CHOOSE(CONTROL!$C$22, $C$13, 100%, $E$13)</f>
        <v>3.9575</v>
      </c>
      <c r="H136" s="64">
        <f>7.2354* CHOOSE(CONTROL!$C$22, $C$13, 100%, $E$13)</f>
        <v>7.2354000000000003</v>
      </c>
      <c r="I136" s="64">
        <f>7.2371 * CHOOSE(CONTROL!$C$22, $C$13, 100%, $E$13)</f>
        <v>7.2370999999999999</v>
      </c>
      <c r="J136" s="64">
        <f>3.9559 * CHOOSE(CONTROL!$C$22, $C$13, 100%, $E$13)</f>
        <v>3.9559000000000002</v>
      </c>
      <c r="K136" s="64">
        <f>3.9575 * CHOOSE(CONTROL!$C$22, $C$13, 100%, $E$13)</f>
        <v>3.9575</v>
      </c>
      <c r="L136" s="4"/>
      <c r="M136" s="4"/>
      <c r="N136" s="4"/>
    </row>
    <row r="137" spans="1:14" ht="15">
      <c r="A137" s="13">
        <v>45809</v>
      </c>
      <c r="B137" s="63">
        <f>3.4137 * CHOOSE(CONTROL!$C$22, $C$13, 100%, $E$13)</f>
        <v>3.4137</v>
      </c>
      <c r="C137" s="63">
        <f>3.4137 * CHOOSE(CONTROL!$C$22, $C$13, 100%, $E$13)</f>
        <v>3.4137</v>
      </c>
      <c r="D137" s="63">
        <f>3.4395 * CHOOSE(CONTROL!$C$22, $C$13, 100%, $E$13)</f>
        <v>3.4394999999999998</v>
      </c>
      <c r="E137" s="64">
        <f>3.9464 * CHOOSE(CONTROL!$C$22, $C$13, 100%, $E$13)</f>
        <v>3.9464000000000001</v>
      </c>
      <c r="F137" s="64">
        <f>3.9464 * CHOOSE(CONTROL!$C$22, $C$13, 100%, $E$13)</f>
        <v>3.9464000000000001</v>
      </c>
      <c r="G137" s="64">
        <f>3.9481 * CHOOSE(CONTROL!$C$22, $C$13, 100%, $E$13)</f>
        <v>3.9481000000000002</v>
      </c>
      <c r="H137" s="64">
        <f>7.2505* CHOOSE(CONTROL!$C$22, $C$13, 100%, $E$13)</f>
        <v>7.2504999999999997</v>
      </c>
      <c r="I137" s="64">
        <f>7.2521 * CHOOSE(CONTROL!$C$22, $C$13, 100%, $E$13)</f>
        <v>7.2521000000000004</v>
      </c>
      <c r="J137" s="64">
        <f>3.9464 * CHOOSE(CONTROL!$C$22, $C$13, 100%, $E$13)</f>
        <v>3.9464000000000001</v>
      </c>
      <c r="K137" s="64">
        <f>3.9481 * CHOOSE(CONTROL!$C$22, $C$13, 100%, $E$13)</f>
        <v>3.9481000000000002</v>
      </c>
      <c r="L137" s="4"/>
      <c r="M137" s="4"/>
      <c r="N137" s="4"/>
    </row>
    <row r="138" spans="1:14" ht="15">
      <c r="A138" s="13">
        <v>45839</v>
      </c>
      <c r="B138" s="63">
        <f>3.4735 * CHOOSE(CONTROL!$C$22, $C$13, 100%, $E$13)</f>
        <v>3.4735</v>
      </c>
      <c r="C138" s="63">
        <f>3.4735 * CHOOSE(CONTROL!$C$22, $C$13, 100%, $E$13)</f>
        <v>3.4735</v>
      </c>
      <c r="D138" s="63">
        <f>3.4993 * CHOOSE(CONTROL!$C$22, $C$13, 100%, $E$13)</f>
        <v>3.4992999999999999</v>
      </c>
      <c r="E138" s="64">
        <f>4.0021 * CHOOSE(CONTROL!$C$22, $C$13, 100%, $E$13)</f>
        <v>4.0021000000000004</v>
      </c>
      <c r="F138" s="64">
        <f>4.0021 * CHOOSE(CONTROL!$C$22, $C$13, 100%, $E$13)</f>
        <v>4.0021000000000004</v>
      </c>
      <c r="G138" s="64">
        <f>4.0038 * CHOOSE(CONTROL!$C$22, $C$13, 100%, $E$13)</f>
        <v>4.0038</v>
      </c>
      <c r="H138" s="64">
        <f>7.2656* CHOOSE(CONTROL!$C$22, $C$13, 100%, $E$13)</f>
        <v>7.2656000000000001</v>
      </c>
      <c r="I138" s="64">
        <f>7.2672 * CHOOSE(CONTROL!$C$22, $C$13, 100%, $E$13)</f>
        <v>7.2671999999999999</v>
      </c>
      <c r="J138" s="64">
        <f>4.0021 * CHOOSE(CONTROL!$C$22, $C$13, 100%, $E$13)</f>
        <v>4.0021000000000004</v>
      </c>
      <c r="K138" s="64">
        <f>4.0038 * CHOOSE(CONTROL!$C$22, $C$13, 100%, $E$13)</f>
        <v>4.0038</v>
      </c>
      <c r="L138" s="4"/>
      <c r="M138" s="4"/>
      <c r="N138" s="4"/>
    </row>
    <row r="139" spans="1:14" ht="15">
      <c r="A139" s="13">
        <v>45870</v>
      </c>
      <c r="B139" s="63">
        <f>3.4802 * CHOOSE(CONTROL!$C$22, $C$13, 100%, $E$13)</f>
        <v>3.4802</v>
      </c>
      <c r="C139" s="63">
        <f>3.4802 * CHOOSE(CONTROL!$C$22, $C$13, 100%, $E$13)</f>
        <v>3.4802</v>
      </c>
      <c r="D139" s="63">
        <f>3.5059 * CHOOSE(CONTROL!$C$22, $C$13, 100%, $E$13)</f>
        <v>3.5059</v>
      </c>
      <c r="E139" s="64">
        <f>3.9656 * CHOOSE(CONTROL!$C$22, $C$13, 100%, $E$13)</f>
        <v>3.9655999999999998</v>
      </c>
      <c r="F139" s="64">
        <f>3.9656 * CHOOSE(CONTROL!$C$22, $C$13, 100%, $E$13)</f>
        <v>3.9655999999999998</v>
      </c>
      <c r="G139" s="64">
        <f>3.9673 * CHOOSE(CONTROL!$C$22, $C$13, 100%, $E$13)</f>
        <v>3.9672999999999998</v>
      </c>
      <c r="H139" s="64">
        <f>7.2807* CHOOSE(CONTROL!$C$22, $C$13, 100%, $E$13)</f>
        <v>7.2807000000000004</v>
      </c>
      <c r="I139" s="64">
        <f>7.2824 * CHOOSE(CONTROL!$C$22, $C$13, 100%, $E$13)</f>
        <v>7.2824</v>
      </c>
      <c r="J139" s="64">
        <f>3.9656 * CHOOSE(CONTROL!$C$22, $C$13, 100%, $E$13)</f>
        <v>3.9655999999999998</v>
      </c>
      <c r="K139" s="64">
        <f>3.9673 * CHOOSE(CONTROL!$C$22, $C$13, 100%, $E$13)</f>
        <v>3.9672999999999998</v>
      </c>
      <c r="L139" s="4"/>
      <c r="M139" s="4"/>
      <c r="N139" s="4"/>
    </row>
    <row r="140" spans="1:14" ht="15">
      <c r="A140" s="13">
        <v>45901</v>
      </c>
      <c r="B140" s="63">
        <f>3.4772 * CHOOSE(CONTROL!$C$22, $C$13, 100%, $E$13)</f>
        <v>3.4771999999999998</v>
      </c>
      <c r="C140" s="63">
        <f>3.4772 * CHOOSE(CONTROL!$C$22, $C$13, 100%, $E$13)</f>
        <v>3.4771999999999998</v>
      </c>
      <c r="D140" s="63">
        <f>3.5029 * CHOOSE(CONTROL!$C$22, $C$13, 100%, $E$13)</f>
        <v>3.5028999999999999</v>
      </c>
      <c r="E140" s="64">
        <f>3.959 * CHOOSE(CONTROL!$C$22, $C$13, 100%, $E$13)</f>
        <v>3.9590000000000001</v>
      </c>
      <c r="F140" s="64">
        <f>3.959 * CHOOSE(CONTROL!$C$22, $C$13, 100%, $E$13)</f>
        <v>3.9590000000000001</v>
      </c>
      <c r="G140" s="64">
        <f>3.9606 * CHOOSE(CONTROL!$C$22, $C$13, 100%, $E$13)</f>
        <v>3.9605999999999999</v>
      </c>
      <c r="H140" s="64">
        <f>7.2959* CHOOSE(CONTROL!$C$22, $C$13, 100%, $E$13)</f>
        <v>7.2958999999999996</v>
      </c>
      <c r="I140" s="64">
        <f>7.2975 * CHOOSE(CONTROL!$C$22, $C$13, 100%, $E$13)</f>
        <v>7.2975000000000003</v>
      </c>
      <c r="J140" s="64">
        <f>3.959 * CHOOSE(CONTROL!$C$22, $C$13, 100%, $E$13)</f>
        <v>3.9590000000000001</v>
      </c>
      <c r="K140" s="64">
        <f>3.9606 * CHOOSE(CONTROL!$C$22, $C$13, 100%, $E$13)</f>
        <v>3.9605999999999999</v>
      </c>
      <c r="L140" s="4"/>
      <c r="M140" s="4"/>
      <c r="N140" s="4"/>
    </row>
    <row r="141" spans="1:14" ht="15">
      <c r="A141" s="13">
        <v>45931</v>
      </c>
      <c r="B141" s="63">
        <f>3.4705 * CHOOSE(CONTROL!$C$22, $C$13, 100%, $E$13)</f>
        <v>3.4704999999999999</v>
      </c>
      <c r="C141" s="63">
        <f>3.4705 * CHOOSE(CONTROL!$C$22, $C$13, 100%, $E$13)</f>
        <v>3.4704999999999999</v>
      </c>
      <c r="D141" s="63">
        <f>3.4834 * CHOOSE(CONTROL!$C$22, $C$13, 100%, $E$13)</f>
        <v>3.4834000000000001</v>
      </c>
      <c r="E141" s="64">
        <f>3.9638 * CHOOSE(CONTROL!$C$22, $C$13, 100%, $E$13)</f>
        <v>3.9638</v>
      </c>
      <c r="F141" s="64">
        <f>3.9638 * CHOOSE(CONTROL!$C$22, $C$13, 100%, $E$13)</f>
        <v>3.9638</v>
      </c>
      <c r="G141" s="64">
        <f>3.964 * CHOOSE(CONTROL!$C$22, $C$13, 100%, $E$13)</f>
        <v>3.964</v>
      </c>
      <c r="H141" s="64">
        <f>7.3111* CHOOSE(CONTROL!$C$22, $C$13, 100%, $E$13)</f>
        <v>7.3110999999999997</v>
      </c>
      <c r="I141" s="64">
        <f>7.3113 * CHOOSE(CONTROL!$C$22, $C$13, 100%, $E$13)</f>
        <v>7.3113000000000001</v>
      </c>
      <c r="J141" s="64">
        <f>3.9638 * CHOOSE(CONTROL!$C$22, $C$13, 100%, $E$13)</f>
        <v>3.9638</v>
      </c>
      <c r="K141" s="64">
        <f>3.964 * CHOOSE(CONTROL!$C$22, $C$13, 100%, $E$13)</f>
        <v>3.964</v>
      </c>
      <c r="L141" s="4"/>
      <c r="M141" s="4"/>
      <c r="N141" s="4"/>
    </row>
    <row r="142" spans="1:14" ht="15">
      <c r="A142" s="13">
        <v>45962</v>
      </c>
      <c r="B142" s="63">
        <f>3.4735 * CHOOSE(CONTROL!$C$22, $C$13, 100%, $E$13)</f>
        <v>3.4735</v>
      </c>
      <c r="C142" s="63">
        <f>3.4735 * CHOOSE(CONTROL!$C$22, $C$13, 100%, $E$13)</f>
        <v>3.4735</v>
      </c>
      <c r="D142" s="63">
        <f>3.4864 * CHOOSE(CONTROL!$C$22, $C$13, 100%, $E$13)</f>
        <v>3.4864000000000002</v>
      </c>
      <c r="E142" s="64">
        <f>3.9751 * CHOOSE(CONTROL!$C$22, $C$13, 100%, $E$13)</f>
        <v>3.9750999999999999</v>
      </c>
      <c r="F142" s="64">
        <f>3.9751 * CHOOSE(CONTROL!$C$22, $C$13, 100%, $E$13)</f>
        <v>3.9750999999999999</v>
      </c>
      <c r="G142" s="64">
        <f>3.9753 * CHOOSE(CONTROL!$C$22, $C$13, 100%, $E$13)</f>
        <v>3.9752999999999998</v>
      </c>
      <c r="H142" s="64">
        <f>7.3263* CHOOSE(CONTROL!$C$22, $C$13, 100%, $E$13)</f>
        <v>7.3262999999999998</v>
      </c>
      <c r="I142" s="64">
        <f>7.3265 * CHOOSE(CONTROL!$C$22, $C$13, 100%, $E$13)</f>
        <v>7.3265000000000002</v>
      </c>
      <c r="J142" s="64">
        <f>3.9751 * CHOOSE(CONTROL!$C$22, $C$13, 100%, $E$13)</f>
        <v>3.9750999999999999</v>
      </c>
      <c r="K142" s="64">
        <f>3.9753 * CHOOSE(CONTROL!$C$22, $C$13, 100%, $E$13)</f>
        <v>3.9752999999999998</v>
      </c>
    </row>
    <row r="143" spans="1:14" ht="15">
      <c r="A143" s="13">
        <v>45992</v>
      </c>
      <c r="B143" s="63">
        <f>3.4735 * CHOOSE(CONTROL!$C$22, $C$13, 100%, $E$13)</f>
        <v>3.4735</v>
      </c>
      <c r="C143" s="63">
        <f>3.4735 * CHOOSE(CONTROL!$C$22, $C$13, 100%, $E$13)</f>
        <v>3.4735</v>
      </c>
      <c r="D143" s="63">
        <f>3.4864 * CHOOSE(CONTROL!$C$22, $C$13, 100%, $E$13)</f>
        <v>3.4864000000000002</v>
      </c>
      <c r="E143" s="64">
        <f>3.9522 * CHOOSE(CONTROL!$C$22, $C$13, 100%, $E$13)</f>
        <v>3.9521999999999999</v>
      </c>
      <c r="F143" s="64">
        <f>3.9522 * CHOOSE(CONTROL!$C$22, $C$13, 100%, $E$13)</f>
        <v>3.9521999999999999</v>
      </c>
      <c r="G143" s="64">
        <f>3.9524 * CHOOSE(CONTROL!$C$22, $C$13, 100%, $E$13)</f>
        <v>3.9523999999999999</v>
      </c>
      <c r="H143" s="64">
        <f>7.3416* CHOOSE(CONTROL!$C$22, $C$13, 100%, $E$13)</f>
        <v>7.3415999999999997</v>
      </c>
      <c r="I143" s="64">
        <f>7.3418 * CHOOSE(CONTROL!$C$22, $C$13, 100%, $E$13)</f>
        <v>7.3418000000000001</v>
      </c>
      <c r="J143" s="64">
        <f>3.9522 * CHOOSE(CONTROL!$C$22, $C$13, 100%, $E$13)</f>
        <v>3.9521999999999999</v>
      </c>
      <c r="K143" s="64">
        <f>3.9524 * CHOOSE(CONTROL!$C$22, $C$13, 100%, $E$13)</f>
        <v>3.9523999999999999</v>
      </c>
    </row>
    <row r="144" spans="1:14" ht="15">
      <c r="A144" s="13">
        <v>46023</v>
      </c>
      <c r="B144" s="63">
        <f>3.4998 * CHOOSE(CONTROL!$C$22, $C$13, 100%, $E$13)</f>
        <v>3.4998</v>
      </c>
      <c r="C144" s="63">
        <f>3.4998 * CHOOSE(CONTROL!$C$22, $C$13, 100%, $E$13)</f>
        <v>3.4998</v>
      </c>
      <c r="D144" s="63">
        <f>3.5127 * CHOOSE(CONTROL!$C$22, $C$13, 100%, $E$13)</f>
        <v>3.5127000000000002</v>
      </c>
      <c r="E144" s="64">
        <f>3.9948 * CHOOSE(CONTROL!$C$22, $C$13, 100%, $E$13)</f>
        <v>3.9948000000000001</v>
      </c>
      <c r="F144" s="64">
        <f>3.9948 * CHOOSE(CONTROL!$C$22, $C$13, 100%, $E$13)</f>
        <v>3.9948000000000001</v>
      </c>
      <c r="G144" s="64">
        <f>3.995 * CHOOSE(CONTROL!$C$22, $C$13, 100%, $E$13)</f>
        <v>3.9950000000000001</v>
      </c>
      <c r="H144" s="64">
        <f>7.3569* CHOOSE(CONTROL!$C$22, $C$13, 100%, $E$13)</f>
        <v>7.3569000000000004</v>
      </c>
      <c r="I144" s="64">
        <f>7.3571 * CHOOSE(CONTROL!$C$22, $C$13, 100%, $E$13)</f>
        <v>7.3571</v>
      </c>
      <c r="J144" s="64">
        <f>3.9948 * CHOOSE(CONTROL!$C$22, $C$13, 100%, $E$13)</f>
        <v>3.9948000000000001</v>
      </c>
      <c r="K144" s="64">
        <f>3.995 * CHOOSE(CONTROL!$C$22, $C$13, 100%, $E$13)</f>
        <v>3.9950000000000001</v>
      </c>
    </row>
    <row r="145" spans="1:11" ht="15">
      <c r="A145" s="13">
        <v>46054</v>
      </c>
      <c r="B145" s="63">
        <f>3.4968 * CHOOSE(CONTROL!$C$22, $C$13, 100%, $E$13)</f>
        <v>3.4967999999999999</v>
      </c>
      <c r="C145" s="63">
        <f>3.4968 * CHOOSE(CONTROL!$C$22, $C$13, 100%, $E$13)</f>
        <v>3.4967999999999999</v>
      </c>
      <c r="D145" s="63">
        <f>3.5096 * CHOOSE(CONTROL!$C$22, $C$13, 100%, $E$13)</f>
        <v>3.5095999999999998</v>
      </c>
      <c r="E145" s="64">
        <f>3.9484 * CHOOSE(CONTROL!$C$22, $C$13, 100%, $E$13)</f>
        <v>3.9483999999999999</v>
      </c>
      <c r="F145" s="64">
        <f>3.9484 * CHOOSE(CONTROL!$C$22, $C$13, 100%, $E$13)</f>
        <v>3.9483999999999999</v>
      </c>
      <c r="G145" s="64">
        <f>3.9486 * CHOOSE(CONTROL!$C$22, $C$13, 100%, $E$13)</f>
        <v>3.9485999999999999</v>
      </c>
      <c r="H145" s="64">
        <f>7.3722* CHOOSE(CONTROL!$C$22, $C$13, 100%, $E$13)</f>
        <v>7.3722000000000003</v>
      </c>
      <c r="I145" s="64">
        <f>7.3724 * CHOOSE(CONTROL!$C$22, $C$13, 100%, $E$13)</f>
        <v>7.3723999999999998</v>
      </c>
      <c r="J145" s="64">
        <f>3.9484 * CHOOSE(CONTROL!$C$22, $C$13, 100%, $E$13)</f>
        <v>3.9483999999999999</v>
      </c>
      <c r="K145" s="64">
        <f>3.9486 * CHOOSE(CONTROL!$C$22, $C$13, 100%, $E$13)</f>
        <v>3.9485999999999999</v>
      </c>
    </row>
    <row r="146" spans="1:11" ht="15">
      <c r="A146" s="13">
        <v>46082</v>
      </c>
      <c r="B146" s="63">
        <f>3.4937 * CHOOSE(CONTROL!$C$22, $C$13, 100%, $E$13)</f>
        <v>3.4937</v>
      </c>
      <c r="C146" s="63">
        <f>3.4937 * CHOOSE(CONTROL!$C$22, $C$13, 100%, $E$13)</f>
        <v>3.4937</v>
      </c>
      <c r="D146" s="63">
        <f>3.5066 * CHOOSE(CONTROL!$C$22, $C$13, 100%, $E$13)</f>
        <v>3.5066000000000002</v>
      </c>
      <c r="E146" s="64">
        <f>3.9812 * CHOOSE(CONTROL!$C$22, $C$13, 100%, $E$13)</f>
        <v>3.9811999999999999</v>
      </c>
      <c r="F146" s="64">
        <f>3.9812 * CHOOSE(CONTROL!$C$22, $C$13, 100%, $E$13)</f>
        <v>3.9811999999999999</v>
      </c>
      <c r="G146" s="64">
        <f>3.9814 * CHOOSE(CONTROL!$C$22, $C$13, 100%, $E$13)</f>
        <v>3.9813999999999998</v>
      </c>
      <c r="H146" s="64">
        <f>7.3876* CHOOSE(CONTROL!$C$22, $C$13, 100%, $E$13)</f>
        <v>7.3875999999999999</v>
      </c>
      <c r="I146" s="64">
        <f>7.3877 * CHOOSE(CONTROL!$C$22, $C$13, 100%, $E$13)</f>
        <v>7.3876999999999997</v>
      </c>
      <c r="J146" s="64">
        <f>3.9812 * CHOOSE(CONTROL!$C$22, $C$13, 100%, $E$13)</f>
        <v>3.9811999999999999</v>
      </c>
      <c r="K146" s="64">
        <f>3.9814 * CHOOSE(CONTROL!$C$22, $C$13, 100%, $E$13)</f>
        <v>3.9813999999999998</v>
      </c>
    </row>
    <row r="147" spans="1:11" ht="15">
      <c r="A147" s="13">
        <v>46113</v>
      </c>
      <c r="B147" s="63">
        <f>3.491 * CHOOSE(CONTROL!$C$22, $C$13, 100%, $E$13)</f>
        <v>3.4910000000000001</v>
      </c>
      <c r="C147" s="63">
        <f>3.491 * CHOOSE(CONTROL!$C$22, $C$13, 100%, $E$13)</f>
        <v>3.4910000000000001</v>
      </c>
      <c r="D147" s="63">
        <f>3.5038 * CHOOSE(CONTROL!$C$22, $C$13, 100%, $E$13)</f>
        <v>3.5038</v>
      </c>
      <c r="E147" s="64">
        <f>4.0145 * CHOOSE(CONTROL!$C$22, $C$13, 100%, $E$13)</f>
        <v>4.0145</v>
      </c>
      <c r="F147" s="64">
        <f>4.0145 * CHOOSE(CONTROL!$C$22, $C$13, 100%, $E$13)</f>
        <v>4.0145</v>
      </c>
      <c r="G147" s="64">
        <f>4.0147 * CHOOSE(CONTROL!$C$22, $C$13, 100%, $E$13)</f>
        <v>4.0147000000000004</v>
      </c>
      <c r="H147" s="64">
        <f>7.403* CHOOSE(CONTROL!$C$22, $C$13, 100%, $E$13)</f>
        <v>7.4029999999999996</v>
      </c>
      <c r="I147" s="64">
        <f>7.4031 * CHOOSE(CONTROL!$C$22, $C$13, 100%, $E$13)</f>
        <v>7.4031000000000002</v>
      </c>
      <c r="J147" s="64">
        <f>4.0145 * CHOOSE(CONTROL!$C$22, $C$13, 100%, $E$13)</f>
        <v>4.0145</v>
      </c>
      <c r="K147" s="64">
        <f>4.0147 * CHOOSE(CONTROL!$C$22, $C$13, 100%, $E$13)</f>
        <v>4.0147000000000004</v>
      </c>
    </row>
    <row r="148" spans="1:11" ht="15">
      <c r="A148" s="13">
        <v>46143</v>
      </c>
      <c r="B148" s="63">
        <f>3.491 * CHOOSE(CONTROL!$C$22, $C$13, 100%, $E$13)</f>
        <v>3.4910000000000001</v>
      </c>
      <c r="C148" s="63">
        <f>3.491 * CHOOSE(CONTROL!$C$22, $C$13, 100%, $E$13)</f>
        <v>3.4910000000000001</v>
      </c>
      <c r="D148" s="63">
        <f>3.5167 * CHOOSE(CONTROL!$C$22, $C$13, 100%, $E$13)</f>
        <v>3.5167000000000002</v>
      </c>
      <c r="E148" s="64">
        <f>4.0285 * CHOOSE(CONTROL!$C$22, $C$13, 100%, $E$13)</f>
        <v>4.0285000000000002</v>
      </c>
      <c r="F148" s="64">
        <f>4.0285 * CHOOSE(CONTROL!$C$22, $C$13, 100%, $E$13)</f>
        <v>4.0285000000000002</v>
      </c>
      <c r="G148" s="64">
        <f>4.0302 * CHOOSE(CONTROL!$C$22, $C$13, 100%, $E$13)</f>
        <v>4.0301999999999998</v>
      </c>
      <c r="H148" s="64">
        <f>7.4184* CHOOSE(CONTROL!$C$22, $C$13, 100%, $E$13)</f>
        <v>7.4184000000000001</v>
      </c>
      <c r="I148" s="64">
        <f>7.42 * CHOOSE(CONTROL!$C$22, $C$13, 100%, $E$13)</f>
        <v>7.42</v>
      </c>
      <c r="J148" s="64">
        <f>4.0285 * CHOOSE(CONTROL!$C$22, $C$13, 100%, $E$13)</f>
        <v>4.0285000000000002</v>
      </c>
      <c r="K148" s="64">
        <f>4.0302 * CHOOSE(CONTROL!$C$22, $C$13, 100%, $E$13)</f>
        <v>4.0301999999999998</v>
      </c>
    </row>
    <row r="149" spans="1:11" ht="15">
      <c r="A149" s="13">
        <v>46174</v>
      </c>
      <c r="B149" s="63">
        <f>3.497 * CHOOSE(CONTROL!$C$22, $C$13, 100%, $E$13)</f>
        <v>3.4969999999999999</v>
      </c>
      <c r="C149" s="63">
        <f>3.497 * CHOOSE(CONTROL!$C$22, $C$13, 100%, $E$13)</f>
        <v>3.4969999999999999</v>
      </c>
      <c r="D149" s="63">
        <f>3.5228 * CHOOSE(CONTROL!$C$22, $C$13, 100%, $E$13)</f>
        <v>3.5228000000000002</v>
      </c>
      <c r="E149" s="64">
        <f>4.0187 * CHOOSE(CONTROL!$C$22, $C$13, 100%, $E$13)</f>
        <v>4.0186999999999999</v>
      </c>
      <c r="F149" s="64">
        <f>4.0187 * CHOOSE(CONTROL!$C$22, $C$13, 100%, $E$13)</f>
        <v>4.0186999999999999</v>
      </c>
      <c r="G149" s="64">
        <f>4.0204 * CHOOSE(CONTROL!$C$22, $C$13, 100%, $E$13)</f>
        <v>4.0204000000000004</v>
      </c>
      <c r="H149" s="64">
        <f>7.4338* CHOOSE(CONTROL!$C$22, $C$13, 100%, $E$13)</f>
        <v>7.4337999999999997</v>
      </c>
      <c r="I149" s="64">
        <f>7.4355 * CHOOSE(CONTROL!$C$22, $C$13, 100%, $E$13)</f>
        <v>7.4355000000000002</v>
      </c>
      <c r="J149" s="64">
        <f>4.0187 * CHOOSE(CONTROL!$C$22, $C$13, 100%, $E$13)</f>
        <v>4.0186999999999999</v>
      </c>
      <c r="K149" s="64">
        <f>4.0204 * CHOOSE(CONTROL!$C$22, $C$13, 100%, $E$13)</f>
        <v>4.0204000000000004</v>
      </c>
    </row>
    <row r="150" spans="1:11" ht="15">
      <c r="A150" s="13">
        <v>46204</v>
      </c>
      <c r="B150" s="63">
        <f>3.5437 * CHOOSE(CONTROL!$C$22, $C$13, 100%, $E$13)</f>
        <v>3.5436999999999999</v>
      </c>
      <c r="C150" s="63">
        <f>3.5437 * CHOOSE(CONTROL!$C$22, $C$13, 100%, $E$13)</f>
        <v>3.5436999999999999</v>
      </c>
      <c r="D150" s="63">
        <f>3.5694 * CHOOSE(CONTROL!$C$22, $C$13, 100%, $E$13)</f>
        <v>3.5693999999999999</v>
      </c>
      <c r="E150" s="64">
        <f>4.0789 * CHOOSE(CONTROL!$C$22, $C$13, 100%, $E$13)</f>
        <v>4.0789</v>
      </c>
      <c r="F150" s="64">
        <f>4.0789 * CHOOSE(CONTROL!$C$22, $C$13, 100%, $E$13)</f>
        <v>4.0789</v>
      </c>
      <c r="G150" s="64">
        <f>4.0806 * CHOOSE(CONTROL!$C$22, $C$13, 100%, $E$13)</f>
        <v>4.0805999999999996</v>
      </c>
      <c r="H150" s="64">
        <f>7.4493* CHOOSE(CONTROL!$C$22, $C$13, 100%, $E$13)</f>
        <v>7.4493</v>
      </c>
      <c r="I150" s="64">
        <f>7.451 * CHOOSE(CONTROL!$C$22, $C$13, 100%, $E$13)</f>
        <v>7.4509999999999996</v>
      </c>
      <c r="J150" s="64">
        <f>4.0789 * CHOOSE(CONTROL!$C$22, $C$13, 100%, $E$13)</f>
        <v>4.0789</v>
      </c>
      <c r="K150" s="64">
        <f>4.0806 * CHOOSE(CONTROL!$C$22, $C$13, 100%, $E$13)</f>
        <v>4.0805999999999996</v>
      </c>
    </row>
    <row r="151" spans="1:11" ht="15">
      <c r="A151" s="13">
        <v>46235</v>
      </c>
      <c r="B151" s="63">
        <f>3.5504 * CHOOSE(CONTROL!$C$22, $C$13, 100%, $E$13)</f>
        <v>3.5503999999999998</v>
      </c>
      <c r="C151" s="63">
        <f>3.5504 * CHOOSE(CONTROL!$C$22, $C$13, 100%, $E$13)</f>
        <v>3.5503999999999998</v>
      </c>
      <c r="D151" s="63">
        <f>3.5761 * CHOOSE(CONTROL!$C$22, $C$13, 100%, $E$13)</f>
        <v>3.5760999999999998</v>
      </c>
      <c r="E151" s="64">
        <f>4.0414 * CHOOSE(CONTROL!$C$22, $C$13, 100%, $E$13)</f>
        <v>4.0414000000000003</v>
      </c>
      <c r="F151" s="64">
        <f>4.0414 * CHOOSE(CONTROL!$C$22, $C$13, 100%, $E$13)</f>
        <v>4.0414000000000003</v>
      </c>
      <c r="G151" s="64">
        <f>4.043 * CHOOSE(CONTROL!$C$22, $C$13, 100%, $E$13)</f>
        <v>4.0430000000000001</v>
      </c>
      <c r="H151" s="64">
        <f>7.4648* CHOOSE(CONTROL!$C$22, $C$13, 100%, $E$13)</f>
        <v>7.4648000000000003</v>
      </c>
      <c r="I151" s="64">
        <f>7.4665 * CHOOSE(CONTROL!$C$22, $C$13, 100%, $E$13)</f>
        <v>7.4664999999999999</v>
      </c>
      <c r="J151" s="64">
        <f>4.0414 * CHOOSE(CONTROL!$C$22, $C$13, 100%, $E$13)</f>
        <v>4.0414000000000003</v>
      </c>
      <c r="K151" s="64">
        <f>4.043 * CHOOSE(CONTROL!$C$22, $C$13, 100%, $E$13)</f>
        <v>4.0430000000000001</v>
      </c>
    </row>
    <row r="152" spans="1:11" ht="15">
      <c r="A152" s="13">
        <v>46266</v>
      </c>
      <c r="B152" s="63">
        <f>3.5473 * CHOOSE(CONTROL!$C$22, $C$13, 100%, $E$13)</f>
        <v>3.5472999999999999</v>
      </c>
      <c r="C152" s="63">
        <f>3.5473 * CHOOSE(CONTROL!$C$22, $C$13, 100%, $E$13)</f>
        <v>3.5472999999999999</v>
      </c>
      <c r="D152" s="63">
        <f>3.5731 * CHOOSE(CONTROL!$C$22, $C$13, 100%, $E$13)</f>
        <v>3.5731000000000002</v>
      </c>
      <c r="E152" s="64">
        <f>4.0346 * CHOOSE(CONTROL!$C$22, $C$13, 100%, $E$13)</f>
        <v>4.0346000000000002</v>
      </c>
      <c r="F152" s="64">
        <f>4.0346 * CHOOSE(CONTROL!$C$22, $C$13, 100%, $E$13)</f>
        <v>4.0346000000000002</v>
      </c>
      <c r="G152" s="64">
        <f>4.0362 * CHOOSE(CONTROL!$C$22, $C$13, 100%, $E$13)</f>
        <v>4.0362</v>
      </c>
      <c r="H152" s="64">
        <f>7.4804* CHOOSE(CONTROL!$C$22, $C$13, 100%, $E$13)</f>
        <v>7.4804000000000004</v>
      </c>
      <c r="I152" s="64">
        <f>7.482 * CHOOSE(CONTROL!$C$22, $C$13, 100%, $E$13)</f>
        <v>7.4820000000000002</v>
      </c>
      <c r="J152" s="64">
        <f>4.0346 * CHOOSE(CONTROL!$C$22, $C$13, 100%, $E$13)</f>
        <v>4.0346000000000002</v>
      </c>
      <c r="K152" s="64">
        <f>4.0362 * CHOOSE(CONTROL!$C$22, $C$13, 100%, $E$13)</f>
        <v>4.0362</v>
      </c>
    </row>
    <row r="153" spans="1:11" ht="15">
      <c r="A153" s="13">
        <v>46296</v>
      </c>
      <c r="B153" s="63">
        <f>3.541 * CHOOSE(CONTROL!$C$22, $C$13, 100%, $E$13)</f>
        <v>3.5409999999999999</v>
      </c>
      <c r="C153" s="63">
        <f>3.541 * CHOOSE(CONTROL!$C$22, $C$13, 100%, $E$13)</f>
        <v>3.5409999999999999</v>
      </c>
      <c r="D153" s="63">
        <f>3.5538 * CHOOSE(CONTROL!$C$22, $C$13, 100%, $E$13)</f>
        <v>3.5537999999999998</v>
      </c>
      <c r="E153" s="64">
        <f>4.0399 * CHOOSE(CONTROL!$C$22, $C$13, 100%, $E$13)</f>
        <v>4.0399000000000003</v>
      </c>
      <c r="F153" s="64">
        <f>4.0399 * CHOOSE(CONTROL!$C$22, $C$13, 100%, $E$13)</f>
        <v>4.0399000000000003</v>
      </c>
      <c r="G153" s="64">
        <f>4.0401 * CHOOSE(CONTROL!$C$22, $C$13, 100%, $E$13)</f>
        <v>4.0400999999999998</v>
      </c>
      <c r="H153" s="64">
        <f>7.496* CHOOSE(CONTROL!$C$22, $C$13, 100%, $E$13)</f>
        <v>7.4960000000000004</v>
      </c>
      <c r="I153" s="64">
        <f>7.4962 * CHOOSE(CONTROL!$C$22, $C$13, 100%, $E$13)</f>
        <v>7.4962</v>
      </c>
      <c r="J153" s="64">
        <f>4.0399 * CHOOSE(CONTROL!$C$22, $C$13, 100%, $E$13)</f>
        <v>4.0399000000000003</v>
      </c>
      <c r="K153" s="64">
        <f>4.0401 * CHOOSE(CONTROL!$C$22, $C$13, 100%, $E$13)</f>
        <v>4.0400999999999998</v>
      </c>
    </row>
    <row r="154" spans="1:11" ht="15">
      <c r="A154" s="13">
        <v>46327</v>
      </c>
      <c r="B154" s="63">
        <f>3.544 * CHOOSE(CONTROL!$C$22, $C$13, 100%, $E$13)</f>
        <v>3.544</v>
      </c>
      <c r="C154" s="63">
        <f>3.544 * CHOOSE(CONTROL!$C$22, $C$13, 100%, $E$13)</f>
        <v>3.544</v>
      </c>
      <c r="D154" s="63">
        <f>3.5569 * CHOOSE(CONTROL!$C$22, $C$13, 100%, $E$13)</f>
        <v>3.5569000000000002</v>
      </c>
      <c r="E154" s="64">
        <f>4.0514 * CHOOSE(CONTROL!$C$22, $C$13, 100%, $E$13)</f>
        <v>4.0514000000000001</v>
      </c>
      <c r="F154" s="64">
        <f>4.0514 * CHOOSE(CONTROL!$C$22, $C$13, 100%, $E$13)</f>
        <v>4.0514000000000001</v>
      </c>
      <c r="G154" s="64">
        <f>4.0516 * CHOOSE(CONTROL!$C$22, $C$13, 100%, $E$13)</f>
        <v>4.0515999999999996</v>
      </c>
      <c r="H154" s="64">
        <f>7.5116* CHOOSE(CONTROL!$C$22, $C$13, 100%, $E$13)</f>
        <v>7.5115999999999996</v>
      </c>
      <c r="I154" s="64">
        <f>7.5118 * CHOOSE(CONTROL!$C$22, $C$13, 100%, $E$13)</f>
        <v>7.5118</v>
      </c>
      <c r="J154" s="64">
        <f>4.0514 * CHOOSE(CONTROL!$C$22, $C$13, 100%, $E$13)</f>
        <v>4.0514000000000001</v>
      </c>
      <c r="K154" s="64">
        <f>4.0516 * CHOOSE(CONTROL!$C$22, $C$13, 100%, $E$13)</f>
        <v>4.0515999999999996</v>
      </c>
    </row>
    <row r="155" spans="1:11" ht="15">
      <c r="A155" s="13">
        <v>46357</v>
      </c>
      <c r="B155" s="63">
        <f>3.544 * CHOOSE(CONTROL!$C$22, $C$13, 100%, $E$13)</f>
        <v>3.544</v>
      </c>
      <c r="C155" s="63">
        <f>3.544 * CHOOSE(CONTROL!$C$22, $C$13, 100%, $E$13)</f>
        <v>3.544</v>
      </c>
      <c r="D155" s="63">
        <f>3.5569 * CHOOSE(CONTROL!$C$22, $C$13, 100%, $E$13)</f>
        <v>3.5569000000000002</v>
      </c>
      <c r="E155" s="64">
        <f>4.028 * CHOOSE(CONTROL!$C$22, $C$13, 100%, $E$13)</f>
        <v>4.0279999999999996</v>
      </c>
      <c r="F155" s="64">
        <f>4.028 * CHOOSE(CONTROL!$C$22, $C$13, 100%, $E$13)</f>
        <v>4.0279999999999996</v>
      </c>
      <c r="G155" s="64">
        <f>4.0282 * CHOOSE(CONTROL!$C$22, $C$13, 100%, $E$13)</f>
        <v>4.0282</v>
      </c>
      <c r="H155" s="64">
        <f>7.5273* CHOOSE(CONTROL!$C$22, $C$13, 100%, $E$13)</f>
        <v>7.5273000000000003</v>
      </c>
      <c r="I155" s="64">
        <f>7.5274 * CHOOSE(CONTROL!$C$22, $C$13, 100%, $E$13)</f>
        <v>7.5274000000000001</v>
      </c>
      <c r="J155" s="64">
        <f>4.028 * CHOOSE(CONTROL!$C$22, $C$13, 100%, $E$13)</f>
        <v>4.0279999999999996</v>
      </c>
      <c r="K155" s="64">
        <f>4.0282 * CHOOSE(CONTROL!$C$22, $C$13, 100%, $E$13)</f>
        <v>4.0282</v>
      </c>
    </row>
    <row r="156" spans="1:11" ht="15">
      <c r="A156" s="13">
        <v>46388</v>
      </c>
      <c r="B156" s="63">
        <f>3.5723 * CHOOSE(CONTROL!$C$22, $C$13, 100%, $E$13)</f>
        <v>3.5722999999999998</v>
      </c>
      <c r="C156" s="63">
        <f>3.5723 * CHOOSE(CONTROL!$C$22, $C$13, 100%, $E$13)</f>
        <v>3.5722999999999998</v>
      </c>
      <c r="D156" s="63">
        <f>3.5852 * CHOOSE(CONTROL!$C$22, $C$13, 100%, $E$13)</f>
        <v>3.5851999999999999</v>
      </c>
      <c r="E156" s="64">
        <f>4.0707 * CHOOSE(CONTROL!$C$22, $C$13, 100%, $E$13)</f>
        <v>4.0707000000000004</v>
      </c>
      <c r="F156" s="64">
        <f>4.0707 * CHOOSE(CONTROL!$C$22, $C$13, 100%, $E$13)</f>
        <v>4.0707000000000004</v>
      </c>
      <c r="G156" s="64">
        <f>4.0708 * CHOOSE(CONTROL!$C$22, $C$13, 100%, $E$13)</f>
        <v>4.0708000000000002</v>
      </c>
      <c r="H156" s="64">
        <f>7.5429* CHOOSE(CONTROL!$C$22, $C$13, 100%, $E$13)</f>
        <v>7.5429000000000004</v>
      </c>
      <c r="I156" s="64">
        <f>7.5431 * CHOOSE(CONTROL!$C$22, $C$13, 100%, $E$13)</f>
        <v>7.5430999999999999</v>
      </c>
      <c r="J156" s="64">
        <f>4.0707 * CHOOSE(CONTROL!$C$22, $C$13, 100%, $E$13)</f>
        <v>4.0707000000000004</v>
      </c>
      <c r="K156" s="64">
        <f>4.0708 * CHOOSE(CONTROL!$C$22, $C$13, 100%, $E$13)</f>
        <v>4.0708000000000002</v>
      </c>
    </row>
    <row r="157" spans="1:11" ht="15">
      <c r="A157" s="13">
        <v>46419</v>
      </c>
      <c r="B157" s="63">
        <f>3.5693 * CHOOSE(CONTROL!$C$22, $C$13, 100%, $E$13)</f>
        <v>3.5693000000000001</v>
      </c>
      <c r="C157" s="63">
        <f>3.5693 * CHOOSE(CONTROL!$C$22, $C$13, 100%, $E$13)</f>
        <v>3.5693000000000001</v>
      </c>
      <c r="D157" s="63">
        <f>3.5822 * CHOOSE(CONTROL!$C$22, $C$13, 100%, $E$13)</f>
        <v>3.5821999999999998</v>
      </c>
      <c r="E157" s="64">
        <f>4.0231 * CHOOSE(CONTROL!$C$22, $C$13, 100%, $E$13)</f>
        <v>4.0231000000000003</v>
      </c>
      <c r="F157" s="64">
        <f>4.0231 * CHOOSE(CONTROL!$C$22, $C$13, 100%, $E$13)</f>
        <v>4.0231000000000003</v>
      </c>
      <c r="G157" s="64">
        <f>4.0233 * CHOOSE(CONTROL!$C$22, $C$13, 100%, $E$13)</f>
        <v>4.0232999999999999</v>
      </c>
      <c r="H157" s="64">
        <f>7.5586* CHOOSE(CONTROL!$C$22, $C$13, 100%, $E$13)</f>
        <v>7.5586000000000002</v>
      </c>
      <c r="I157" s="64">
        <f>7.5588 * CHOOSE(CONTROL!$C$22, $C$13, 100%, $E$13)</f>
        <v>7.5587999999999997</v>
      </c>
      <c r="J157" s="64">
        <f>4.0231 * CHOOSE(CONTROL!$C$22, $C$13, 100%, $E$13)</f>
        <v>4.0231000000000003</v>
      </c>
      <c r="K157" s="64">
        <f>4.0233 * CHOOSE(CONTROL!$C$22, $C$13, 100%, $E$13)</f>
        <v>4.0232999999999999</v>
      </c>
    </row>
    <row r="158" spans="1:11" ht="15">
      <c r="A158" s="13">
        <v>46447</v>
      </c>
      <c r="B158" s="63">
        <f>3.5662 * CHOOSE(CONTROL!$C$22, $C$13, 100%, $E$13)</f>
        <v>3.5661999999999998</v>
      </c>
      <c r="C158" s="63">
        <f>3.5662 * CHOOSE(CONTROL!$C$22, $C$13, 100%, $E$13)</f>
        <v>3.5661999999999998</v>
      </c>
      <c r="D158" s="63">
        <f>3.5791 * CHOOSE(CONTROL!$C$22, $C$13, 100%, $E$13)</f>
        <v>3.5790999999999999</v>
      </c>
      <c r="E158" s="64">
        <f>4.0568 * CHOOSE(CONTROL!$C$22, $C$13, 100%, $E$13)</f>
        <v>4.0568</v>
      </c>
      <c r="F158" s="64">
        <f>4.0568 * CHOOSE(CONTROL!$C$22, $C$13, 100%, $E$13)</f>
        <v>4.0568</v>
      </c>
      <c r="G158" s="64">
        <f>4.057 * CHOOSE(CONTROL!$C$22, $C$13, 100%, $E$13)</f>
        <v>4.0570000000000004</v>
      </c>
      <c r="H158" s="64">
        <f>7.5744* CHOOSE(CONTROL!$C$22, $C$13, 100%, $E$13)</f>
        <v>7.5743999999999998</v>
      </c>
      <c r="I158" s="64">
        <f>7.5746 * CHOOSE(CONTROL!$C$22, $C$13, 100%, $E$13)</f>
        <v>7.5746000000000002</v>
      </c>
      <c r="J158" s="64">
        <f>4.0568 * CHOOSE(CONTROL!$C$22, $C$13, 100%, $E$13)</f>
        <v>4.0568</v>
      </c>
      <c r="K158" s="64">
        <f>4.057 * CHOOSE(CONTROL!$C$22, $C$13, 100%, $E$13)</f>
        <v>4.0570000000000004</v>
      </c>
    </row>
    <row r="159" spans="1:11" ht="15">
      <c r="A159" s="13">
        <v>46478</v>
      </c>
      <c r="B159" s="63">
        <f>3.5635 * CHOOSE(CONTROL!$C$22, $C$13, 100%, $E$13)</f>
        <v>3.5634999999999999</v>
      </c>
      <c r="C159" s="63">
        <f>3.5635 * CHOOSE(CONTROL!$C$22, $C$13, 100%, $E$13)</f>
        <v>3.5634999999999999</v>
      </c>
      <c r="D159" s="63">
        <f>3.5764 * CHOOSE(CONTROL!$C$22, $C$13, 100%, $E$13)</f>
        <v>3.5764</v>
      </c>
      <c r="E159" s="64">
        <f>4.091 * CHOOSE(CONTROL!$C$22, $C$13, 100%, $E$13)</f>
        <v>4.0910000000000002</v>
      </c>
      <c r="F159" s="64">
        <f>4.091 * CHOOSE(CONTROL!$C$22, $C$13, 100%, $E$13)</f>
        <v>4.0910000000000002</v>
      </c>
      <c r="G159" s="64">
        <f>4.0912 * CHOOSE(CONTROL!$C$22, $C$13, 100%, $E$13)</f>
        <v>4.0911999999999997</v>
      </c>
      <c r="H159" s="64">
        <f>7.5902* CHOOSE(CONTROL!$C$22, $C$13, 100%, $E$13)</f>
        <v>7.5902000000000003</v>
      </c>
      <c r="I159" s="64">
        <f>7.5904 * CHOOSE(CONTROL!$C$22, $C$13, 100%, $E$13)</f>
        <v>7.5903999999999998</v>
      </c>
      <c r="J159" s="64">
        <f>4.091 * CHOOSE(CONTROL!$C$22, $C$13, 100%, $E$13)</f>
        <v>4.0910000000000002</v>
      </c>
      <c r="K159" s="64">
        <f>4.0912 * CHOOSE(CONTROL!$C$22, $C$13, 100%, $E$13)</f>
        <v>4.0911999999999997</v>
      </c>
    </row>
    <row r="160" spans="1:11" ht="15">
      <c r="A160" s="13">
        <v>46508</v>
      </c>
      <c r="B160" s="63">
        <f>3.5635 * CHOOSE(CONTROL!$C$22, $C$13, 100%, $E$13)</f>
        <v>3.5634999999999999</v>
      </c>
      <c r="C160" s="63">
        <f>3.5635 * CHOOSE(CONTROL!$C$22, $C$13, 100%, $E$13)</f>
        <v>3.5634999999999999</v>
      </c>
      <c r="D160" s="63">
        <f>3.5893 * CHOOSE(CONTROL!$C$22, $C$13, 100%, $E$13)</f>
        <v>3.5893000000000002</v>
      </c>
      <c r="E160" s="64">
        <f>4.1054 * CHOOSE(CONTROL!$C$22, $C$13, 100%, $E$13)</f>
        <v>4.1054000000000004</v>
      </c>
      <c r="F160" s="64">
        <f>4.1054 * CHOOSE(CONTROL!$C$22, $C$13, 100%, $E$13)</f>
        <v>4.1054000000000004</v>
      </c>
      <c r="G160" s="64">
        <f>4.1071 * CHOOSE(CONTROL!$C$22, $C$13, 100%, $E$13)</f>
        <v>4.1071</v>
      </c>
      <c r="H160" s="64">
        <f>7.606* CHOOSE(CONTROL!$C$22, $C$13, 100%, $E$13)</f>
        <v>7.6059999999999999</v>
      </c>
      <c r="I160" s="64">
        <f>7.6076 * CHOOSE(CONTROL!$C$22, $C$13, 100%, $E$13)</f>
        <v>7.6075999999999997</v>
      </c>
      <c r="J160" s="64">
        <f>4.1054 * CHOOSE(CONTROL!$C$22, $C$13, 100%, $E$13)</f>
        <v>4.1054000000000004</v>
      </c>
      <c r="K160" s="64">
        <f>4.1071 * CHOOSE(CONTROL!$C$22, $C$13, 100%, $E$13)</f>
        <v>4.1071</v>
      </c>
    </row>
    <row r="161" spans="1:11" ht="15">
      <c r="A161" s="13">
        <v>46539</v>
      </c>
      <c r="B161" s="63">
        <f>3.5696 * CHOOSE(CONTROL!$C$22, $C$13, 100%, $E$13)</f>
        <v>3.5695999999999999</v>
      </c>
      <c r="C161" s="63">
        <f>3.5696 * CHOOSE(CONTROL!$C$22, $C$13, 100%, $E$13)</f>
        <v>3.5695999999999999</v>
      </c>
      <c r="D161" s="63">
        <f>3.5954 * CHOOSE(CONTROL!$C$22, $C$13, 100%, $E$13)</f>
        <v>3.5954000000000002</v>
      </c>
      <c r="E161" s="64">
        <f>4.0953 * CHOOSE(CONTROL!$C$22, $C$13, 100%, $E$13)</f>
        <v>4.0952999999999999</v>
      </c>
      <c r="F161" s="64">
        <f>4.0953 * CHOOSE(CONTROL!$C$22, $C$13, 100%, $E$13)</f>
        <v>4.0952999999999999</v>
      </c>
      <c r="G161" s="64">
        <f>4.0969 * CHOOSE(CONTROL!$C$22, $C$13, 100%, $E$13)</f>
        <v>4.0968999999999998</v>
      </c>
      <c r="H161" s="64">
        <f>7.6218* CHOOSE(CONTROL!$C$22, $C$13, 100%, $E$13)</f>
        <v>7.6218000000000004</v>
      </c>
      <c r="I161" s="64">
        <f>7.6235 * CHOOSE(CONTROL!$C$22, $C$13, 100%, $E$13)</f>
        <v>7.6234999999999999</v>
      </c>
      <c r="J161" s="64">
        <f>4.0953 * CHOOSE(CONTROL!$C$22, $C$13, 100%, $E$13)</f>
        <v>4.0952999999999999</v>
      </c>
      <c r="K161" s="64">
        <f>4.0969 * CHOOSE(CONTROL!$C$22, $C$13, 100%, $E$13)</f>
        <v>4.0968999999999998</v>
      </c>
    </row>
    <row r="162" spans="1:11" ht="15">
      <c r="A162" s="13">
        <v>46569</v>
      </c>
      <c r="B162" s="63">
        <f>3.6201 * CHOOSE(CONTROL!$C$22, $C$13, 100%, $E$13)</f>
        <v>3.6200999999999999</v>
      </c>
      <c r="C162" s="63">
        <f>3.6201 * CHOOSE(CONTROL!$C$22, $C$13, 100%, $E$13)</f>
        <v>3.6200999999999999</v>
      </c>
      <c r="D162" s="63">
        <f>3.6458 * CHOOSE(CONTROL!$C$22, $C$13, 100%, $E$13)</f>
        <v>3.6457999999999999</v>
      </c>
      <c r="E162" s="64">
        <f>4.1543 * CHOOSE(CONTROL!$C$22, $C$13, 100%, $E$13)</f>
        <v>4.1543000000000001</v>
      </c>
      <c r="F162" s="64">
        <f>4.1543 * CHOOSE(CONTROL!$C$22, $C$13, 100%, $E$13)</f>
        <v>4.1543000000000001</v>
      </c>
      <c r="G162" s="64">
        <f>4.1559 * CHOOSE(CONTROL!$C$22, $C$13, 100%, $E$13)</f>
        <v>4.1558999999999999</v>
      </c>
      <c r="H162" s="64">
        <f>7.6377* CHOOSE(CONTROL!$C$22, $C$13, 100%, $E$13)</f>
        <v>7.6376999999999997</v>
      </c>
      <c r="I162" s="64">
        <f>7.6394 * CHOOSE(CONTROL!$C$22, $C$13, 100%, $E$13)</f>
        <v>7.6394000000000002</v>
      </c>
      <c r="J162" s="64">
        <f>4.1543 * CHOOSE(CONTROL!$C$22, $C$13, 100%, $E$13)</f>
        <v>4.1543000000000001</v>
      </c>
      <c r="K162" s="64">
        <f>4.1559 * CHOOSE(CONTROL!$C$22, $C$13, 100%, $E$13)</f>
        <v>4.1558999999999999</v>
      </c>
    </row>
    <row r="163" spans="1:11" ht="15">
      <c r="A163" s="13">
        <v>46600</v>
      </c>
      <c r="B163" s="63">
        <f>3.6268 * CHOOSE(CONTROL!$C$22, $C$13, 100%, $E$13)</f>
        <v>3.6267999999999998</v>
      </c>
      <c r="C163" s="63">
        <f>3.6268 * CHOOSE(CONTROL!$C$22, $C$13, 100%, $E$13)</f>
        <v>3.6267999999999998</v>
      </c>
      <c r="D163" s="63">
        <f>3.6525 * CHOOSE(CONTROL!$C$22, $C$13, 100%, $E$13)</f>
        <v>3.6524999999999999</v>
      </c>
      <c r="E163" s="64">
        <f>4.1157 * CHOOSE(CONTROL!$C$22, $C$13, 100%, $E$13)</f>
        <v>4.1157000000000004</v>
      </c>
      <c r="F163" s="64">
        <f>4.1157 * CHOOSE(CONTROL!$C$22, $C$13, 100%, $E$13)</f>
        <v>4.1157000000000004</v>
      </c>
      <c r="G163" s="64">
        <f>4.1173 * CHOOSE(CONTROL!$C$22, $C$13, 100%, $E$13)</f>
        <v>4.1173000000000002</v>
      </c>
      <c r="H163" s="64">
        <f>7.6536* CHOOSE(CONTROL!$C$22, $C$13, 100%, $E$13)</f>
        <v>7.6536</v>
      </c>
      <c r="I163" s="64">
        <f>7.6553 * CHOOSE(CONTROL!$C$22, $C$13, 100%, $E$13)</f>
        <v>7.6553000000000004</v>
      </c>
      <c r="J163" s="64">
        <f>4.1157 * CHOOSE(CONTROL!$C$22, $C$13, 100%, $E$13)</f>
        <v>4.1157000000000004</v>
      </c>
      <c r="K163" s="64">
        <f>4.1173 * CHOOSE(CONTROL!$C$22, $C$13, 100%, $E$13)</f>
        <v>4.1173000000000002</v>
      </c>
    </row>
    <row r="164" spans="1:11" ht="15">
      <c r="A164" s="13">
        <v>46631</v>
      </c>
      <c r="B164" s="63">
        <f>3.6237 * CHOOSE(CONTROL!$C$22, $C$13, 100%, $E$13)</f>
        <v>3.6236999999999999</v>
      </c>
      <c r="C164" s="63">
        <f>3.6237 * CHOOSE(CONTROL!$C$22, $C$13, 100%, $E$13)</f>
        <v>3.6236999999999999</v>
      </c>
      <c r="D164" s="63">
        <f>3.6495 * CHOOSE(CONTROL!$C$22, $C$13, 100%, $E$13)</f>
        <v>3.6495000000000002</v>
      </c>
      <c r="E164" s="64">
        <f>4.1088 * CHOOSE(CONTROL!$C$22, $C$13, 100%, $E$13)</f>
        <v>4.1087999999999996</v>
      </c>
      <c r="F164" s="64">
        <f>4.1088 * CHOOSE(CONTROL!$C$22, $C$13, 100%, $E$13)</f>
        <v>4.1087999999999996</v>
      </c>
      <c r="G164" s="64">
        <f>4.1104 * CHOOSE(CONTROL!$C$22, $C$13, 100%, $E$13)</f>
        <v>4.1104000000000003</v>
      </c>
      <c r="H164" s="64">
        <f>7.6696* CHOOSE(CONTROL!$C$22, $C$13, 100%, $E$13)</f>
        <v>7.6696</v>
      </c>
      <c r="I164" s="64">
        <f>7.6712 * CHOOSE(CONTROL!$C$22, $C$13, 100%, $E$13)</f>
        <v>7.6711999999999998</v>
      </c>
      <c r="J164" s="64">
        <f>4.1088 * CHOOSE(CONTROL!$C$22, $C$13, 100%, $E$13)</f>
        <v>4.1087999999999996</v>
      </c>
      <c r="K164" s="64">
        <f>4.1104 * CHOOSE(CONTROL!$C$22, $C$13, 100%, $E$13)</f>
        <v>4.1104000000000003</v>
      </c>
    </row>
    <row r="165" spans="1:11" ht="15">
      <c r="A165" s="13">
        <v>46661</v>
      </c>
      <c r="B165" s="63">
        <f>3.6177 * CHOOSE(CONTROL!$C$22, $C$13, 100%, $E$13)</f>
        <v>3.6177000000000001</v>
      </c>
      <c r="C165" s="63">
        <f>3.6177 * CHOOSE(CONTROL!$C$22, $C$13, 100%, $E$13)</f>
        <v>3.6177000000000001</v>
      </c>
      <c r="D165" s="63">
        <f>3.6306 * CHOOSE(CONTROL!$C$22, $C$13, 100%, $E$13)</f>
        <v>3.6305999999999998</v>
      </c>
      <c r="E165" s="64">
        <f>4.1146 * CHOOSE(CONTROL!$C$22, $C$13, 100%, $E$13)</f>
        <v>4.1146000000000003</v>
      </c>
      <c r="F165" s="64">
        <f>4.1146 * CHOOSE(CONTROL!$C$22, $C$13, 100%, $E$13)</f>
        <v>4.1146000000000003</v>
      </c>
      <c r="G165" s="64">
        <f>4.1148 * CHOOSE(CONTROL!$C$22, $C$13, 100%, $E$13)</f>
        <v>4.1147999999999998</v>
      </c>
      <c r="H165" s="64">
        <f>7.6855* CHOOSE(CONTROL!$C$22, $C$13, 100%, $E$13)</f>
        <v>7.6855000000000002</v>
      </c>
      <c r="I165" s="64">
        <f>7.6857 * CHOOSE(CONTROL!$C$22, $C$13, 100%, $E$13)</f>
        <v>7.6856999999999998</v>
      </c>
      <c r="J165" s="64">
        <f>4.1146 * CHOOSE(CONTROL!$C$22, $C$13, 100%, $E$13)</f>
        <v>4.1146000000000003</v>
      </c>
      <c r="K165" s="64">
        <f>4.1148 * CHOOSE(CONTROL!$C$22, $C$13, 100%, $E$13)</f>
        <v>4.1147999999999998</v>
      </c>
    </row>
    <row r="166" spans="1:11" ht="15">
      <c r="A166" s="13">
        <v>46692</v>
      </c>
      <c r="B166" s="63">
        <f>3.6207 * CHOOSE(CONTROL!$C$22, $C$13, 100%, $E$13)</f>
        <v>3.6206999999999998</v>
      </c>
      <c r="C166" s="63">
        <f>3.6207 * CHOOSE(CONTROL!$C$22, $C$13, 100%, $E$13)</f>
        <v>3.6206999999999998</v>
      </c>
      <c r="D166" s="63">
        <f>3.6336 * CHOOSE(CONTROL!$C$22, $C$13, 100%, $E$13)</f>
        <v>3.6335999999999999</v>
      </c>
      <c r="E166" s="64">
        <f>4.1263 * CHOOSE(CONTROL!$C$22, $C$13, 100%, $E$13)</f>
        <v>4.1262999999999996</v>
      </c>
      <c r="F166" s="64">
        <f>4.1263 * CHOOSE(CONTROL!$C$22, $C$13, 100%, $E$13)</f>
        <v>4.1262999999999996</v>
      </c>
      <c r="G166" s="64">
        <f>4.1265 * CHOOSE(CONTROL!$C$22, $C$13, 100%, $E$13)</f>
        <v>4.1265000000000001</v>
      </c>
      <c r="H166" s="64">
        <f>7.7016* CHOOSE(CONTROL!$C$22, $C$13, 100%, $E$13)</f>
        <v>7.7016</v>
      </c>
      <c r="I166" s="64">
        <f>7.7017 * CHOOSE(CONTROL!$C$22, $C$13, 100%, $E$13)</f>
        <v>7.7016999999999998</v>
      </c>
      <c r="J166" s="64">
        <f>4.1263 * CHOOSE(CONTROL!$C$22, $C$13, 100%, $E$13)</f>
        <v>4.1262999999999996</v>
      </c>
      <c r="K166" s="64">
        <f>4.1265 * CHOOSE(CONTROL!$C$22, $C$13, 100%, $E$13)</f>
        <v>4.1265000000000001</v>
      </c>
    </row>
    <row r="167" spans="1:11" ht="15">
      <c r="A167" s="13">
        <v>46722</v>
      </c>
      <c r="B167" s="63">
        <f>3.6207 * CHOOSE(CONTROL!$C$22, $C$13, 100%, $E$13)</f>
        <v>3.6206999999999998</v>
      </c>
      <c r="C167" s="63">
        <f>3.6207 * CHOOSE(CONTROL!$C$22, $C$13, 100%, $E$13)</f>
        <v>3.6206999999999998</v>
      </c>
      <c r="D167" s="63">
        <f>3.6336 * CHOOSE(CONTROL!$C$22, $C$13, 100%, $E$13)</f>
        <v>3.6335999999999999</v>
      </c>
      <c r="E167" s="64">
        <f>4.1023 * CHOOSE(CONTROL!$C$22, $C$13, 100%, $E$13)</f>
        <v>4.1022999999999996</v>
      </c>
      <c r="F167" s="64">
        <f>4.1023 * CHOOSE(CONTROL!$C$22, $C$13, 100%, $E$13)</f>
        <v>4.1022999999999996</v>
      </c>
      <c r="G167" s="64">
        <f>4.1024 * CHOOSE(CONTROL!$C$22, $C$13, 100%, $E$13)</f>
        <v>4.1024000000000003</v>
      </c>
      <c r="H167" s="64">
        <f>7.7176* CHOOSE(CONTROL!$C$22, $C$13, 100%, $E$13)</f>
        <v>7.7176</v>
      </c>
      <c r="I167" s="64">
        <f>7.7178 * CHOOSE(CONTROL!$C$22, $C$13, 100%, $E$13)</f>
        <v>7.7178000000000004</v>
      </c>
      <c r="J167" s="64">
        <f>4.1023 * CHOOSE(CONTROL!$C$22, $C$13, 100%, $E$13)</f>
        <v>4.1022999999999996</v>
      </c>
      <c r="K167" s="64">
        <f>4.1024 * CHOOSE(CONTROL!$C$22, $C$13, 100%, $E$13)</f>
        <v>4.1024000000000003</v>
      </c>
    </row>
    <row r="168" spans="1:11" ht="15">
      <c r="A168" s="13">
        <v>46753</v>
      </c>
      <c r="B168" s="63">
        <f>3.656 * CHOOSE(CONTROL!$C$22, $C$13, 100%, $E$13)</f>
        <v>3.6560000000000001</v>
      </c>
      <c r="C168" s="63">
        <f>3.656 * CHOOSE(CONTROL!$C$22, $C$13, 100%, $E$13)</f>
        <v>3.6560000000000001</v>
      </c>
      <c r="D168" s="63">
        <f>3.6688 * CHOOSE(CONTROL!$C$22, $C$13, 100%, $E$13)</f>
        <v>3.6688000000000001</v>
      </c>
      <c r="E168" s="64">
        <f>4.1535 * CHOOSE(CONTROL!$C$22, $C$13, 100%, $E$13)</f>
        <v>4.1535000000000002</v>
      </c>
      <c r="F168" s="64">
        <f>4.1535 * CHOOSE(CONTROL!$C$22, $C$13, 100%, $E$13)</f>
        <v>4.1535000000000002</v>
      </c>
      <c r="G168" s="64">
        <f>4.1537 * CHOOSE(CONTROL!$C$22, $C$13, 100%, $E$13)</f>
        <v>4.1536999999999997</v>
      </c>
      <c r="H168" s="64">
        <f>7.7337* CHOOSE(CONTROL!$C$22, $C$13, 100%, $E$13)</f>
        <v>7.7336999999999998</v>
      </c>
      <c r="I168" s="64">
        <f>7.7339 * CHOOSE(CONTROL!$C$22, $C$13, 100%, $E$13)</f>
        <v>7.7339000000000002</v>
      </c>
      <c r="J168" s="64">
        <f>4.1535 * CHOOSE(CONTROL!$C$22, $C$13, 100%, $E$13)</f>
        <v>4.1535000000000002</v>
      </c>
      <c r="K168" s="64">
        <f>4.1537 * CHOOSE(CONTROL!$C$22, $C$13, 100%, $E$13)</f>
        <v>4.1536999999999997</v>
      </c>
    </row>
    <row r="169" spans="1:11" ht="15">
      <c r="A169" s="13">
        <v>46784</v>
      </c>
      <c r="B169" s="63">
        <f>3.6529 * CHOOSE(CONTROL!$C$22, $C$13, 100%, $E$13)</f>
        <v>3.6528999999999998</v>
      </c>
      <c r="C169" s="63">
        <f>3.6529 * CHOOSE(CONTROL!$C$22, $C$13, 100%, $E$13)</f>
        <v>3.6528999999999998</v>
      </c>
      <c r="D169" s="63">
        <f>3.6658 * CHOOSE(CONTROL!$C$22, $C$13, 100%, $E$13)</f>
        <v>3.6657999999999999</v>
      </c>
      <c r="E169" s="64">
        <f>4.1048 * CHOOSE(CONTROL!$C$22, $C$13, 100%, $E$13)</f>
        <v>4.1048</v>
      </c>
      <c r="F169" s="64">
        <f>4.1048 * CHOOSE(CONTROL!$C$22, $C$13, 100%, $E$13)</f>
        <v>4.1048</v>
      </c>
      <c r="G169" s="64">
        <f>4.105 * CHOOSE(CONTROL!$C$22, $C$13, 100%, $E$13)</f>
        <v>4.1050000000000004</v>
      </c>
      <c r="H169" s="64">
        <f>7.7498* CHOOSE(CONTROL!$C$22, $C$13, 100%, $E$13)</f>
        <v>7.7497999999999996</v>
      </c>
      <c r="I169" s="64">
        <f>7.75 * CHOOSE(CONTROL!$C$22, $C$13, 100%, $E$13)</f>
        <v>7.75</v>
      </c>
      <c r="J169" s="64">
        <f>4.1048 * CHOOSE(CONTROL!$C$22, $C$13, 100%, $E$13)</f>
        <v>4.1048</v>
      </c>
      <c r="K169" s="64">
        <f>4.105 * CHOOSE(CONTROL!$C$22, $C$13, 100%, $E$13)</f>
        <v>4.1050000000000004</v>
      </c>
    </row>
    <row r="170" spans="1:11" ht="15">
      <c r="A170" s="13">
        <v>46813</v>
      </c>
      <c r="B170" s="63">
        <f>3.6499 * CHOOSE(CONTROL!$C$22, $C$13, 100%, $E$13)</f>
        <v>3.6499000000000001</v>
      </c>
      <c r="C170" s="63">
        <f>3.6499 * CHOOSE(CONTROL!$C$22, $C$13, 100%, $E$13)</f>
        <v>3.6499000000000001</v>
      </c>
      <c r="D170" s="63">
        <f>3.6628 * CHOOSE(CONTROL!$C$22, $C$13, 100%, $E$13)</f>
        <v>3.6627999999999998</v>
      </c>
      <c r="E170" s="64">
        <f>4.1394 * CHOOSE(CONTROL!$C$22, $C$13, 100%, $E$13)</f>
        <v>4.1394000000000002</v>
      </c>
      <c r="F170" s="64">
        <f>4.1394 * CHOOSE(CONTROL!$C$22, $C$13, 100%, $E$13)</f>
        <v>4.1394000000000002</v>
      </c>
      <c r="G170" s="64">
        <f>4.1396 * CHOOSE(CONTROL!$C$22, $C$13, 100%, $E$13)</f>
        <v>4.1395999999999997</v>
      </c>
      <c r="H170" s="64">
        <f>7.7659* CHOOSE(CONTROL!$C$22, $C$13, 100%, $E$13)</f>
        <v>7.7659000000000002</v>
      </c>
      <c r="I170" s="64">
        <f>7.7661 * CHOOSE(CONTROL!$C$22, $C$13, 100%, $E$13)</f>
        <v>7.7660999999999998</v>
      </c>
      <c r="J170" s="64">
        <f>4.1394 * CHOOSE(CONTROL!$C$22, $C$13, 100%, $E$13)</f>
        <v>4.1394000000000002</v>
      </c>
      <c r="K170" s="64">
        <f>4.1396 * CHOOSE(CONTROL!$C$22, $C$13, 100%, $E$13)</f>
        <v>4.1395999999999997</v>
      </c>
    </row>
    <row r="171" spans="1:11" ht="15">
      <c r="A171" s="13">
        <v>46844</v>
      </c>
      <c r="B171" s="63">
        <f>3.6473 * CHOOSE(CONTROL!$C$22, $C$13, 100%, $E$13)</f>
        <v>3.6473</v>
      </c>
      <c r="C171" s="63">
        <f>3.6473 * CHOOSE(CONTROL!$C$22, $C$13, 100%, $E$13)</f>
        <v>3.6473</v>
      </c>
      <c r="D171" s="63">
        <f>3.6602 * CHOOSE(CONTROL!$C$22, $C$13, 100%, $E$13)</f>
        <v>3.6602000000000001</v>
      </c>
      <c r="E171" s="64">
        <f>4.1746 * CHOOSE(CONTROL!$C$22, $C$13, 100%, $E$13)</f>
        <v>4.1745999999999999</v>
      </c>
      <c r="F171" s="64">
        <f>4.1746 * CHOOSE(CONTROL!$C$22, $C$13, 100%, $E$13)</f>
        <v>4.1745999999999999</v>
      </c>
      <c r="G171" s="64">
        <f>4.1748 * CHOOSE(CONTROL!$C$22, $C$13, 100%, $E$13)</f>
        <v>4.1748000000000003</v>
      </c>
      <c r="H171" s="64">
        <f>7.7821* CHOOSE(CONTROL!$C$22, $C$13, 100%, $E$13)</f>
        <v>7.7820999999999998</v>
      </c>
      <c r="I171" s="64">
        <f>7.7823 * CHOOSE(CONTROL!$C$22, $C$13, 100%, $E$13)</f>
        <v>7.7823000000000002</v>
      </c>
      <c r="J171" s="64">
        <f>4.1746 * CHOOSE(CONTROL!$C$22, $C$13, 100%, $E$13)</f>
        <v>4.1745999999999999</v>
      </c>
      <c r="K171" s="64">
        <f>4.1748 * CHOOSE(CONTROL!$C$22, $C$13, 100%, $E$13)</f>
        <v>4.1748000000000003</v>
      </c>
    </row>
    <row r="172" spans="1:11" ht="15">
      <c r="A172" s="13">
        <v>46874</v>
      </c>
      <c r="B172" s="63">
        <f>3.6473 * CHOOSE(CONTROL!$C$22, $C$13, 100%, $E$13)</f>
        <v>3.6473</v>
      </c>
      <c r="C172" s="63">
        <f>3.6473 * CHOOSE(CONTROL!$C$22, $C$13, 100%, $E$13)</f>
        <v>3.6473</v>
      </c>
      <c r="D172" s="63">
        <f>3.673 * CHOOSE(CONTROL!$C$22, $C$13, 100%, $E$13)</f>
        <v>3.673</v>
      </c>
      <c r="E172" s="64">
        <f>4.1894 * CHOOSE(CONTROL!$C$22, $C$13, 100%, $E$13)</f>
        <v>4.1894</v>
      </c>
      <c r="F172" s="64">
        <f>4.1894 * CHOOSE(CONTROL!$C$22, $C$13, 100%, $E$13)</f>
        <v>4.1894</v>
      </c>
      <c r="G172" s="64">
        <f>4.191 * CHOOSE(CONTROL!$C$22, $C$13, 100%, $E$13)</f>
        <v>4.1909999999999998</v>
      </c>
      <c r="H172" s="64">
        <f>7.7983* CHOOSE(CONTROL!$C$22, $C$13, 100%, $E$13)</f>
        <v>7.7983000000000002</v>
      </c>
      <c r="I172" s="64">
        <f>7.8 * CHOOSE(CONTROL!$C$22, $C$13, 100%, $E$13)</f>
        <v>7.8</v>
      </c>
      <c r="J172" s="64">
        <f>4.1894 * CHOOSE(CONTROL!$C$22, $C$13, 100%, $E$13)</f>
        <v>4.1894</v>
      </c>
      <c r="K172" s="64">
        <f>4.191 * CHOOSE(CONTROL!$C$22, $C$13, 100%, $E$13)</f>
        <v>4.1909999999999998</v>
      </c>
    </row>
    <row r="173" spans="1:11" ht="15">
      <c r="A173" s="13">
        <v>46905</v>
      </c>
      <c r="B173" s="63">
        <f>3.6534 * CHOOSE(CONTROL!$C$22, $C$13, 100%, $E$13)</f>
        <v>3.6534</v>
      </c>
      <c r="C173" s="63">
        <f>3.6534 * CHOOSE(CONTROL!$C$22, $C$13, 100%, $E$13)</f>
        <v>3.6534</v>
      </c>
      <c r="D173" s="63">
        <f>3.6791 * CHOOSE(CONTROL!$C$22, $C$13, 100%, $E$13)</f>
        <v>3.6791</v>
      </c>
      <c r="E173" s="64">
        <f>4.1788 * CHOOSE(CONTROL!$C$22, $C$13, 100%, $E$13)</f>
        <v>4.1787999999999998</v>
      </c>
      <c r="F173" s="64">
        <f>4.1788 * CHOOSE(CONTROL!$C$22, $C$13, 100%, $E$13)</f>
        <v>4.1787999999999998</v>
      </c>
      <c r="G173" s="64">
        <f>4.1805 * CHOOSE(CONTROL!$C$22, $C$13, 100%, $E$13)</f>
        <v>4.1805000000000003</v>
      </c>
      <c r="H173" s="64">
        <f>7.8146* CHOOSE(CONTROL!$C$22, $C$13, 100%, $E$13)</f>
        <v>7.8146000000000004</v>
      </c>
      <c r="I173" s="64">
        <f>7.8162 * CHOOSE(CONTROL!$C$22, $C$13, 100%, $E$13)</f>
        <v>7.8162000000000003</v>
      </c>
      <c r="J173" s="64">
        <f>4.1788 * CHOOSE(CONTROL!$C$22, $C$13, 100%, $E$13)</f>
        <v>4.1787999999999998</v>
      </c>
      <c r="K173" s="64">
        <f>4.1805 * CHOOSE(CONTROL!$C$22, $C$13, 100%, $E$13)</f>
        <v>4.1805000000000003</v>
      </c>
    </row>
    <row r="174" spans="1:11" ht="15">
      <c r="A174" s="13">
        <v>46935</v>
      </c>
      <c r="B174" s="63">
        <f>3.7202 * CHOOSE(CONTROL!$C$22, $C$13, 100%, $E$13)</f>
        <v>3.7202000000000002</v>
      </c>
      <c r="C174" s="63">
        <f>3.7202 * CHOOSE(CONTROL!$C$22, $C$13, 100%, $E$13)</f>
        <v>3.7202000000000002</v>
      </c>
      <c r="D174" s="63">
        <f>3.7459 * CHOOSE(CONTROL!$C$22, $C$13, 100%, $E$13)</f>
        <v>3.7458999999999998</v>
      </c>
      <c r="E174" s="64">
        <f>4.2571 * CHOOSE(CONTROL!$C$22, $C$13, 100%, $E$13)</f>
        <v>4.2571000000000003</v>
      </c>
      <c r="F174" s="64">
        <f>4.2571 * CHOOSE(CONTROL!$C$22, $C$13, 100%, $E$13)</f>
        <v>4.2571000000000003</v>
      </c>
      <c r="G174" s="64">
        <f>4.2587 * CHOOSE(CONTROL!$C$22, $C$13, 100%, $E$13)</f>
        <v>4.2587000000000002</v>
      </c>
      <c r="H174" s="64">
        <f>7.8309* CHOOSE(CONTROL!$C$22, $C$13, 100%, $E$13)</f>
        <v>7.8308999999999997</v>
      </c>
      <c r="I174" s="64">
        <f>7.8325 * CHOOSE(CONTROL!$C$22, $C$13, 100%, $E$13)</f>
        <v>7.8324999999999996</v>
      </c>
      <c r="J174" s="64">
        <f>4.2571 * CHOOSE(CONTROL!$C$22, $C$13, 100%, $E$13)</f>
        <v>4.2571000000000003</v>
      </c>
      <c r="K174" s="64">
        <f>4.2587 * CHOOSE(CONTROL!$C$22, $C$13, 100%, $E$13)</f>
        <v>4.2587000000000002</v>
      </c>
    </row>
    <row r="175" spans="1:11" ht="15">
      <c r="A175" s="13">
        <v>46966</v>
      </c>
      <c r="B175" s="63">
        <f>3.7269 * CHOOSE(CONTROL!$C$22, $C$13, 100%, $E$13)</f>
        <v>3.7269000000000001</v>
      </c>
      <c r="C175" s="63">
        <f>3.7269 * CHOOSE(CONTROL!$C$22, $C$13, 100%, $E$13)</f>
        <v>3.7269000000000001</v>
      </c>
      <c r="D175" s="63">
        <f>3.7526 * CHOOSE(CONTROL!$C$22, $C$13, 100%, $E$13)</f>
        <v>3.7526000000000002</v>
      </c>
      <c r="E175" s="64">
        <f>4.2174 * CHOOSE(CONTROL!$C$22, $C$13, 100%, $E$13)</f>
        <v>4.2173999999999996</v>
      </c>
      <c r="F175" s="64">
        <f>4.2174 * CHOOSE(CONTROL!$C$22, $C$13, 100%, $E$13)</f>
        <v>4.2173999999999996</v>
      </c>
      <c r="G175" s="64">
        <f>4.219 * CHOOSE(CONTROL!$C$22, $C$13, 100%, $E$13)</f>
        <v>4.2190000000000003</v>
      </c>
      <c r="H175" s="64">
        <f>7.8472* CHOOSE(CONTROL!$C$22, $C$13, 100%, $E$13)</f>
        <v>7.8472</v>
      </c>
      <c r="I175" s="64">
        <f>7.8488 * CHOOSE(CONTROL!$C$22, $C$13, 100%, $E$13)</f>
        <v>7.8487999999999998</v>
      </c>
      <c r="J175" s="64">
        <f>4.2174 * CHOOSE(CONTROL!$C$22, $C$13, 100%, $E$13)</f>
        <v>4.2173999999999996</v>
      </c>
      <c r="K175" s="64">
        <f>4.219 * CHOOSE(CONTROL!$C$22, $C$13, 100%, $E$13)</f>
        <v>4.2190000000000003</v>
      </c>
    </row>
    <row r="176" spans="1:11" ht="15">
      <c r="A176" s="13">
        <v>46997</v>
      </c>
      <c r="B176" s="63">
        <f>3.7239 * CHOOSE(CONTROL!$C$22, $C$13, 100%, $E$13)</f>
        <v>3.7239</v>
      </c>
      <c r="C176" s="63">
        <f>3.7239 * CHOOSE(CONTROL!$C$22, $C$13, 100%, $E$13)</f>
        <v>3.7239</v>
      </c>
      <c r="D176" s="63">
        <f>3.7496 * CHOOSE(CONTROL!$C$22, $C$13, 100%, $E$13)</f>
        <v>3.7496</v>
      </c>
      <c r="E176" s="64">
        <f>4.2103 * CHOOSE(CONTROL!$C$22, $C$13, 100%, $E$13)</f>
        <v>4.2103000000000002</v>
      </c>
      <c r="F176" s="64">
        <f>4.2103 * CHOOSE(CONTROL!$C$22, $C$13, 100%, $E$13)</f>
        <v>4.2103000000000002</v>
      </c>
      <c r="G176" s="64">
        <f>4.2119 * CHOOSE(CONTROL!$C$22, $C$13, 100%, $E$13)</f>
        <v>4.2119</v>
      </c>
      <c r="H176" s="64">
        <f>7.8635* CHOOSE(CONTROL!$C$22, $C$13, 100%, $E$13)</f>
        <v>7.8635000000000002</v>
      </c>
      <c r="I176" s="64">
        <f>7.8652 * CHOOSE(CONTROL!$C$22, $C$13, 100%, $E$13)</f>
        <v>7.8651999999999997</v>
      </c>
      <c r="J176" s="64">
        <f>4.2103 * CHOOSE(CONTROL!$C$22, $C$13, 100%, $E$13)</f>
        <v>4.2103000000000002</v>
      </c>
      <c r="K176" s="64">
        <f>4.2119 * CHOOSE(CONTROL!$C$22, $C$13, 100%, $E$13)</f>
        <v>4.2119</v>
      </c>
    </row>
    <row r="177" spans="1:11" ht="15">
      <c r="A177" s="13">
        <v>47027</v>
      </c>
      <c r="B177" s="63">
        <f>3.7182 * CHOOSE(CONTROL!$C$22, $C$13, 100%, $E$13)</f>
        <v>3.7181999999999999</v>
      </c>
      <c r="C177" s="63">
        <f>3.7182 * CHOOSE(CONTROL!$C$22, $C$13, 100%, $E$13)</f>
        <v>3.7181999999999999</v>
      </c>
      <c r="D177" s="63">
        <f>3.731 * CHOOSE(CONTROL!$C$22, $C$13, 100%, $E$13)</f>
        <v>3.7309999999999999</v>
      </c>
      <c r="E177" s="64">
        <f>4.2166 * CHOOSE(CONTROL!$C$22, $C$13, 100%, $E$13)</f>
        <v>4.2165999999999997</v>
      </c>
      <c r="F177" s="64">
        <f>4.2166 * CHOOSE(CONTROL!$C$22, $C$13, 100%, $E$13)</f>
        <v>4.2165999999999997</v>
      </c>
      <c r="G177" s="64">
        <f>4.2168 * CHOOSE(CONTROL!$C$22, $C$13, 100%, $E$13)</f>
        <v>4.2168000000000001</v>
      </c>
      <c r="H177" s="64">
        <f>7.8799* CHOOSE(CONTROL!$C$22, $C$13, 100%, $E$13)</f>
        <v>7.8799000000000001</v>
      </c>
      <c r="I177" s="64">
        <f>7.8801 * CHOOSE(CONTROL!$C$22, $C$13, 100%, $E$13)</f>
        <v>7.8800999999999997</v>
      </c>
      <c r="J177" s="64">
        <f>4.2166 * CHOOSE(CONTROL!$C$22, $C$13, 100%, $E$13)</f>
        <v>4.2165999999999997</v>
      </c>
      <c r="K177" s="64">
        <f>4.2168 * CHOOSE(CONTROL!$C$22, $C$13, 100%, $E$13)</f>
        <v>4.2168000000000001</v>
      </c>
    </row>
    <row r="178" spans="1:11" ht="15">
      <c r="A178" s="13">
        <v>47058</v>
      </c>
      <c r="B178" s="63">
        <f>3.7212 * CHOOSE(CONTROL!$C$22, $C$13, 100%, $E$13)</f>
        <v>3.7212000000000001</v>
      </c>
      <c r="C178" s="63">
        <f>3.7212 * CHOOSE(CONTROL!$C$22, $C$13, 100%, $E$13)</f>
        <v>3.7212000000000001</v>
      </c>
      <c r="D178" s="63">
        <f>3.7341 * CHOOSE(CONTROL!$C$22, $C$13, 100%, $E$13)</f>
        <v>3.7341000000000002</v>
      </c>
      <c r="E178" s="64">
        <f>4.2286 * CHOOSE(CONTROL!$C$22, $C$13, 100%, $E$13)</f>
        <v>4.2286000000000001</v>
      </c>
      <c r="F178" s="64">
        <f>4.2286 * CHOOSE(CONTROL!$C$22, $C$13, 100%, $E$13)</f>
        <v>4.2286000000000001</v>
      </c>
      <c r="G178" s="64">
        <f>4.2288 * CHOOSE(CONTROL!$C$22, $C$13, 100%, $E$13)</f>
        <v>4.2287999999999997</v>
      </c>
      <c r="H178" s="64">
        <f>7.8963* CHOOSE(CONTROL!$C$22, $C$13, 100%, $E$13)</f>
        <v>7.8963000000000001</v>
      </c>
      <c r="I178" s="64">
        <f>7.8965 * CHOOSE(CONTROL!$C$22, $C$13, 100%, $E$13)</f>
        <v>7.8964999999999996</v>
      </c>
      <c r="J178" s="64">
        <f>4.2286 * CHOOSE(CONTROL!$C$22, $C$13, 100%, $E$13)</f>
        <v>4.2286000000000001</v>
      </c>
      <c r="K178" s="64">
        <f>4.2288 * CHOOSE(CONTROL!$C$22, $C$13, 100%, $E$13)</f>
        <v>4.2287999999999997</v>
      </c>
    </row>
    <row r="179" spans="1:11" ht="15">
      <c r="A179" s="13">
        <v>47088</v>
      </c>
      <c r="B179" s="63">
        <f>3.7212 * CHOOSE(CONTROL!$C$22, $C$13, 100%, $E$13)</f>
        <v>3.7212000000000001</v>
      </c>
      <c r="C179" s="63">
        <f>3.7212 * CHOOSE(CONTROL!$C$22, $C$13, 100%, $E$13)</f>
        <v>3.7212000000000001</v>
      </c>
      <c r="D179" s="63">
        <f>3.7341 * CHOOSE(CONTROL!$C$22, $C$13, 100%, $E$13)</f>
        <v>3.7341000000000002</v>
      </c>
      <c r="E179" s="64">
        <f>4.2039 * CHOOSE(CONTROL!$C$22, $C$13, 100%, $E$13)</f>
        <v>4.2039</v>
      </c>
      <c r="F179" s="64">
        <f>4.2039 * CHOOSE(CONTROL!$C$22, $C$13, 100%, $E$13)</f>
        <v>4.2039</v>
      </c>
      <c r="G179" s="64">
        <f>4.2041 * CHOOSE(CONTROL!$C$22, $C$13, 100%, $E$13)</f>
        <v>4.2041000000000004</v>
      </c>
      <c r="H179" s="64">
        <f>7.9128* CHOOSE(CONTROL!$C$22, $C$13, 100%, $E$13)</f>
        <v>7.9127999999999998</v>
      </c>
      <c r="I179" s="64">
        <f>7.9129 * CHOOSE(CONTROL!$C$22, $C$13, 100%, $E$13)</f>
        <v>7.9128999999999996</v>
      </c>
      <c r="J179" s="64">
        <f>4.2039 * CHOOSE(CONTROL!$C$22, $C$13, 100%, $E$13)</f>
        <v>4.2039</v>
      </c>
      <c r="K179" s="64">
        <f>4.2041 * CHOOSE(CONTROL!$C$22, $C$13, 100%, $E$13)</f>
        <v>4.2041000000000004</v>
      </c>
    </row>
    <row r="180" spans="1:11" ht="15">
      <c r="A180" s="13">
        <v>47119</v>
      </c>
      <c r="B180" s="63">
        <f>3.7543 * CHOOSE(CONTROL!$C$22, $C$13, 100%, $E$13)</f>
        <v>3.7543000000000002</v>
      </c>
      <c r="C180" s="63">
        <f>3.7543 * CHOOSE(CONTROL!$C$22, $C$13, 100%, $E$13)</f>
        <v>3.7543000000000002</v>
      </c>
      <c r="D180" s="63">
        <f>3.7672 * CHOOSE(CONTROL!$C$22, $C$13, 100%, $E$13)</f>
        <v>3.7671999999999999</v>
      </c>
      <c r="E180" s="64">
        <f>4.2617 * CHOOSE(CONTROL!$C$22, $C$13, 100%, $E$13)</f>
        <v>4.2617000000000003</v>
      </c>
      <c r="F180" s="64">
        <f>4.2617 * CHOOSE(CONTROL!$C$22, $C$13, 100%, $E$13)</f>
        <v>4.2617000000000003</v>
      </c>
      <c r="G180" s="64">
        <f>4.2619 * CHOOSE(CONTROL!$C$22, $C$13, 100%, $E$13)</f>
        <v>4.2618999999999998</v>
      </c>
      <c r="H180" s="64">
        <f>7.9293* CHOOSE(CONTROL!$C$22, $C$13, 100%, $E$13)</f>
        <v>7.9292999999999996</v>
      </c>
      <c r="I180" s="64">
        <f>7.9294 * CHOOSE(CONTROL!$C$22, $C$13, 100%, $E$13)</f>
        <v>7.9294000000000002</v>
      </c>
      <c r="J180" s="64">
        <f>4.2617 * CHOOSE(CONTROL!$C$22, $C$13, 100%, $E$13)</f>
        <v>4.2617000000000003</v>
      </c>
      <c r="K180" s="64">
        <f>4.2619 * CHOOSE(CONTROL!$C$22, $C$13, 100%, $E$13)</f>
        <v>4.2618999999999998</v>
      </c>
    </row>
    <row r="181" spans="1:11" ht="15">
      <c r="A181" s="13">
        <v>47150</v>
      </c>
      <c r="B181" s="63">
        <f>3.7513 * CHOOSE(CONTROL!$C$22, $C$13, 100%, $E$13)</f>
        <v>3.7513000000000001</v>
      </c>
      <c r="C181" s="63">
        <f>3.7513 * CHOOSE(CONTROL!$C$22, $C$13, 100%, $E$13)</f>
        <v>3.7513000000000001</v>
      </c>
      <c r="D181" s="63">
        <f>3.7641 * CHOOSE(CONTROL!$C$22, $C$13, 100%, $E$13)</f>
        <v>3.7641</v>
      </c>
      <c r="E181" s="64">
        <f>4.2118 * CHOOSE(CONTROL!$C$22, $C$13, 100%, $E$13)</f>
        <v>4.2118000000000002</v>
      </c>
      <c r="F181" s="64">
        <f>4.2118 * CHOOSE(CONTROL!$C$22, $C$13, 100%, $E$13)</f>
        <v>4.2118000000000002</v>
      </c>
      <c r="G181" s="64">
        <f>4.212 * CHOOSE(CONTROL!$C$22, $C$13, 100%, $E$13)</f>
        <v>4.2119999999999997</v>
      </c>
      <c r="H181" s="64">
        <f>7.9458* CHOOSE(CONTROL!$C$22, $C$13, 100%, $E$13)</f>
        <v>7.9458000000000002</v>
      </c>
      <c r="I181" s="64">
        <f>7.9459 * CHOOSE(CONTROL!$C$22, $C$13, 100%, $E$13)</f>
        <v>7.9459</v>
      </c>
      <c r="J181" s="64">
        <f>4.2118 * CHOOSE(CONTROL!$C$22, $C$13, 100%, $E$13)</f>
        <v>4.2118000000000002</v>
      </c>
      <c r="K181" s="64">
        <f>4.212 * CHOOSE(CONTROL!$C$22, $C$13, 100%, $E$13)</f>
        <v>4.2119999999999997</v>
      </c>
    </row>
    <row r="182" spans="1:11" ht="15">
      <c r="A182" s="13">
        <v>47178</v>
      </c>
      <c r="B182" s="63">
        <f>3.7482 * CHOOSE(CONTROL!$C$22, $C$13, 100%, $E$13)</f>
        <v>3.7482000000000002</v>
      </c>
      <c r="C182" s="63">
        <f>3.7482 * CHOOSE(CONTROL!$C$22, $C$13, 100%, $E$13)</f>
        <v>3.7482000000000002</v>
      </c>
      <c r="D182" s="63">
        <f>3.7611 * CHOOSE(CONTROL!$C$22, $C$13, 100%, $E$13)</f>
        <v>3.7610999999999999</v>
      </c>
      <c r="E182" s="64">
        <f>4.2474 * CHOOSE(CONTROL!$C$22, $C$13, 100%, $E$13)</f>
        <v>4.2473999999999998</v>
      </c>
      <c r="F182" s="64">
        <f>4.2474 * CHOOSE(CONTROL!$C$22, $C$13, 100%, $E$13)</f>
        <v>4.2473999999999998</v>
      </c>
      <c r="G182" s="64">
        <f>4.2476 * CHOOSE(CONTROL!$C$22, $C$13, 100%, $E$13)</f>
        <v>4.2476000000000003</v>
      </c>
      <c r="H182" s="64">
        <f>7.9623* CHOOSE(CONTROL!$C$22, $C$13, 100%, $E$13)</f>
        <v>7.9622999999999999</v>
      </c>
      <c r="I182" s="64">
        <f>7.9625 * CHOOSE(CONTROL!$C$22, $C$13, 100%, $E$13)</f>
        <v>7.9625000000000004</v>
      </c>
      <c r="J182" s="64">
        <f>4.2474 * CHOOSE(CONTROL!$C$22, $C$13, 100%, $E$13)</f>
        <v>4.2473999999999998</v>
      </c>
      <c r="K182" s="64">
        <f>4.2476 * CHOOSE(CONTROL!$C$22, $C$13, 100%, $E$13)</f>
        <v>4.2476000000000003</v>
      </c>
    </row>
    <row r="183" spans="1:11" ht="15">
      <c r="A183" s="13">
        <v>47209</v>
      </c>
      <c r="B183" s="63">
        <f>3.7457 * CHOOSE(CONTROL!$C$22, $C$13, 100%, $E$13)</f>
        <v>3.7456999999999998</v>
      </c>
      <c r="C183" s="63">
        <f>3.7457 * CHOOSE(CONTROL!$C$22, $C$13, 100%, $E$13)</f>
        <v>3.7456999999999998</v>
      </c>
      <c r="D183" s="63">
        <f>3.7586 * CHOOSE(CONTROL!$C$22, $C$13, 100%, $E$13)</f>
        <v>3.7585999999999999</v>
      </c>
      <c r="E183" s="64">
        <f>4.2836 * CHOOSE(CONTROL!$C$22, $C$13, 100%, $E$13)</f>
        <v>4.2835999999999999</v>
      </c>
      <c r="F183" s="64">
        <f>4.2836 * CHOOSE(CONTROL!$C$22, $C$13, 100%, $E$13)</f>
        <v>4.2835999999999999</v>
      </c>
      <c r="G183" s="64">
        <f>4.2838 * CHOOSE(CONTROL!$C$22, $C$13, 100%, $E$13)</f>
        <v>4.2838000000000003</v>
      </c>
      <c r="H183" s="64">
        <f>7.9789* CHOOSE(CONTROL!$C$22, $C$13, 100%, $E$13)</f>
        <v>7.9789000000000003</v>
      </c>
      <c r="I183" s="64">
        <f>7.9791 * CHOOSE(CONTROL!$C$22, $C$13, 100%, $E$13)</f>
        <v>7.9790999999999999</v>
      </c>
      <c r="J183" s="64">
        <f>4.2836 * CHOOSE(CONTROL!$C$22, $C$13, 100%, $E$13)</f>
        <v>4.2835999999999999</v>
      </c>
      <c r="K183" s="64">
        <f>4.2838 * CHOOSE(CONTROL!$C$22, $C$13, 100%, $E$13)</f>
        <v>4.2838000000000003</v>
      </c>
    </row>
    <row r="184" spans="1:11" ht="15">
      <c r="A184" s="13">
        <v>47239</v>
      </c>
      <c r="B184" s="63">
        <f>3.7457 * CHOOSE(CONTROL!$C$22, $C$13, 100%, $E$13)</f>
        <v>3.7456999999999998</v>
      </c>
      <c r="C184" s="63">
        <f>3.7457 * CHOOSE(CONTROL!$C$22, $C$13, 100%, $E$13)</f>
        <v>3.7456999999999998</v>
      </c>
      <c r="D184" s="63">
        <f>3.7715 * CHOOSE(CONTROL!$C$22, $C$13, 100%, $E$13)</f>
        <v>3.7715000000000001</v>
      </c>
      <c r="E184" s="64">
        <f>4.2988 * CHOOSE(CONTROL!$C$22, $C$13, 100%, $E$13)</f>
        <v>4.2988</v>
      </c>
      <c r="F184" s="64">
        <f>4.2988 * CHOOSE(CONTROL!$C$22, $C$13, 100%, $E$13)</f>
        <v>4.2988</v>
      </c>
      <c r="G184" s="64">
        <f>4.3004 * CHOOSE(CONTROL!$C$22, $C$13, 100%, $E$13)</f>
        <v>4.3003999999999998</v>
      </c>
      <c r="H184" s="64">
        <f>7.9955* CHOOSE(CONTROL!$C$22, $C$13, 100%, $E$13)</f>
        <v>7.9954999999999998</v>
      </c>
      <c r="I184" s="64">
        <f>7.9972 * CHOOSE(CONTROL!$C$22, $C$13, 100%, $E$13)</f>
        <v>7.9972000000000003</v>
      </c>
      <c r="J184" s="64">
        <f>4.2988 * CHOOSE(CONTROL!$C$22, $C$13, 100%, $E$13)</f>
        <v>4.2988</v>
      </c>
      <c r="K184" s="64">
        <f>4.3004 * CHOOSE(CONTROL!$C$22, $C$13, 100%, $E$13)</f>
        <v>4.3003999999999998</v>
      </c>
    </row>
    <row r="185" spans="1:11" ht="15">
      <c r="A185" s="13">
        <v>47270</v>
      </c>
      <c r="B185" s="63">
        <f>3.7518 * CHOOSE(CONTROL!$C$22, $C$13, 100%, $E$13)</f>
        <v>3.7517999999999998</v>
      </c>
      <c r="C185" s="63">
        <f>3.7518 * CHOOSE(CONTROL!$C$22, $C$13, 100%, $E$13)</f>
        <v>3.7517999999999998</v>
      </c>
      <c r="D185" s="63">
        <f>3.7775 * CHOOSE(CONTROL!$C$22, $C$13, 100%, $E$13)</f>
        <v>3.7774999999999999</v>
      </c>
      <c r="E185" s="64">
        <f>4.2878 * CHOOSE(CONTROL!$C$22, $C$13, 100%, $E$13)</f>
        <v>4.2877999999999998</v>
      </c>
      <c r="F185" s="64">
        <f>4.2878 * CHOOSE(CONTROL!$C$22, $C$13, 100%, $E$13)</f>
        <v>4.2877999999999998</v>
      </c>
      <c r="G185" s="64">
        <f>4.2895 * CHOOSE(CONTROL!$C$22, $C$13, 100%, $E$13)</f>
        <v>4.2895000000000003</v>
      </c>
      <c r="H185" s="64">
        <f>8.0122* CHOOSE(CONTROL!$C$22, $C$13, 100%, $E$13)</f>
        <v>8.0122</v>
      </c>
      <c r="I185" s="64">
        <f>8.0138 * CHOOSE(CONTROL!$C$22, $C$13, 100%, $E$13)</f>
        <v>8.0137999999999998</v>
      </c>
      <c r="J185" s="64">
        <f>4.2878 * CHOOSE(CONTROL!$C$22, $C$13, 100%, $E$13)</f>
        <v>4.2877999999999998</v>
      </c>
      <c r="K185" s="64">
        <f>4.2895 * CHOOSE(CONTROL!$C$22, $C$13, 100%, $E$13)</f>
        <v>4.2895000000000003</v>
      </c>
    </row>
    <row r="186" spans="1:11" ht="15">
      <c r="A186" s="13">
        <v>47300</v>
      </c>
      <c r="B186" s="63">
        <f>3.8127 * CHOOSE(CONTROL!$C$22, $C$13, 100%, $E$13)</f>
        <v>3.8127</v>
      </c>
      <c r="C186" s="63">
        <f>3.8127 * CHOOSE(CONTROL!$C$22, $C$13, 100%, $E$13)</f>
        <v>3.8127</v>
      </c>
      <c r="D186" s="63">
        <f>3.8385 * CHOOSE(CONTROL!$C$22, $C$13, 100%, $E$13)</f>
        <v>3.8384999999999998</v>
      </c>
      <c r="E186" s="64">
        <f>4.3812 * CHOOSE(CONTROL!$C$22, $C$13, 100%, $E$13)</f>
        <v>4.3811999999999998</v>
      </c>
      <c r="F186" s="64">
        <f>4.3812 * CHOOSE(CONTROL!$C$22, $C$13, 100%, $E$13)</f>
        <v>4.3811999999999998</v>
      </c>
      <c r="G186" s="64">
        <f>4.3829 * CHOOSE(CONTROL!$C$22, $C$13, 100%, $E$13)</f>
        <v>4.3829000000000002</v>
      </c>
      <c r="H186" s="64">
        <f>8.0289* CHOOSE(CONTROL!$C$22, $C$13, 100%, $E$13)</f>
        <v>8.0289000000000001</v>
      </c>
      <c r="I186" s="64">
        <f>8.0305 * CHOOSE(CONTROL!$C$22, $C$13, 100%, $E$13)</f>
        <v>8.0305</v>
      </c>
      <c r="J186" s="64">
        <f>4.3812 * CHOOSE(CONTROL!$C$22, $C$13, 100%, $E$13)</f>
        <v>4.3811999999999998</v>
      </c>
      <c r="K186" s="64">
        <f>4.3829 * CHOOSE(CONTROL!$C$22, $C$13, 100%, $E$13)</f>
        <v>4.3829000000000002</v>
      </c>
    </row>
    <row r="187" spans="1:11" ht="15">
      <c r="A187" s="13">
        <v>47331</v>
      </c>
      <c r="B187" s="63">
        <f>3.8194 * CHOOSE(CONTROL!$C$22, $C$13, 100%, $E$13)</f>
        <v>3.8193999999999999</v>
      </c>
      <c r="C187" s="63">
        <f>3.8194 * CHOOSE(CONTROL!$C$22, $C$13, 100%, $E$13)</f>
        <v>3.8193999999999999</v>
      </c>
      <c r="D187" s="63">
        <f>3.8451 * CHOOSE(CONTROL!$C$22, $C$13, 100%, $E$13)</f>
        <v>3.8451</v>
      </c>
      <c r="E187" s="64">
        <f>4.3404 * CHOOSE(CONTROL!$C$22, $C$13, 100%, $E$13)</f>
        <v>4.3403999999999998</v>
      </c>
      <c r="F187" s="64">
        <f>4.3404 * CHOOSE(CONTROL!$C$22, $C$13, 100%, $E$13)</f>
        <v>4.3403999999999998</v>
      </c>
      <c r="G187" s="64">
        <f>4.342 * CHOOSE(CONTROL!$C$22, $C$13, 100%, $E$13)</f>
        <v>4.3419999999999996</v>
      </c>
      <c r="H187" s="64">
        <f>8.0456* CHOOSE(CONTROL!$C$22, $C$13, 100%, $E$13)</f>
        <v>8.0456000000000003</v>
      </c>
      <c r="I187" s="64">
        <f>8.0473 * CHOOSE(CONTROL!$C$22, $C$13, 100%, $E$13)</f>
        <v>8.0472999999999999</v>
      </c>
      <c r="J187" s="64">
        <f>4.3404 * CHOOSE(CONTROL!$C$22, $C$13, 100%, $E$13)</f>
        <v>4.3403999999999998</v>
      </c>
      <c r="K187" s="64">
        <f>4.342 * CHOOSE(CONTROL!$C$22, $C$13, 100%, $E$13)</f>
        <v>4.3419999999999996</v>
      </c>
    </row>
    <row r="188" spans="1:11" ht="15">
      <c r="A188" s="13">
        <v>47362</v>
      </c>
      <c r="B188" s="63">
        <f>3.8164 * CHOOSE(CONTROL!$C$22, $C$13, 100%, $E$13)</f>
        <v>3.8163999999999998</v>
      </c>
      <c r="C188" s="63">
        <f>3.8164 * CHOOSE(CONTROL!$C$22, $C$13, 100%, $E$13)</f>
        <v>3.8163999999999998</v>
      </c>
      <c r="D188" s="63">
        <f>3.8421 * CHOOSE(CONTROL!$C$22, $C$13, 100%, $E$13)</f>
        <v>3.8420999999999998</v>
      </c>
      <c r="E188" s="64">
        <f>4.3332 * CHOOSE(CONTROL!$C$22, $C$13, 100%, $E$13)</f>
        <v>4.3331999999999997</v>
      </c>
      <c r="F188" s="64">
        <f>4.3332 * CHOOSE(CONTROL!$C$22, $C$13, 100%, $E$13)</f>
        <v>4.3331999999999997</v>
      </c>
      <c r="G188" s="64">
        <f>4.3348 * CHOOSE(CONTROL!$C$22, $C$13, 100%, $E$13)</f>
        <v>4.3348000000000004</v>
      </c>
      <c r="H188" s="64">
        <f>8.0624* CHOOSE(CONTROL!$C$22, $C$13, 100%, $E$13)</f>
        <v>8.0624000000000002</v>
      </c>
      <c r="I188" s="64">
        <f>8.064 * CHOOSE(CONTROL!$C$22, $C$13, 100%, $E$13)</f>
        <v>8.0640000000000001</v>
      </c>
      <c r="J188" s="64">
        <f>4.3332 * CHOOSE(CONTROL!$C$22, $C$13, 100%, $E$13)</f>
        <v>4.3331999999999997</v>
      </c>
      <c r="K188" s="64">
        <f>4.3348 * CHOOSE(CONTROL!$C$22, $C$13, 100%, $E$13)</f>
        <v>4.3348000000000004</v>
      </c>
    </row>
    <row r="189" spans="1:11" ht="15">
      <c r="A189" s="13">
        <v>47392</v>
      </c>
      <c r="B189" s="63">
        <f>3.811 * CHOOSE(CONTROL!$C$22, $C$13, 100%, $E$13)</f>
        <v>3.8109999999999999</v>
      </c>
      <c r="C189" s="63">
        <f>3.811 * CHOOSE(CONTROL!$C$22, $C$13, 100%, $E$13)</f>
        <v>3.8109999999999999</v>
      </c>
      <c r="D189" s="63">
        <f>3.8239 * CHOOSE(CONTROL!$C$22, $C$13, 100%, $E$13)</f>
        <v>3.8239000000000001</v>
      </c>
      <c r="E189" s="64">
        <f>4.34 * CHOOSE(CONTROL!$C$22, $C$13, 100%, $E$13)</f>
        <v>4.34</v>
      </c>
      <c r="F189" s="64">
        <f>4.34 * CHOOSE(CONTROL!$C$22, $C$13, 100%, $E$13)</f>
        <v>4.34</v>
      </c>
      <c r="G189" s="64">
        <f>4.3402 * CHOOSE(CONTROL!$C$22, $C$13, 100%, $E$13)</f>
        <v>4.3402000000000003</v>
      </c>
      <c r="H189" s="64">
        <f>8.0792* CHOOSE(CONTROL!$C$22, $C$13, 100%, $E$13)</f>
        <v>8.0792000000000002</v>
      </c>
      <c r="I189" s="64">
        <f>8.0793 * CHOOSE(CONTROL!$C$22, $C$13, 100%, $E$13)</f>
        <v>8.0792999999999999</v>
      </c>
      <c r="J189" s="64">
        <f>4.34 * CHOOSE(CONTROL!$C$22, $C$13, 100%, $E$13)</f>
        <v>4.34</v>
      </c>
      <c r="K189" s="64">
        <f>4.3402 * CHOOSE(CONTROL!$C$22, $C$13, 100%, $E$13)</f>
        <v>4.3402000000000003</v>
      </c>
    </row>
    <row r="190" spans="1:11" ht="15">
      <c r="A190" s="13">
        <v>47423</v>
      </c>
      <c r="B190" s="63">
        <f>3.8141 * CHOOSE(CONTROL!$C$22, $C$13, 100%, $E$13)</f>
        <v>3.8140999999999998</v>
      </c>
      <c r="C190" s="63">
        <f>3.8141 * CHOOSE(CONTROL!$C$22, $C$13, 100%, $E$13)</f>
        <v>3.8140999999999998</v>
      </c>
      <c r="D190" s="63">
        <f>3.8269 * CHOOSE(CONTROL!$C$22, $C$13, 100%, $E$13)</f>
        <v>3.8269000000000002</v>
      </c>
      <c r="E190" s="64">
        <f>4.3522 * CHOOSE(CONTROL!$C$22, $C$13, 100%, $E$13)</f>
        <v>4.3521999999999998</v>
      </c>
      <c r="F190" s="64">
        <f>4.3522 * CHOOSE(CONTROL!$C$22, $C$13, 100%, $E$13)</f>
        <v>4.3521999999999998</v>
      </c>
      <c r="G190" s="64">
        <f>4.3524 * CHOOSE(CONTROL!$C$22, $C$13, 100%, $E$13)</f>
        <v>4.3524000000000003</v>
      </c>
      <c r="H190" s="64">
        <f>8.096* CHOOSE(CONTROL!$C$22, $C$13, 100%, $E$13)</f>
        <v>8.0960000000000001</v>
      </c>
      <c r="I190" s="64">
        <f>8.0962 * CHOOSE(CONTROL!$C$22, $C$13, 100%, $E$13)</f>
        <v>8.0961999999999996</v>
      </c>
      <c r="J190" s="64">
        <f>4.3522 * CHOOSE(CONTROL!$C$22, $C$13, 100%, $E$13)</f>
        <v>4.3521999999999998</v>
      </c>
      <c r="K190" s="64">
        <f>4.3524 * CHOOSE(CONTROL!$C$22, $C$13, 100%, $E$13)</f>
        <v>4.3524000000000003</v>
      </c>
    </row>
    <row r="191" spans="1:11" ht="15">
      <c r="A191" s="13">
        <v>47453</v>
      </c>
      <c r="B191" s="63">
        <f>3.8141 * CHOOSE(CONTROL!$C$22, $C$13, 100%, $E$13)</f>
        <v>3.8140999999999998</v>
      </c>
      <c r="C191" s="63">
        <f>3.8141 * CHOOSE(CONTROL!$C$22, $C$13, 100%, $E$13)</f>
        <v>3.8140999999999998</v>
      </c>
      <c r="D191" s="63">
        <f>3.8269 * CHOOSE(CONTROL!$C$22, $C$13, 100%, $E$13)</f>
        <v>3.8269000000000002</v>
      </c>
      <c r="E191" s="64">
        <f>4.327 * CHOOSE(CONTROL!$C$22, $C$13, 100%, $E$13)</f>
        <v>4.327</v>
      </c>
      <c r="F191" s="64">
        <f>4.327 * CHOOSE(CONTROL!$C$22, $C$13, 100%, $E$13)</f>
        <v>4.327</v>
      </c>
      <c r="G191" s="64">
        <f>4.3271 * CHOOSE(CONTROL!$C$22, $C$13, 100%, $E$13)</f>
        <v>4.3270999999999997</v>
      </c>
      <c r="H191" s="64">
        <f>8.1129* CHOOSE(CONTROL!$C$22, $C$13, 100%, $E$13)</f>
        <v>8.1128999999999998</v>
      </c>
      <c r="I191" s="64">
        <f>8.113 * CHOOSE(CONTROL!$C$22, $C$13, 100%, $E$13)</f>
        <v>8.1129999999999995</v>
      </c>
      <c r="J191" s="64">
        <f>4.327 * CHOOSE(CONTROL!$C$22, $C$13, 100%, $E$13)</f>
        <v>4.327</v>
      </c>
      <c r="K191" s="64">
        <f>4.3271 * CHOOSE(CONTROL!$C$22, $C$13, 100%, $E$13)</f>
        <v>4.3270999999999997</v>
      </c>
    </row>
    <row r="192" spans="1:11" ht="15">
      <c r="A192" s="13">
        <v>47484</v>
      </c>
      <c r="B192" s="63">
        <f>3.85 * CHOOSE(CONTROL!$C$22, $C$13, 100%, $E$13)</f>
        <v>3.85</v>
      </c>
      <c r="C192" s="63">
        <f>3.85 * CHOOSE(CONTROL!$C$22, $C$13, 100%, $E$13)</f>
        <v>3.85</v>
      </c>
      <c r="D192" s="63">
        <f>3.8629 * CHOOSE(CONTROL!$C$22, $C$13, 100%, $E$13)</f>
        <v>3.8628999999999998</v>
      </c>
      <c r="E192" s="64">
        <f>4.3833 * CHOOSE(CONTROL!$C$22, $C$13, 100%, $E$13)</f>
        <v>4.3833000000000002</v>
      </c>
      <c r="F192" s="64">
        <f>4.3833 * CHOOSE(CONTROL!$C$22, $C$13, 100%, $E$13)</f>
        <v>4.3833000000000002</v>
      </c>
      <c r="G192" s="64">
        <f>4.3835 * CHOOSE(CONTROL!$C$22, $C$13, 100%, $E$13)</f>
        <v>4.3834999999999997</v>
      </c>
      <c r="H192" s="64">
        <f>8.1298* CHOOSE(CONTROL!$C$22, $C$13, 100%, $E$13)</f>
        <v>8.1297999999999995</v>
      </c>
      <c r="I192" s="64">
        <f>8.1299 * CHOOSE(CONTROL!$C$22, $C$13, 100%, $E$13)</f>
        <v>8.1298999999999992</v>
      </c>
      <c r="J192" s="64">
        <f>4.3833 * CHOOSE(CONTROL!$C$22, $C$13, 100%, $E$13)</f>
        <v>4.3833000000000002</v>
      </c>
      <c r="K192" s="64">
        <f>4.3835 * CHOOSE(CONTROL!$C$22, $C$13, 100%, $E$13)</f>
        <v>4.3834999999999997</v>
      </c>
    </row>
    <row r="193" spans="1:11" ht="15">
      <c r="A193" s="13">
        <v>47515</v>
      </c>
      <c r="B193" s="63">
        <f>3.847 * CHOOSE(CONTROL!$C$22, $C$13, 100%, $E$13)</f>
        <v>3.847</v>
      </c>
      <c r="C193" s="63">
        <f>3.847 * CHOOSE(CONTROL!$C$22, $C$13, 100%, $E$13)</f>
        <v>3.847</v>
      </c>
      <c r="D193" s="63">
        <f>3.8599 * CHOOSE(CONTROL!$C$22, $C$13, 100%, $E$13)</f>
        <v>3.8599000000000001</v>
      </c>
      <c r="E193" s="64">
        <f>4.3322 * CHOOSE(CONTROL!$C$22, $C$13, 100%, $E$13)</f>
        <v>4.3322000000000003</v>
      </c>
      <c r="F193" s="64">
        <f>4.3322 * CHOOSE(CONTROL!$C$22, $C$13, 100%, $E$13)</f>
        <v>4.3322000000000003</v>
      </c>
      <c r="G193" s="64">
        <f>4.3324 * CHOOSE(CONTROL!$C$22, $C$13, 100%, $E$13)</f>
        <v>4.3323999999999998</v>
      </c>
      <c r="H193" s="64">
        <f>8.1467* CHOOSE(CONTROL!$C$22, $C$13, 100%, $E$13)</f>
        <v>8.1466999999999992</v>
      </c>
      <c r="I193" s="64">
        <f>8.1469 * CHOOSE(CONTROL!$C$22, $C$13, 100%, $E$13)</f>
        <v>8.1469000000000005</v>
      </c>
      <c r="J193" s="64">
        <f>4.3322 * CHOOSE(CONTROL!$C$22, $C$13, 100%, $E$13)</f>
        <v>4.3322000000000003</v>
      </c>
      <c r="K193" s="64">
        <f>4.3324 * CHOOSE(CONTROL!$C$22, $C$13, 100%, $E$13)</f>
        <v>4.3323999999999998</v>
      </c>
    </row>
    <row r="194" spans="1:11" ht="15">
      <c r="A194" s="13">
        <v>47543</v>
      </c>
      <c r="B194" s="63">
        <f>3.844 * CHOOSE(CONTROL!$C$22, $C$13, 100%, $E$13)</f>
        <v>3.8439999999999999</v>
      </c>
      <c r="C194" s="63">
        <f>3.844 * CHOOSE(CONTROL!$C$22, $C$13, 100%, $E$13)</f>
        <v>3.8439999999999999</v>
      </c>
      <c r="D194" s="63">
        <f>3.8568 * CHOOSE(CONTROL!$C$22, $C$13, 100%, $E$13)</f>
        <v>3.8567999999999998</v>
      </c>
      <c r="E194" s="64">
        <f>4.3687 * CHOOSE(CONTROL!$C$22, $C$13, 100%, $E$13)</f>
        <v>4.3686999999999996</v>
      </c>
      <c r="F194" s="64">
        <f>4.3687 * CHOOSE(CONTROL!$C$22, $C$13, 100%, $E$13)</f>
        <v>4.3686999999999996</v>
      </c>
      <c r="G194" s="64">
        <f>4.3689 * CHOOSE(CONTROL!$C$22, $C$13, 100%, $E$13)</f>
        <v>4.3689</v>
      </c>
      <c r="H194" s="64">
        <f>8.1637* CHOOSE(CONTROL!$C$22, $C$13, 100%, $E$13)</f>
        <v>8.1637000000000004</v>
      </c>
      <c r="I194" s="64">
        <f>8.1639 * CHOOSE(CONTROL!$C$22, $C$13, 100%, $E$13)</f>
        <v>8.1638999999999999</v>
      </c>
      <c r="J194" s="64">
        <f>4.3687 * CHOOSE(CONTROL!$C$22, $C$13, 100%, $E$13)</f>
        <v>4.3686999999999996</v>
      </c>
      <c r="K194" s="64">
        <f>4.3689 * CHOOSE(CONTROL!$C$22, $C$13, 100%, $E$13)</f>
        <v>4.3689</v>
      </c>
    </row>
    <row r="195" spans="1:11" ht="15">
      <c r="A195" s="13">
        <v>47574</v>
      </c>
      <c r="B195" s="63">
        <f>3.8415 * CHOOSE(CONTROL!$C$22, $C$13, 100%, $E$13)</f>
        <v>3.8414999999999999</v>
      </c>
      <c r="C195" s="63">
        <f>3.8415 * CHOOSE(CONTROL!$C$22, $C$13, 100%, $E$13)</f>
        <v>3.8414999999999999</v>
      </c>
      <c r="D195" s="63">
        <f>3.8544 * CHOOSE(CONTROL!$C$22, $C$13, 100%, $E$13)</f>
        <v>3.8544</v>
      </c>
      <c r="E195" s="64">
        <f>4.406 * CHOOSE(CONTROL!$C$22, $C$13, 100%, $E$13)</f>
        <v>4.4059999999999997</v>
      </c>
      <c r="F195" s="64">
        <f>4.406 * CHOOSE(CONTROL!$C$22, $C$13, 100%, $E$13)</f>
        <v>4.4059999999999997</v>
      </c>
      <c r="G195" s="64">
        <f>4.4061 * CHOOSE(CONTROL!$C$22, $C$13, 100%, $E$13)</f>
        <v>4.4061000000000003</v>
      </c>
      <c r="H195" s="64">
        <f>8.1807* CHOOSE(CONTROL!$C$22, $C$13, 100%, $E$13)</f>
        <v>8.1806999999999999</v>
      </c>
      <c r="I195" s="64">
        <f>8.1809 * CHOOSE(CONTROL!$C$22, $C$13, 100%, $E$13)</f>
        <v>8.1808999999999994</v>
      </c>
      <c r="J195" s="64">
        <f>4.406 * CHOOSE(CONTROL!$C$22, $C$13, 100%, $E$13)</f>
        <v>4.4059999999999997</v>
      </c>
      <c r="K195" s="64">
        <f>4.4061 * CHOOSE(CONTROL!$C$22, $C$13, 100%, $E$13)</f>
        <v>4.4061000000000003</v>
      </c>
    </row>
    <row r="196" spans="1:11" ht="15">
      <c r="A196" s="13">
        <v>47604</v>
      </c>
      <c r="B196" s="63">
        <f>3.8415 * CHOOSE(CONTROL!$C$22, $C$13, 100%, $E$13)</f>
        <v>3.8414999999999999</v>
      </c>
      <c r="C196" s="63">
        <f>3.8415 * CHOOSE(CONTROL!$C$22, $C$13, 100%, $E$13)</f>
        <v>3.8414999999999999</v>
      </c>
      <c r="D196" s="63">
        <f>3.8673 * CHOOSE(CONTROL!$C$22, $C$13, 100%, $E$13)</f>
        <v>3.8673000000000002</v>
      </c>
      <c r="E196" s="64">
        <f>4.4215 * CHOOSE(CONTROL!$C$22, $C$13, 100%, $E$13)</f>
        <v>4.4215</v>
      </c>
      <c r="F196" s="64">
        <f>4.4215 * CHOOSE(CONTROL!$C$22, $C$13, 100%, $E$13)</f>
        <v>4.4215</v>
      </c>
      <c r="G196" s="64">
        <f>4.4232 * CHOOSE(CONTROL!$C$22, $C$13, 100%, $E$13)</f>
        <v>4.4231999999999996</v>
      </c>
      <c r="H196" s="64">
        <f>8.1977* CHOOSE(CONTROL!$C$22, $C$13, 100%, $E$13)</f>
        <v>8.1976999999999993</v>
      </c>
      <c r="I196" s="64">
        <f>8.1994 * CHOOSE(CONTROL!$C$22, $C$13, 100%, $E$13)</f>
        <v>8.1994000000000007</v>
      </c>
      <c r="J196" s="64">
        <f>4.4215 * CHOOSE(CONTROL!$C$22, $C$13, 100%, $E$13)</f>
        <v>4.4215</v>
      </c>
      <c r="K196" s="64">
        <f>4.4232 * CHOOSE(CONTROL!$C$22, $C$13, 100%, $E$13)</f>
        <v>4.4231999999999996</v>
      </c>
    </row>
    <row r="197" spans="1:11" ht="15">
      <c r="A197" s="13">
        <v>47635</v>
      </c>
      <c r="B197" s="63">
        <f>3.8476 * CHOOSE(CONTROL!$C$22, $C$13, 100%, $E$13)</f>
        <v>3.8475999999999999</v>
      </c>
      <c r="C197" s="63">
        <f>3.8476 * CHOOSE(CONTROL!$C$22, $C$13, 100%, $E$13)</f>
        <v>3.8475999999999999</v>
      </c>
      <c r="D197" s="63">
        <f>3.8734 * CHOOSE(CONTROL!$C$22, $C$13, 100%, $E$13)</f>
        <v>3.8734000000000002</v>
      </c>
      <c r="E197" s="64">
        <f>4.4102 * CHOOSE(CONTROL!$C$22, $C$13, 100%, $E$13)</f>
        <v>4.4101999999999997</v>
      </c>
      <c r="F197" s="64">
        <f>4.4102 * CHOOSE(CONTROL!$C$22, $C$13, 100%, $E$13)</f>
        <v>4.4101999999999997</v>
      </c>
      <c r="G197" s="64">
        <f>4.4118 * CHOOSE(CONTROL!$C$22, $C$13, 100%, $E$13)</f>
        <v>4.4118000000000004</v>
      </c>
      <c r="H197" s="64">
        <f>8.2148* CHOOSE(CONTROL!$C$22, $C$13, 100%, $E$13)</f>
        <v>8.2148000000000003</v>
      </c>
      <c r="I197" s="64">
        <f>8.2165 * CHOOSE(CONTROL!$C$22, $C$13, 100%, $E$13)</f>
        <v>8.2164999999999999</v>
      </c>
      <c r="J197" s="64">
        <f>4.4102 * CHOOSE(CONTROL!$C$22, $C$13, 100%, $E$13)</f>
        <v>4.4101999999999997</v>
      </c>
      <c r="K197" s="64">
        <f>4.4118 * CHOOSE(CONTROL!$C$22, $C$13, 100%, $E$13)</f>
        <v>4.4118000000000004</v>
      </c>
    </row>
    <row r="198" spans="1:11" ht="15">
      <c r="A198" s="13">
        <v>47665</v>
      </c>
      <c r="B198" s="63">
        <f>3.915 * CHOOSE(CONTROL!$C$22, $C$13, 100%, $E$13)</f>
        <v>3.915</v>
      </c>
      <c r="C198" s="63">
        <f>3.915 * CHOOSE(CONTROL!$C$22, $C$13, 100%, $E$13)</f>
        <v>3.915</v>
      </c>
      <c r="D198" s="63">
        <f>3.9408 * CHOOSE(CONTROL!$C$22, $C$13, 100%, $E$13)</f>
        <v>3.9407999999999999</v>
      </c>
      <c r="E198" s="64">
        <f>4.4986 * CHOOSE(CONTROL!$C$22, $C$13, 100%, $E$13)</f>
        <v>4.4985999999999997</v>
      </c>
      <c r="F198" s="64">
        <f>4.4986 * CHOOSE(CONTROL!$C$22, $C$13, 100%, $E$13)</f>
        <v>4.4985999999999997</v>
      </c>
      <c r="G198" s="64">
        <f>4.5003 * CHOOSE(CONTROL!$C$22, $C$13, 100%, $E$13)</f>
        <v>4.5003000000000002</v>
      </c>
      <c r="H198" s="64">
        <f>8.2319* CHOOSE(CONTROL!$C$22, $C$13, 100%, $E$13)</f>
        <v>8.2318999999999996</v>
      </c>
      <c r="I198" s="64">
        <f>8.2336 * CHOOSE(CONTROL!$C$22, $C$13, 100%, $E$13)</f>
        <v>8.2335999999999991</v>
      </c>
      <c r="J198" s="64">
        <f>4.4986 * CHOOSE(CONTROL!$C$22, $C$13, 100%, $E$13)</f>
        <v>4.4985999999999997</v>
      </c>
      <c r="K198" s="64">
        <f>4.5003 * CHOOSE(CONTROL!$C$22, $C$13, 100%, $E$13)</f>
        <v>4.5003000000000002</v>
      </c>
    </row>
    <row r="199" spans="1:11" ht="15">
      <c r="A199" s="13">
        <v>47696</v>
      </c>
      <c r="B199" s="63">
        <f>3.9217 * CHOOSE(CONTROL!$C$22, $C$13, 100%, $E$13)</f>
        <v>3.9217</v>
      </c>
      <c r="C199" s="63">
        <f>3.9217 * CHOOSE(CONTROL!$C$22, $C$13, 100%, $E$13)</f>
        <v>3.9217</v>
      </c>
      <c r="D199" s="63">
        <f>3.9475 * CHOOSE(CONTROL!$C$22, $C$13, 100%, $E$13)</f>
        <v>3.9474999999999998</v>
      </c>
      <c r="E199" s="64">
        <f>4.4566 * CHOOSE(CONTROL!$C$22, $C$13, 100%, $E$13)</f>
        <v>4.4565999999999999</v>
      </c>
      <c r="F199" s="64">
        <f>4.4566 * CHOOSE(CONTROL!$C$22, $C$13, 100%, $E$13)</f>
        <v>4.4565999999999999</v>
      </c>
      <c r="G199" s="64">
        <f>4.4583 * CHOOSE(CONTROL!$C$22, $C$13, 100%, $E$13)</f>
        <v>4.4583000000000004</v>
      </c>
      <c r="H199" s="64">
        <f>8.2491* CHOOSE(CONTROL!$C$22, $C$13, 100%, $E$13)</f>
        <v>8.2491000000000003</v>
      </c>
      <c r="I199" s="64">
        <f>8.2507 * CHOOSE(CONTROL!$C$22, $C$13, 100%, $E$13)</f>
        <v>8.2507000000000001</v>
      </c>
      <c r="J199" s="64">
        <f>4.4566 * CHOOSE(CONTROL!$C$22, $C$13, 100%, $E$13)</f>
        <v>4.4565999999999999</v>
      </c>
      <c r="K199" s="64">
        <f>4.4583 * CHOOSE(CONTROL!$C$22, $C$13, 100%, $E$13)</f>
        <v>4.4583000000000004</v>
      </c>
    </row>
    <row r="200" spans="1:11" ht="15">
      <c r="A200" s="13">
        <v>47727</v>
      </c>
      <c r="B200" s="63">
        <f>3.9187 * CHOOSE(CONTROL!$C$22, $C$13, 100%, $E$13)</f>
        <v>3.9186999999999999</v>
      </c>
      <c r="C200" s="63">
        <f>3.9187 * CHOOSE(CONTROL!$C$22, $C$13, 100%, $E$13)</f>
        <v>3.9186999999999999</v>
      </c>
      <c r="D200" s="63">
        <f>3.9444 * CHOOSE(CONTROL!$C$22, $C$13, 100%, $E$13)</f>
        <v>3.9443999999999999</v>
      </c>
      <c r="E200" s="64">
        <f>4.4493 * CHOOSE(CONTROL!$C$22, $C$13, 100%, $E$13)</f>
        <v>4.4493</v>
      </c>
      <c r="F200" s="64">
        <f>4.4493 * CHOOSE(CONTROL!$C$22, $C$13, 100%, $E$13)</f>
        <v>4.4493</v>
      </c>
      <c r="G200" s="64">
        <f>4.451 * CHOOSE(CONTROL!$C$22, $C$13, 100%, $E$13)</f>
        <v>4.4509999999999996</v>
      </c>
      <c r="H200" s="64">
        <f>8.2663* CHOOSE(CONTROL!$C$22, $C$13, 100%, $E$13)</f>
        <v>8.2662999999999993</v>
      </c>
      <c r="I200" s="64">
        <f>8.2679 * CHOOSE(CONTROL!$C$22, $C$13, 100%, $E$13)</f>
        <v>8.2678999999999991</v>
      </c>
      <c r="J200" s="64">
        <f>4.4493 * CHOOSE(CONTROL!$C$22, $C$13, 100%, $E$13)</f>
        <v>4.4493</v>
      </c>
      <c r="K200" s="64">
        <f>4.451 * CHOOSE(CONTROL!$C$22, $C$13, 100%, $E$13)</f>
        <v>4.4509999999999996</v>
      </c>
    </row>
    <row r="201" spans="1:11" ht="15">
      <c r="A201" s="13">
        <v>47757</v>
      </c>
      <c r="B201" s="63">
        <f>3.9137 * CHOOSE(CONTROL!$C$22, $C$13, 100%, $E$13)</f>
        <v>3.9137</v>
      </c>
      <c r="C201" s="63">
        <f>3.9137 * CHOOSE(CONTROL!$C$22, $C$13, 100%, $E$13)</f>
        <v>3.9137</v>
      </c>
      <c r="D201" s="63">
        <f>3.9266 * CHOOSE(CONTROL!$C$22, $C$13, 100%, $E$13)</f>
        <v>3.9266000000000001</v>
      </c>
      <c r="E201" s="64">
        <f>4.4566 * CHOOSE(CONTROL!$C$22, $C$13, 100%, $E$13)</f>
        <v>4.4565999999999999</v>
      </c>
      <c r="F201" s="64">
        <f>4.4566 * CHOOSE(CONTROL!$C$22, $C$13, 100%, $E$13)</f>
        <v>4.4565999999999999</v>
      </c>
      <c r="G201" s="64">
        <f>4.4568 * CHOOSE(CONTROL!$C$22, $C$13, 100%, $E$13)</f>
        <v>4.4568000000000003</v>
      </c>
      <c r="H201" s="64">
        <f>8.2835* CHOOSE(CONTROL!$C$22, $C$13, 100%, $E$13)</f>
        <v>8.2835000000000001</v>
      </c>
      <c r="I201" s="64">
        <f>8.2837 * CHOOSE(CONTROL!$C$22, $C$13, 100%, $E$13)</f>
        <v>8.2836999999999996</v>
      </c>
      <c r="J201" s="64">
        <f>4.4566 * CHOOSE(CONTROL!$C$22, $C$13, 100%, $E$13)</f>
        <v>4.4565999999999999</v>
      </c>
      <c r="K201" s="64">
        <f>4.4568 * CHOOSE(CONTROL!$C$22, $C$13, 100%, $E$13)</f>
        <v>4.4568000000000003</v>
      </c>
    </row>
    <row r="202" spans="1:11" ht="15">
      <c r="A202" s="13">
        <v>47788</v>
      </c>
      <c r="B202" s="63">
        <f>3.9168 * CHOOSE(CONTROL!$C$22, $C$13, 100%, $E$13)</f>
        <v>3.9167999999999998</v>
      </c>
      <c r="C202" s="63">
        <f>3.9168 * CHOOSE(CONTROL!$C$22, $C$13, 100%, $E$13)</f>
        <v>3.9167999999999998</v>
      </c>
      <c r="D202" s="63">
        <f>3.9296 * CHOOSE(CONTROL!$C$22, $C$13, 100%, $E$13)</f>
        <v>3.9296000000000002</v>
      </c>
      <c r="E202" s="64">
        <f>4.4691 * CHOOSE(CONTROL!$C$22, $C$13, 100%, $E$13)</f>
        <v>4.4691000000000001</v>
      </c>
      <c r="F202" s="64">
        <f>4.4691 * CHOOSE(CONTROL!$C$22, $C$13, 100%, $E$13)</f>
        <v>4.4691000000000001</v>
      </c>
      <c r="G202" s="64">
        <f>4.4693 * CHOOSE(CONTROL!$C$22, $C$13, 100%, $E$13)</f>
        <v>4.4692999999999996</v>
      </c>
      <c r="H202" s="64">
        <f>8.3007* CHOOSE(CONTROL!$C$22, $C$13, 100%, $E$13)</f>
        <v>8.3007000000000009</v>
      </c>
      <c r="I202" s="64">
        <f>8.3009 * CHOOSE(CONTROL!$C$22, $C$13, 100%, $E$13)</f>
        <v>8.3009000000000004</v>
      </c>
      <c r="J202" s="64">
        <f>4.4691 * CHOOSE(CONTROL!$C$22, $C$13, 100%, $E$13)</f>
        <v>4.4691000000000001</v>
      </c>
      <c r="K202" s="64">
        <f>4.4693 * CHOOSE(CONTROL!$C$22, $C$13, 100%, $E$13)</f>
        <v>4.4692999999999996</v>
      </c>
    </row>
    <row r="203" spans="1:11" ht="15">
      <c r="A203" s="13">
        <v>47818</v>
      </c>
      <c r="B203" s="63">
        <f>3.9168 * CHOOSE(CONTROL!$C$22, $C$13, 100%, $E$13)</f>
        <v>3.9167999999999998</v>
      </c>
      <c r="C203" s="63">
        <f>3.9168 * CHOOSE(CONTROL!$C$22, $C$13, 100%, $E$13)</f>
        <v>3.9167999999999998</v>
      </c>
      <c r="D203" s="63">
        <f>3.9296 * CHOOSE(CONTROL!$C$22, $C$13, 100%, $E$13)</f>
        <v>3.9296000000000002</v>
      </c>
      <c r="E203" s="64">
        <f>4.4432 * CHOOSE(CONTROL!$C$22, $C$13, 100%, $E$13)</f>
        <v>4.4432</v>
      </c>
      <c r="F203" s="64">
        <f>4.4432 * CHOOSE(CONTROL!$C$22, $C$13, 100%, $E$13)</f>
        <v>4.4432</v>
      </c>
      <c r="G203" s="64">
        <f>4.4434 * CHOOSE(CONTROL!$C$22, $C$13, 100%, $E$13)</f>
        <v>4.4433999999999996</v>
      </c>
      <c r="H203" s="64">
        <f>8.318* CHOOSE(CONTROL!$C$22, $C$13, 100%, $E$13)</f>
        <v>8.3179999999999996</v>
      </c>
      <c r="I203" s="64">
        <f>8.3182 * CHOOSE(CONTROL!$C$22, $C$13, 100%, $E$13)</f>
        <v>8.3181999999999992</v>
      </c>
      <c r="J203" s="64">
        <f>4.4432 * CHOOSE(CONTROL!$C$22, $C$13, 100%, $E$13)</f>
        <v>4.4432</v>
      </c>
      <c r="K203" s="64">
        <f>4.4434 * CHOOSE(CONTROL!$C$22, $C$13, 100%, $E$13)</f>
        <v>4.4433999999999996</v>
      </c>
    </row>
    <row r="204" spans="1:11" ht="15">
      <c r="A204" s="13">
        <v>47849</v>
      </c>
      <c r="B204" s="63">
        <f>3.9538 * CHOOSE(CONTROL!$C$22, $C$13, 100%, $E$13)</f>
        <v>3.9538000000000002</v>
      </c>
      <c r="C204" s="63">
        <f>3.9538 * CHOOSE(CONTROL!$C$22, $C$13, 100%, $E$13)</f>
        <v>3.9538000000000002</v>
      </c>
      <c r="D204" s="63">
        <f>3.9667 * CHOOSE(CONTROL!$C$22, $C$13, 100%, $E$13)</f>
        <v>3.9666999999999999</v>
      </c>
      <c r="E204" s="64">
        <f>4.5104 * CHOOSE(CONTROL!$C$22, $C$13, 100%, $E$13)</f>
        <v>4.5103999999999997</v>
      </c>
      <c r="F204" s="64">
        <f>4.5104 * CHOOSE(CONTROL!$C$22, $C$13, 100%, $E$13)</f>
        <v>4.5103999999999997</v>
      </c>
      <c r="G204" s="64">
        <f>4.5106 * CHOOSE(CONTROL!$C$22, $C$13, 100%, $E$13)</f>
        <v>4.5106000000000002</v>
      </c>
      <c r="H204" s="64">
        <f>8.3354* CHOOSE(CONTROL!$C$22, $C$13, 100%, $E$13)</f>
        <v>8.3353999999999999</v>
      </c>
      <c r="I204" s="64">
        <f>8.3355 * CHOOSE(CONTROL!$C$22, $C$13, 100%, $E$13)</f>
        <v>8.3354999999999997</v>
      </c>
      <c r="J204" s="64">
        <f>4.5104 * CHOOSE(CONTROL!$C$22, $C$13, 100%, $E$13)</f>
        <v>4.5103999999999997</v>
      </c>
      <c r="K204" s="64">
        <f>4.5106 * CHOOSE(CONTROL!$C$22, $C$13, 100%, $E$13)</f>
        <v>4.5106000000000002</v>
      </c>
    </row>
    <row r="205" spans="1:11" ht="15">
      <c r="A205" s="13">
        <v>47880</v>
      </c>
      <c r="B205" s="63">
        <f>3.9507 * CHOOSE(CONTROL!$C$22, $C$13, 100%, $E$13)</f>
        <v>3.9506999999999999</v>
      </c>
      <c r="C205" s="63">
        <f>3.9507 * CHOOSE(CONTROL!$C$22, $C$13, 100%, $E$13)</f>
        <v>3.9506999999999999</v>
      </c>
      <c r="D205" s="63">
        <f>3.9636 * CHOOSE(CONTROL!$C$22, $C$13, 100%, $E$13)</f>
        <v>3.9636</v>
      </c>
      <c r="E205" s="64">
        <f>4.4581 * CHOOSE(CONTROL!$C$22, $C$13, 100%, $E$13)</f>
        <v>4.4581</v>
      </c>
      <c r="F205" s="64">
        <f>4.4581 * CHOOSE(CONTROL!$C$22, $C$13, 100%, $E$13)</f>
        <v>4.4581</v>
      </c>
      <c r="G205" s="64">
        <f>4.4582 * CHOOSE(CONTROL!$C$22, $C$13, 100%, $E$13)</f>
        <v>4.4581999999999997</v>
      </c>
      <c r="H205" s="64">
        <f>8.3527* CHOOSE(CONTROL!$C$22, $C$13, 100%, $E$13)</f>
        <v>8.3527000000000005</v>
      </c>
      <c r="I205" s="64">
        <f>8.3529 * CHOOSE(CONTROL!$C$22, $C$13, 100%, $E$13)</f>
        <v>8.3529</v>
      </c>
      <c r="J205" s="64">
        <f>4.4581 * CHOOSE(CONTROL!$C$22, $C$13, 100%, $E$13)</f>
        <v>4.4581</v>
      </c>
      <c r="K205" s="64">
        <f>4.4582 * CHOOSE(CONTROL!$C$22, $C$13, 100%, $E$13)</f>
        <v>4.4581999999999997</v>
      </c>
    </row>
    <row r="206" spans="1:11" ht="15">
      <c r="A206" s="13">
        <v>47908</v>
      </c>
      <c r="B206" s="63">
        <f>3.9477 * CHOOSE(CONTROL!$C$22, $C$13, 100%, $E$13)</f>
        <v>3.9477000000000002</v>
      </c>
      <c r="C206" s="63">
        <f>3.9477 * CHOOSE(CONTROL!$C$22, $C$13, 100%, $E$13)</f>
        <v>3.9477000000000002</v>
      </c>
      <c r="D206" s="63">
        <f>3.9606 * CHOOSE(CONTROL!$C$22, $C$13, 100%, $E$13)</f>
        <v>3.9605999999999999</v>
      </c>
      <c r="E206" s="64">
        <f>4.4956 * CHOOSE(CONTROL!$C$22, $C$13, 100%, $E$13)</f>
        <v>4.4955999999999996</v>
      </c>
      <c r="F206" s="64">
        <f>4.4956 * CHOOSE(CONTROL!$C$22, $C$13, 100%, $E$13)</f>
        <v>4.4955999999999996</v>
      </c>
      <c r="G206" s="64">
        <f>4.4957 * CHOOSE(CONTROL!$C$22, $C$13, 100%, $E$13)</f>
        <v>4.4957000000000003</v>
      </c>
      <c r="H206" s="64">
        <f>8.3701* CHOOSE(CONTROL!$C$22, $C$13, 100%, $E$13)</f>
        <v>8.3701000000000008</v>
      </c>
      <c r="I206" s="64">
        <f>8.3703 * CHOOSE(CONTROL!$C$22, $C$13, 100%, $E$13)</f>
        <v>8.3703000000000003</v>
      </c>
      <c r="J206" s="64">
        <f>4.4956 * CHOOSE(CONTROL!$C$22, $C$13, 100%, $E$13)</f>
        <v>4.4955999999999996</v>
      </c>
      <c r="K206" s="64">
        <f>4.4957 * CHOOSE(CONTROL!$C$22, $C$13, 100%, $E$13)</f>
        <v>4.4957000000000003</v>
      </c>
    </row>
    <row r="207" spans="1:11" ht="15">
      <c r="A207" s="13">
        <v>47939</v>
      </c>
      <c r="B207" s="63">
        <f>3.9454 * CHOOSE(CONTROL!$C$22, $C$13, 100%, $E$13)</f>
        <v>3.9453999999999998</v>
      </c>
      <c r="C207" s="63">
        <f>3.9454 * CHOOSE(CONTROL!$C$22, $C$13, 100%, $E$13)</f>
        <v>3.9453999999999998</v>
      </c>
      <c r="D207" s="63">
        <f>3.9583 * CHOOSE(CONTROL!$C$22, $C$13, 100%, $E$13)</f>
        <v>3.9582999999999999</v>
      </c>
      <c r="E207" s="64">
        <f>4.5339 * CHOOSE(CONTROL!$C$22, $C$13, 100%, $E$13)</f>
        <v>4.5339</v>
      </c>
      <c r="F207" s="64">
        <f>4.5339 * CHOOSE(CONTROL!$C$22, $C$13, 100%, $E$13)</f>
        <v>4.5339</v>
      </c>
      <c r="G207" s="64">
        <f>4.5341 * CHOOSE(CONTROL!$C$22, $C$13, 100%, $E$13)</f>
        <v>4.5340999999999996</v>
      </c>
      <c r="H207" s="64">
        <f>8.3876* CHOOSE(CONTROL!$C$22, $C$13, 100%, $E$13)</f>
        <v>8.3876000000000008</v>
      </c>
      <c r="I207" s="64">
        <f>8.3877 * CHOOSE(CONTROL!$C$22, $C$13, 100%, $E$13)</f>
        <v>8.3877000000000006</v>
      </c>
      <c r="J207" s="64">
        <f>4.5339 * CHOOSE(CONTROL!$C$22, $C$13, 100%, $E$13)</f>
        <v>4.5339</v>
      </c>
      <c r="K207" s="64">
        <f>4.5341 * CHOOSE(CONTROL!$C$22, $C$13, 100%, $E$13)</f>
        <v>4.5340999999999996</v>
      </c>
    </row>
    <row r="208" spans="1:11" ht="15">
      <c r="A208" s="13">
        <v>47969</v>
      </c>
      <c r="B208" s="63">
        <f>3.9454 * CHOOSE(CONTROL!$C$22, $C$13, 100%, $E$13)</f>
        <v>3.9453999999999998</v>
      </c>
      <c r="C208" s="63">
        <f>3.9454 * CHOOSE(CONTROL!$C$22, $C$13, 100%, $E$13)</f>
        <v>3.9453999999999998</v>
      </c>
      <c r="D208" s="63">
        <f>3.9711 * CHOOSE(CONTROL!$C$22, $C$13, 100%, $E$13)</f>
        <v>3.9710999999999999</v>
      </c>
      <c r="E208" s="64">
        <f>4.5498 * CHOOSE(CONTROL!$C$22, $C$13, 100%, $E$13)</f>
        <v>4.5498000000000003</v>
      </c>
      <c r="F208" s="64">
        <f>4.5498 * CHOOSE(CONTROL!$C$22, $C$13, 100%, $E$13)</f>
        <v>4.5498000000000003</v>
      </c>
      <c r="G208" s="64">
        <f>4.5515 * CHOOSE(CONTROL!$C$22, $C$13, 100%, $E$13)</f>
        <v>4.5514999999999999</v>
      </c>
      <c r="H208" s="64">
        <f>8.405* CHOOSE(CONTROL!$C$22, $C$13, 100%, $E$13)</f>
        <v>8.4049999999999994</v>
      </c>
      <c r="I208" s="64">
        <f>8.4067 * CHOOSE(CONTROL!$C$22, $C$13, 100%, $E$13)</f>
        <v>8.4067000000000007</v>
      </c>
      <c r="J208" s="64">
        <f>4.5498 * CHOOSE(CONTROL!$C$22, $C$13, 100%, $E$13)</f>
        <v>4.5498000000000003</v>
      </c>
      <c r="K208" s="64">
        <f>4.5515 * CHOOSE(CONTROL!$C$22, $C$13, 100%, $E$13)</f>
        <v>4.5514999999999999</v>
      </c>
    </row>
    <row r="209" spans="1:11" ht="15">
      <c r="A209" s="13">
        <v>48000</v>
      </c>
      <c r="B209" s="63">
        <f>3.9515 * CHOOSE(CONTROL!$C$22, $C$13, 100%, $E$13)</f>
        <v>3.9514999999999998</v>
      </c>
      <c r="C209" s="63">
        <f>3.9515 * CHOOSE(CONTROL!$C$22, $C$13, 100%, $E$13)</f>
        <v>3.9514999999999998</v>
      </c>
      <c r="D209" s="63">
        <f>3.9772 * CHOOSE(CONTROL!$C$22, $C$13, 100%, $E$13)</f>
        <v>3.9771999999999998</v>
      </c>
      <c r="E209" s="64">
        <f>4.5381 * CHOOSE(CONTROL!$C$22, $C$13, 100%, $E$13)</f>
        <v>4.5381</v>
      </c>
      <c r="F209" s="64">
        <f>4.5381 * CHOOSE(CONTROL!$C$22, $C$13, 100%, $E$13)</f>
        <v>4.5381</v>
      </c>
      <c r="G209" s="64">
        <f>4.5398 * CHOOSE(CONTROL!$C$22, $C$13, 100%, $E$13)</f>
        <v>4.5397999999999996</v>
      </c>
      <c r="H209" s="64">
        <f>8.4226* CHOOSE(CONTROL!$C$22, $C$13, 100%, $E$13)</f>
        <v>8.4225999999999992</v>
      </c>
      <c r="I209" s="64">
        <f>8.4242 * CHOOSE(CONTROL!$C$22, $C$13, 100%, $E$13)</f>
        <v>8.4242000000000008</v>
      </c>
      <c r="J209" s="64">
        <f>4.5381 * CHOOSE(CONTROL!$C$22, $C$13, 100%, $E$13)</f>
        <v>4.5381</v>
      </c>
      <c r="K209" s="64">
        <f>4.5398 * CHOOSE(CONTROL!$C$22, $C$13, 100%, $E$13)</f>
        <v>4.5397999999999996</v>
      </c>
    </row>
    <row r="210" spans="1:11" ht="15">
      <c r="A210" s="13">
        <v>48030</v>
      </c>
      <c r="B210" s="63">
        <f>4.021 * CHOOSE(CONTROL!$C$22, $C$13, 100%, $E$13)</f>
        <v>4.0209999999999999</v>
      </c>
      <c r="C210" s="63">
        <f>4.021 * CHOOSE(CONTROL!$C$22, $C$13, 100%, $E$13)</f>
        <v>4.0209999999999999</v>
      </c>
      <c r="D210" s="63">
        <f>4.0467 * CHOOSE(CONTROL!$C$22, $C$13, 100%, $E$13)</f>
        <v>4.0467000000000004</v>
      </c>
      <c r="E210" s="64">
        <f>4.6515 * CHOOSE(CONTROL!$C$22, $C$13, 100%, $E$13)</f>
        <v>4.6515000000000004</v>
      </c>
      <c r="F210" s="64">
        <f>4.6515 * CHOOSE(CONTROL!$C$22, $C$13, 100%, $E$13)</f>
        <v>4.6515000000000004</v>
      </c>
      <c r="G210" s="64">
        <f>4.6531 * CHOOSE(CONTROL!$C$22, $C$13, 100%, $E$13)</f>
        <v>4.6531000000000002</v>
      </c>
      <c r="H210" s="64">
        <f>8.4401* CHOOSE(CONTROL!$C$22, $C$13, 100%, $E$13)</f>
        <v>8.4400999999999993</v>
      </c>
      <c r="I210" s="64">
        <f>8.4417 * CHOOSE(CONTROL!$C$22, $C$13, 100%, $E$13)</f>
        <v>8.4417000000000009</v>
      </c>
      <c r="J210" s="64">
        <f>4.6515 * CHOOSE(CONTROL!$C$22, $C$13, 100%, $E$13)</f>
        <v>4.6515000000000004</v>
      </c>
      <c r="K210" s="64">
        <f>4.6531 * CHOOSE(CONTROL!$C$22, $C$13, 100%, $E$13)</f>
        <v>4.6531000000000002</v>
      </c>
    </row>
    <row r="211" spans="1:11" ht="15">
      <c r="A211" s="13">
        <v>48061</v>
      </c>
      <c r="B211" s="63">
        <f>4.0277 * CHOOSE(CONTROL!$C$22, $C$13, 100%, $E$13)</f>
        <v>4.0277000000000003</v>
      </c>
      <c r="C211" s="63">
        <f>4.0277 * CHOOSE(CONTROL!$C$22, $C$13, 100%, $E$13)</f>
        <v>4.0277000000000003</v>
      </c>
      <c r="D211" s="63">
        <f>4.0534 * CHOOSE(CONTROL!$C$22, $C$13, 100%, $E$13)</f>
        <v>4.0533999999999999</v>
      </c>
      <c r="E211" s="64">
        <f>4.6083 * CHOOSE(CONTROL!$C$22, $C$13, 100%, $E$13)</f>
        <v>4.6082999999999998</v>
      </c>
      <c r="F211" s="64">
        <f>4.6083 * CHOOSE(CONTROL!$C$22, $C$13, 100%, $E$13)</f>
        <v>4.6082999999999998</v>
      </c>
      <c r="G211" s="64">
        <f>4.6099 * CHOOSE(CONTROL!$C$22, $C$13, 100%, $E$13)</f>
        <v>4.6098999999999997</v>
      </c>
      <c r="H211" s="64">
        <f>8.4577* CHOOSE(CONTROL!$C$22, $C$13, 100%, $E$13)</f>
        <v>8.4577000000000009</v>
      </c>
      <c r="I211" s="64">
        <f>8.4593 * CHOOSE(CONTROL!$C$22, $C$13, 100%, $E$13)</f>
        <v>8.4593000000000007</v>
      </c>
      <c r="J211" s="64">
        <f>4.6083 * CHOOSE(CONTROL!$C$22, $C$13, 100%, $E$13)</f>
        <v>4.6082999999999998</v>
      </c>
      <c r="K211" s="64">
        <f>4.6099 * CHOOSE(CONTROL!$C$22, $C$13, 100%, $E$13)</f>
        <v>4.6098999999999997</v>
      </c>
    </row>
    <row r="212" spans="1:11" ht="15">
      <c r="A212" s="13">
        <v>48092</v>
      </c>
      <c r="B212" s="63">
        <f>4.0246 * CHOOSE(CONTROL!$C$22, $C$13, 100%, $E$13)</f>
        <v>4.0246000000000004</v>
      </c>
      <c r="C212" s="63">
        <f>4.0246 * CHOOSE(CONTROL!$C$22, $C$13, 100%, $E$13)</f>
        <v>4.0246000000000004</v>
      </c>
      <c r="D212" s="63">
        <f>4.0504 * CHOOSE(CONTROL!$C$22, $C$13, 100%, $E$13)</f>
        <v>4.0503999999999998</v>
      </c>
      <c r="E212" s="64">
        <f>4.6008 * CHOOSE(CONTROL!$C$22, $C$13, 100%, $E$13)</f>
        <v>4.6007999999999996</v>
      </c>
      <c r="F212" s="64">
        <f>4.6008 * CHOOSE(CONTROL!$C$22, $C$13, 100%, $E$13)</f>
        <v>4.6007999999999996</v>
      </c>
      <c r="G212" s="64">
        <f>4.6025 * CHOOSE(CONTROL!$C$22, $C$13, 100%, $E$13)</f>
        <v>4.6025</v>
      </c>
      <c r="H212" s="64">
        <f>8.4753* CHOOSE(CONTROL!$C$22, $C$13, 100%, $E$13)</f>
        <v>8.4753000000000007</v>
      </c>
      <c r="I212" s="64">
        <f>8.4769 * CHOOSE(CONTROL!$C$22, $C$13, 100%, $E$13)</f>
        <v>8.4769000000000005</v>
      </c>
      <c r="J212" s="64">
        <f>4.6008 * CHOOSE(CONTROL!$C$22, $C$13, 100%, $E$13)</f>
        <v>4.6007999999999996</v>
      </c>
      <c r="K212" s="64">
        <f>4.6025 * CHOOSE(CONTROL!$C$22, $C$13, 100%, $E$13)</f>
        <v>4.6025</v>
      </c>
    </row>
    <row r="213" spans="1:11" ht="15">
      <c r="A213" s="13">
        <v>48122</v>
      </c>
      <c r="B213" s="63">
        <f>4.02 * CHOOSE(CONTROL!$C$22, $C$13, 100%, $E$13)</f>
        <v>4.0199999999999996</v>
      </c>
      <c r="C213" s="63">
        <f>4.02 * CHOOSE(CONTROL!$C$22, $C$13, 100%, $E$13)</f>
        <v>4.0199999999999996</v>
      </c>
      <c r="D213" s="63">
        <f>4.0329 * CHOOSE(CONTROL!$C$22, $C$13, 100%, $E$13)</f>
        <v>4.0328999999999997</v>
      </c>
      <c r="E213" s="64">
        <f>4.6087 * CHOOSE(CONTROL!$C$22, $C$13, 100%, $E$13)</f>
        <v>4.6086999999999998</v>
      </c>
      <c r="F213" s="64">
        <f>4.6087 * CHOOSE(CONTROL!$C$22, $C$13, 100%, $E$13)</f>
        <v>4.6086999999999998</v>
      </c>
      <c r="G213" s="64">
        <f>4.6089 * CHOOSE(CONTROL!$C$22, $C$13, 100%, $E$13)</f>
        <v>4.6089000000000002</v>
      </c>
      <c r="H213" s="64">
        <f>8.493* CHOOSE(CONTROL!$C$22, $C$13, 100%, $E$13)</f>
        <v>8.4930000000000003</v>
      </c>
      <c r="I213" s="64">
        <f>8.4931 * CHOOSE(CONTROL!$C$22, $C$13, 100%, $E$13)</f>
        <v>8.4931000000000001</v>
      </c>
      <c r="J213" s="64">
        <f>4.6087 * CHOOSE(CONTROL!$C$22, $C$13, 100%, $E$13)</f>
        <v>4.6086999999999998</v>
      </c>
      <c r="K213" s="64">
        <f>4.6089 * CHOOSE(CONTROL!$C$22, $C$13, 100%, $E$13)</f>
        <v>4.6089000000000002</v>
      </c>
    </row>
    <row r="214" spans="1:11" ht="15">
      <c r="A214" s="13">
        <v>48153</v>
      </c>
      <c r="B214" s="63">
        <f>4.0231 * CHOOSE(CONTROL!$C$22, $C$13, 100%, $E$13)</f>
        <v>4.0231000000000003</v>
      </c>
      <c r="C214" s="63">
        <f>4.0231 * CHOOSE(CONTROL!$C$22, $C$13, 100%, $E$13)</f>
        <v>4.0231000000000003</v>
      </c>
      <c r="D214" s="63">
        <f>4.0359 * CHOOSE(CONTROL!$C$22, $C$13, 100%, $E$13)</f>
        <v>4.0358999999999998</v>
      </c>
      <c r="E214" s="64">
        <f>4.6214 * CHOOSE(CONTROL!$C$22, $C$13, 100%, $E$13)</f>
        <v>4.6214000000000004</v>
      </c>
      <c r="F214" s="64">
        <f>4.6214 * CHOOSE(CONTROL!$C$22, $C$13, 100%, $E$13)</f>
        <v>4.6214000000000004</v>
      </c>
      <c r="G214" s="64">
        <f>4.6216 * CHOOSE(CONTROL!$C$22, $C$13, 100%, $E$13)</f>
        <v>4.6215999999999999</v>
      </c>
      <c r="H214" s="64">
        <f>8.5107* CHOOSE(CONTROL!$C$22, $C$13, 100%, $E$13)</f>
        <v>8.5106999999999999</v>
      </c>
      <c r="I214" s="64">
        <f>8.5108 * CHOOSE(CONTROL!$C$22, $C$13, 100%, $E$13)</f>
        <v>8.5107999999999997</v>
      </c>
      <c r="J214" s="64">
        <f>4.6214 * CHOOSE(CONTROL!$C$22, $C$13, 100%, $E$13)</f>
        <v>4.6214000000000004</v>
      </c>
      <c r="K214" s="64">
        <f>4.6216 * CHOOSE(CONTROL!$C$22, $C$13, 100%, $E$13)</f>
        <v>4.6215999999999999</v>
      </c>
    </row>
    <row r="215" spans="1:11" ht="15">
      <c r="A215" s="13">
        <v>48183</v>
      </c>
      <c r="B215" s="63">
        <f>4.0231 * CHOOSE(CONTROL!$C$22, $C$13, 100%, $E$13)</f>
        <v>4.0231000000000003</v>
      </c>
      <c r="C215" s="63">
        <f>4.0231 * CHOOSE(CONTROL!$C$22, $C$13, 100%, $E$13)</f>
        <v>4.0231000000000003</v>
      </c>
      <c r="D215" s="63">
        <f>4.0359 * CHOOSE(CONTROL!$C$22, $C$13, 100%, $E$13)</f>
        <v>4.0358999999999998</v>
      </c>
      <c r="E215" s="64">
        <f>4.5948 * CHOOSE(CONTROL!$C$22, $C$13, 100%, $E$13)</f>
        <v>4.5948000000000002</v>
      </c>
      <c r="F215" s="64">
        <f>4.5948 * CHOOSE(CONTROL!$C$22, $C$13, 100%, $E$13)</f>
        <v>4.5948000000000002</v>
      </c>
      <c r="G215" s="64">
        <f>4.595 * CHOOSE(CONTROL!$C$22, $C$13, 100%, $E$13)</f>
        <v>4.5949999999999998</v>
      </c>
      <c r="H215" s="64">
        <f>8.5284* CHOOSE(CONTROL!$C$22, $C$13, 100%, $E$13)</f>
        <v>8.5283999999999995</v>
      </c>
      <c r="I215" s="64">
        <f>8.5286 * CHOOSE(CONTROL!$C$22, $C$13, 100%, $E$13)</f>
        <v>8.5286000000000008</v>
      </c>
      <c r="J215" s="64">
        <f>4.5948 * CHOOSE(CONTROL!$C$22, $C$13, 100%, $E$13)</f>
        <v>4.5948000000000002</v>
      </c>
      <c r="K215" s="64">
        <f>4.595 * CHOOSE(CONTROL!$C$22, $C$13, 100%, $E$13)</f>
        <v>4.5949999999999998</v>
      </c>
    </row>
    <row r="216" spans="1:11" ht="15">
      <c r="A216" s="13">
        <v>48214</v>
      </c>
      <c r="B216" s="63">
        <f>4.0668 * CHOOSE(CONTROL!$C$22, $C$13, 100%, $E$13)</f>
        <v>4.0667999999999997</v>
      </c>
      <c r="C216" s="63">
        <f>4.0668 * CHOOSE(CONTROL!$C$22, $C$13, 100%, $E$13)</f>
        <v>4.0667999999999997</v>
      </c>
      <c r="D216" s="63">
        <f>4.0797 * CHOOSE(CONTROL!$C$22, $C$13, 100%, $E$13)</f>
        <v>4.0796999999999999</v>
      </c>
      <c r="E216" s="64">
        <f>4.6594 * CHOOSE(CONTROL!$C$22, $C$13, 100%, $E$13)</f>
        <v>4.6593999999999998</v>
      </c>
      <c r="F216" s="64">
        <f>4.6594 * CHOOSE(CONTROL!$C$22, $C$13, 100%, $E$13)</f>
        <v>4.6593999999999998</v>
      </c>
      <c r="G216" s="64">
        <f>4.6595 * CHOOSE(CONTROL!$C$22, $C$13, 100%, $E$13)</f>
        <v>4.6595000000000004</v>
      </c>
      <c r="H216" s="64">
        <f>8.5462* CHOOSE(CONTROL!$C$22, $C$13, 100%, $E$13)</f>
        <v>8.5462000000000007</v>
      </c>
      <c r="I216" s="64">
        <f>8.5463 * CHOOSE(CONTROL!$C$22, $C$13, 100%, $E$13)</f>
        <v>8.5463000000000005</v>
      </c>
      <c r="J216" s="64">
        <f>4.6594 * CHOOSE(CONTROL!$C$22, $C$13, 100%, $E$13)</f>
        <v>4.6593999999999998</v>
      </c>
      <c r="K216" s="64">
        <f>4.6595 * CHOOSE(CONTROL!$C$22, $C$13, 100%, $E$13)</f>
        <v>4.6595000000000004</v>
      </c>
    </row>
    <row r="217" spans="1:11" ht="15">
      <c r="A217" s="13">
        <v>48245</v>
      </c>
      <c r="B217" s="63">
        <f>4.0637 * CHOOSE(CONTROL!$C$22, $C$13, 100%, $E$13)</f>
        <v>4.0636999999999999</v>
      </c>
      <c r="C217" s="63">
        <f>4.0637 * CHOOSE(CONTROL!$C$22, $C$13, 100%, $E$13)</f>
        <v>4.0636999999999999</v>
      </c>
      <c r="D217" s="63">
        <f>4.0766 * CHOOSE(CONTROL!$C$22, $C$13, 100%, $E$13)</f>
        <v>4.0766</v>
      </c>
      <c r="E217" s="64">
        <f>4.6056 * CHOOSE(CONTROL!$C$22, $C$13, 100%, $E$13)</f>
        <v>4.6055999999999999</v>
      </c>
      <c r="F217" s="64">
        <f>4.6056 * CHOOSE(CONTROL!$C$22, $C$13, 100%, $E$13)</f>
        <v>4.6055999999999999</v>
      </c>
      <c r="G217" s="64">
        <f>4.6058 * CHOOSE(CONTROL!$C$22, $C$13, 100%, $E$13)</f>
        <v>4.6058000000000003</v>
      </c>
      <c r="H217" s="64">
        <f>8.564* CHOOSE(CONTROL!$C$22, $C$13, 100%, $E$13)</f>
        <v>8.5640000000000001</v>
      </c>
      <c r="I217" s="64">
        <f>8.5641 * CHOOSE(CONTROL!$C$22, $C$13, 100%, $E$13)</f>
        <v>8.5640999999999998</v>
      </c>
      <c r="J217" s="64">
        <f>4.6056 * CHOOSE(CONTROL!$C$22, $C$13, 100%, $E$13)</f>
        <v>4.6055999999999999</v>
      </c>
      <c r="K217" s="64">
        <f>4.6058 * CHOOSE(CONTROL!$C$22, $C$13, 100%, $E$13)</f>
        <v>4.6058000000000003</v>
      </c>
    </row>
    <row r="218" spans="1:11" ht="15">
      <c r="A218" s="13">
        <v>48274</v>
      </c>
      <c r="B218" s="63">
        <f>4.0607 * CHOOSE(CONTROL!$C$22, $C$13, 100%, $E$13)</f>
        <v>4.0606999999999998</v>
      </c>
      <c r="C218" s="63">
        <f>4.0607 * CHOOSE(CONTROL!$C$22, $C$13, 100%, $E$13)</f>
        <v>4.0606999999999998</v>
      </c>
      <c r="D218" s="63">
        <f>4.0736 * CHOOSE(CONTROL!$C$22, $C$13, 100%, $E$13)</f>
        <v>4.0735999999999999</v>
      </c>
      <c r="E218" s="64">
        <f>4.6442 * CHOOSE(CONTROL!$C$22, $C$13, 100%, $E$13)</f>
        <v>4.6441999999999997</v>
      </c>
      <c r="F218" s="64">
        <f>4.6442 * CHOOSE(CONTROL!$C$22, $C$13, 100%, $E$13)</f>
        <v>4.6441999999999997</v>
      </c>
      <c r="G218" s="64">
        <f>4.6444 * CHOOSE(CONTROL!$C$22, $C$13, 100%, $E$13)</f>
        <v>4.6444000000000001</v>
      </c>
      <c r="H218" s="64">
        <f>8.5818* CHOOSE(CONTROL!$C$22, $C$13, 100%, $E$13)</f>
        <v>8.5817999999999994</v>
      </c>
      <c r="I218" s="64">
        <f>8.582 * CHOOSE(CONTROL!$C$22, $C$13, 100%, $E$13)</f>
        <v>8.5820000000000007</v>
      </c>
      <c r="J218" s="64">
        <f>4.6442 * CHOOSE(CONTROL!$C$22, $C$13, 100%, $E$13)</f>
        <v>4.6441999999999997</v>
      </c>
      <c r="K218" s="64">
        <f>4.6444 * CHOOSE(CONTROL!$C$22, $C$13, 100%, $E$13)</f>
        <v>4.6444000000000001</v>
      </c>
    </row>
    <row r="219" spans="1:11" ht="15">
      <c r="A219" s="13">
        <v>48305</v>
      </c>
      <c r="B219" s="63">
        <f>4.0585 * CHOOSE(CONTROL!$C$22, $C$13, 100%, $E$13)</f>
        <v>4.0585000000000004</v>
      </c>
      <c r="C219" s="63">
        <f>4.0585 * CHOOSE(CONTROL!$C$22, $C$13, 100%, $E$13)</f>
        <v>4.0585000000000004</v>
      </c>
      <c r="D219" s="63">
        <f>4.0714 * CHOOSE(CONTROL!$C$22, $C$13, 100%, $E$13)</f>
        <v>4.0713999999999997</v>
      </c>
      <c r="E219" s="64">
        <f>4.6837 * CHOOSE(CONTROL!$C$22, $C$13, 100%, $E$13)</f>
        <v>4.6837</v>
      </c>
      <c r="F219" s="64">
        <f>4.6837 * CHOOSE(CONTROL!$C$22, $C$13, 100%, $E$13)</f>
        <v>4.6837</v>
      </c>
      <c r="G219" s="64">
        <f>4.6838 * CHOOSE(CONTROL!$C$22, $C$13, 100%, $E$13)</f>
        <v>4.6837999999999997</v>
      </c>
      <c r="H219" s="64">
        <f>8.5997* CHOOSE(CONTROL!$C$22, $C$13, 100%, $E$13)</f>
        <v>8.5997000000000003</v>
      </c>
      <c r="I219" s="64">
        <f>8.5999 * CHOOSE(CONTROL!$C$22, $C$13, 100%, $E$13)</f>
        <v>8.5998999999999999</v>
      </c>
      <c r="J219" s="64">
        <f>4.6837 * CHOOSE(CONTROL!$C$22, $C$13, 100%, $E$13)</f>
        <v>4.6837</v>
      </c>
      <c r="K219" s="64">
        <f>4.6838 * CHOOSE(CONTROL!$C$22, $C$13, 100%, $E$13)</f>
        <v>4.6837999999999997</v>
      </c>
    </row>
    <row r="220" spans="1:11" ht="15">
      <c r="A220" s="13">
        <v>48335</v>
      </c>
      <c r="B220" s="63">
        <f>4.0585 * CHOOSE(CONTROL!$C$22, $C$13, 100%, $E$13)</f>
        <v>4.0585000000000004</v>
      </c>
      <c r="C220" s="63">
        <f>4.0585 * CHOOSE(CONTROL!$C$22, $C$13, 100%, $E$13)</f>
        <v>4.0585000000000004</v>
      </c>
      <c r="D220" s="63">
        <f>4.0842 * CHOOSE(CONTROL!$C$22, $C$13, 100%, $E$13)</f>
        <v>4.0842000000000001</v>
      </c>
      <c r="E220" s="64">
        <f>4.7 * CHOOSE(CONTROL!$C$22, $C$13, 100%, $E$13)</f>
        <v>4.7</v>
      </c>
      <c r="F220" s="64">
        <f>4.7 * CHOOSE(CONTROL!$C$22, $C$13, 100%, $E$13)</f>
        <v>4.7</v>
      </c>
      <c r="G220" s="64">
        <f>4.7017 * CHOOSE(CONTROL!$C$22, $C$13, 100%, $E$13)</f>
        <v>4.7016999999999998</v>
      </c>
      <c r="H220" s="64">
        <f>8.6176* CHOOSE(CONTROL!$C$22, $C$13, 100%, $E$13)</f>
        <v>8.6175999999999995</v>
      </c>
      <c r="I220" s="64">
        <f>8.6192 * CHOOSE(CONTROL!$C$22, $C$13, 100%, $E$13)</f>
        <v>8.6191999999999993</v>
      </c>
      <c r="J220" s="64">
        <f>4.7 * CHOOSE(CONTROL!$C$22, $C$13, 100%, $E$13)</f>
        <v>4.7</v>
      </c>
      <c r="K220" s="64">
        <f>4.7017 * CHOOSE(CONTROL!$C$22, $C$13, 100%, $E$13)</f>
        <v>4.7016999999999998</v>
      </c>
    </row>
    <row r="221" spans="1:11" ht="15">
      <c r="A221" s="13">
        <v>48366</v>
      </c>
      <c r="B221" s="63">
        <f>4.0646 * CHOOSE(CONTROL!$C$22, $C$13, 100%, $E$13)</f>
        <v>4.0646000000000004</v>
      </c>
      <c r="C221" s="63">
        <f>4.0646 * CHOOSE(CONTROL!$C$22, $C$13, 100%, $E$13)</f>
        <v>4.0646000000000004</v>
      </c>
      <c r="D221" s="63">
        <f>4.0903 * CHOOSE(CONTROL!$C$22, $C$13, 100%, $E$13)</f>
        <v>4.0903</v>
      </c>
      <c r="E221" s="64">
        <f>4.6879 * CHOOSE(CONTROL!$C$22, $C$13, 100%, $E$13)</f>
        <v>4.6879</v>
      </c>
      <c r="F221" s="64">
        <f>4.6879 * CHOOSE(CONTROL!$C$22, $C$13, 100%, $E$13)</f>
        <v>4.6879</v>
      </c>
      <c r="G221" s="64">
        <f>4.6895 * CHOOSE(CONTROL!$C$22, $C$13, 100%, $E$13)</f>
        <v>4.6894999999999998</v>
      </c>
      <c r="H221" s="64">
        <f>8.6355* CHOOSE(CONTROL!$C$22, $C$13, 100%, $E$13)</f>
        <v>8.6355000000000004</v>
      </c>
      <c r="I221" s="64">
        <f>8.6372 * CHOOSE(CONTROL!$C$22, $C$13, 100%, $E$13)</f>
        <v>8.6372</v>
      </c>
      <c r="J221" s="64">
        <f>4.6879 * CHOOSE(CONTROL!$C$22, $C$13, 100%, $E$13)</f>
        <v>4.6879</v>
      </c>
      <c r="K221" s="64">
        <f>4.6895 * CHOOSE(CONTROL!$C$22, $C$13, 100%, $E$13)</f>
        <v>4.6894999999999998</v>
      </c>
    </row>
    <row r="222" spans="1:11" ht="15">
      <c r="A222" s="13">
        <v>48396</v>
      </c>
      <c r="B222" s="63">
        <f>4.1497 * CHOOSE(CONTROL!$C$22, $C$13, 100%, $E$13)</f>
        <v>4.1497000000000002</v>
      </c>
      <c r="C222" s="63">
        <f>4.1497 * CHOOSE(CONTROL!$C$22, $C$13, 100%, $E$13)</f>
        <v>4.1497000000000002</v>
      </c>
      <c r="D222" s="63">
        <f>4.1754 * CHOOSE(CONTROL!$C$22, $C$13, 100%, $E$13)</f>
        <v>4.1753999999999998</v>
      </c>
      <c r="E222" s="64">
        <f>4.7922 * CHOOSE(CONTROL!$C$22, $C$13, 100%, $E$13)</f>
        <v>4.7922000000000002</v>
      </c>
      <c r="F222" s="64">
        <f>4.7922 * CHOOSE(CONTROL!$C$22, $C$13, 100%, $E$13)</f>
        <v>4.7922000000000002</v>
      </c>
      <c r="G222" s="64">
        <f>4.7938 * CHOOSE(CONTROL!$C$22, $C$13, 100%, $E$13)</f>
        <v>4.7938000000000001</v>
      </c>
      <c r="H222" s="64">
        <f>8.6535* CHOOSE(CONTROL!$C$22, $C$13, 100%, $E$13)</f>
        <v>8.6534999999999993</v>
      </c>
      <c r="I222" s="64">
        <f>8.6552 * CHOOSE(CONTROL!$C$22, $C$13, 100%, $E$13)</f>
        <v>8.6552000000000007</v>
      </c>
      <c r="J222" s="64">
        <f>4.7922 * CHOOSE(CONTROL!$C$22, $C$13, 100%, $E$13)</f>
        <v>4.7922000000000002</v>
      </c>
      <c r="K222" s="64">
        <f>4.7938 * CHOOSE(CONTROL!$C$22, $C$13, 100%, $E$13)</f>
        <v>4.7938000000000001</v>
      </c>
    </row>
    <row r="223" spans="1:11" ht="15">
      <c r="A223" s="13">
        <v>48427</v>
      </c>
      <c r="B223" s="63">
        <f>4.1564 * CHOOSE(CONTROL!$C$22, $C$13, 100%, $E$13)</f>
        <v>4.1563999999999997</v>
      </c>
      <c r="C223" s="63">
        <f>4.1564 * CHOOSE(CONTROL!$C$22, $C$13, 100%, $E$13)</f>
        <v>4.1563999999999997</v>
      </c>
      <c r="D223" s="63">
        <f>4.1821 * CHOOSE(CONTROL!$C$22, $C$13, 100%, $E$13)</f>
        <v>4.1821000000000002</v>
      </c>
      <c r="E223" s="64">
        <f>4.7477 * CHOOSE(CONTROL!$C$22, $C$13, 100%, $E$13)</f>
        <v>4.7477</v>
      </c>
      <c r="F223" s="64">
        <f>4.7477 * CHOOSE(CONTROL!$C$22, $C$13, 100%, $E$13)</f>
        <v>4.7477</v>
      </c>
      <c r="G223" s="64">
        <f>4.7493 * CHOOSE(CONTROL!$C$22, $C$13, 100%, $E$13)</f>
        <v>4.7492999999999999</v>
      </c>
      <c r="H223" s="64">
        <f>8.6716* CHOOSE(CONTROL!$C$22, $C$13, 100%, $E$13)</f>
        <v>8.6715999999999998</v>
      </c>
      <c r="I223" s="64">
        <f>8.6732 * CHOOSE(CONTROL!$C$22, $C$13, 100%, $E$13)</f>
        <v>8.6731999999999996</v>
      </c>
      <c r="J223" s="64">
        <f>4.7477 * CHOOSE(CONTROL!$C$22, $C$13, 100%, $E$13)</f>
        <v>4.7477</v>
      </c>
      <c r="K223" s="64">
        <f>4.7493 * CHOOSE(CONTROL!$C$22, $C$13, 100%, $E$13)</f>
        <v>4.7492999999999999</v>
      </c>
    </row>
    <row r="224" spans="1:11" ht="15">
      <c r="A224" s="13">
        <v>48458</v>
      </c>
      <c r="B224" s="63">
        <f>4.1533 * CHOOSE(CONTROL!$C$22, $C$13, 100%, $E$13)</f>
        <v>4.1532999999999998</v>
      </c>
      <c r="C224" s="63">
        <f>4.1533 * CHOOSE(CONTROL!$C$22, $C$13, 100%, $E$13)</f>
        <v>4.1532999999999998</v>
      </c>
      <c r="D224" s="63">
        <f>4.1791 * CHOOSE(CONTROL!$C$22, $C$13, 100%, $E$13)</f>
        <v>4.1791</v>
      </c>
      <c r="E224" s="64">
        <f>4.7401 * CHOOSE(CONTROL!$C$22, $C$13, 100%, $E$13)</f>
        <v>4.7401</v>
      </c>
      <c r="F224" s="64">
        <f>4.7401 * CHOOSE(CONTROL!$C$22, $C$13, 100%, $E$13)</f>
        <v>4.7401</v>
      </c>
      <c r="G224" s="64">
        <f>4.7417 * CHOOSE(CONTROL!$C$22, $C$13, 100%, $E$13)</f>
        <v>4.7416999999999998</v>
      </c>
      <c r="H224" s="64">
        <f>8.6896* CHOOSE(CONTROL!$C$22, $C$13, 100%, $E$13)</f>
        <v>8.6896000000000004</v>
      </c>
      <c r="I224" s="64">
        <f>8.6913 * CHOOSE(CONTROL!$C$22, $C$13, 100%, $E$13)</f>
        <v>8.6913</v>
      </c>
      <c r="J224" s="64">
        <f>4.7401 * CHOOSE(CONTROL!$C$22, $C$13, 100%, $E$13)</f>
        <v>4.7401</v>
      </c>
      <c r="K224" s="64">
        <f>4.7417 * CHOOSE(CONTROL!$C$22, $C$13, 100%, $E$13)</f>
        <v>4.7416999999999998</v>
      </c>
    </row>
    <row r="225" spans="1:11" ht="15">
      <c r="A225" s="13">
        <v>48488</v>
      </c>
      <c r="B225" s="63">
        <f>4.1491 * CHOOSE(CONTROL!$C$22, $C$13, 100%, $E$13)</f>
        <v>4.1490999999999998</v>
      </c>
      <c r="C225" s="63">
        <f>4.1491 * CHOOSE(CONTROL!$C$22, $C$13, 100%, $E$13)</f>
        <v>4.1490999999999998</v>
      </c>
      <c r="D225" s="63">
        <f>4.162 * CHOOSE(CONTROL!$C$22, $C$13, 100%, $E$13)</f>
        <v>4.1619999999999999</v>
      </c>
      <c r="E225" s="64">
        <f>4.7485 * CHOOSE(CONTROL!$C$22, $C$13, 100%, $E$13)</f>
        <v>4.7484999999999999</v>
      </c>
      <c r="F225" s="64">
        <f>4.7485 * CHOOSE(CONTROL!$C$22, $C$13, 100%, $E$13)</f>
        <v>4.7484999999999999</v>
      </c>
      <c r="G225" s="64">
        <f>4.7487 * CHOOSE(CONTROL!$C$22, $C$13, 100%, $E$13)</f>
        <v>4.7487000000000004</v>
      </c>
      <c r="H225" s="64">
        <f>8.7077* CHOOSE(CONTROL!$C$22, $C$13, 100%, $E$13)</f>
        <v>8.7077000000000009</v>
      </c>
      <c r="I225" s="64">
        <f>8.7079 * CHOOSE(CONTROL!$C$22, $C$13, 100%, $E$13)</f>
        <v>8.7079000000000004</v>
      </c>
      <c r="J225" s="64">
        <f>4.7485 * CHOOSE(CONTROL!$C$22, $C$13, 100%, $E$13)</f>
        <v>4.7484999999999999</v>
      </c>
      <c r="K225" s="64">
        <f>4.7487 * CHOOSE(CONTROL!$C$22, $C$13, 100%, $E$13)</f>
        <v>4.7487000000000004</v>
      </c>
    </row>
    <row r="226" spans="1:11" ht="15">
      <c r="A226" s="13">
        <v>48519</v>
      </c>
      <c r="B226" s="63">
        <f>4.1522 * CHOOSE(CONTROL!$C$22, $C$13, 100%, $E$13)</f>
        <v>4.1521999999999997</v>
      </c>
      <c r="C226" s="63">
        <f>4.1522 * CHOOSE(CONTROL!$C$22, $C$13, 100%, $E$13)</f>
        <v>4.1521999999999997</v>
      </c>
      <c r="D226" s="63">
        <f>4.165 * CHOOSE(CONTROL!$C$22, $C$13, 100%, $E$13)</f>
        <v>4.165</v>
      </c>
      <c r="E226" s="64">
        <f>4.7616 * CHOOSE(CONTROL!$C$22, $C$13, 100%, $E$13)</f>
        <v>4.7615999999999996</v>
      </c>
      <c r="F226" s="64">
        <f>4.7616 * CHOOSE(CONTROL!$C$22, $C$13, 100%, $E$13)</f>
        <v>4.7615999999999996</v>
      </c>
      <c r="G226" s="64">
        <f>4.7617 * CHOOSE(CONTROL!$C$22, $C$13, 100%, $E$13)</f>
        <v>4.7617000000000003</v>
      </c>
      <c r="H226" s="64">
        <f>8.7259* CHOOSE(CONTROL!$C$22, $C$13, 100%, $E$13)</f>
        <v>8.7258999999999993</v>
      </c>
      <c r="I226" s="64">
        <f>8.7261 * CHOOSE(CONTROL!$C$22, $C$13, 100%, $E$13)</f>
        <v>8.7261000000000006</v>
      </c>
      <c r="J226" s="64">
        <f>4.7616 * CHOOSE(CONTROL!$C$22, $C$13, 100%, $E$13)</f>
        <v>4.7615999999999996</v>
      </c>
      <c r="K226" s="64">
        <f>4.7617 * CHOOSE(CONTROL!$C$22, $C$13, 100%, $E$13)</f>
        <v>4.7617000000000003</v>
      </c>
    </row>
    <row r="227" spans="1:11" ht="15">
      <c r="A227" s="13">
        <v>48549</v>
      </c>
      <c r="B227" s="63">
        <f>4.1522 * CHOOSE(CONTROL!$C$22, $C$13, 100%, $E$13)</f>
        <v>4.1521999999999997</v>
      </c>
      <c r="C227" s="63">
        <f>4.1522 * CHOOSE(CONTROL!$C$22, $C$13, 100%, $E$13)</f>
        <v>4.1521999999999997</v>
      </c>
      <c r="D227" s="63">
        <f>4.165 * CHOOSE(CONTROL!$C$22, $C$13, 100%, $E$13)</f>
        <v>4.165</v>
      </c>
      <c r="E227" s="64">
        <f>4.7343 * CHOOSE(CONTROL!$C$22, $C$13, 100%, $E$13)</f>
        <v>4.7343000000000002</v>
      </c>
      <c r="F227" s="64">
        <f>4.7343 * CHOOSE(CONTROL!$C$22, $C$13, 100%, $E$13)</f>
        <v>4.7343000000000002</v>
      </c>
      <c r="G227" s="64">
        <f>4.7344 * CHOOSE(CONTROL!$C$22, $C$13, 100%, $E$13)</f>
        <v>4.7343999999999999</v>
      </c>
      <c r="H227" s="64">
        <f>8.7441* CHOOSE(CONTROL!$C$22, $C$13, 100%, $E$13)</f>
        <v>8.7440999999999995</v>
      </c>
      <c r="I227" s="64">
        <f>8.7442 * CHOOSE(CONTROL!$C$22, $C$13, 100%, $E$13)</f>
        <v>8.7441999999999993</v>
      </c>
      <c r="J227" s="64">
        <f>4.7343 * CHOOSE(CONTROL!$C$22, $C$13, 100%, $E$13)</f>
        <v>4.7343000000000002</v>
      </c>
      <c r="K227" s="64">
        <f>4.7344 * CHOOSE(CONTROL!$C$22, $C$13, 100%, $E$13)</f>
        <v>4.7343999999999999</v>
      </c>
    </row>
    <row r="228" spans="1:11" ht="15">
      <c r="A228" s="13">
        <v>48580</v>
      </c>
      <c r="B228" s="63">
        <f>4.1941 * CHOOSE(CONTROL!$C$22, $C$13, 100%, $E$13)</f>
        <v>4.1940999999999997</v>
      </c>
      <c r="C228" s="63">
        <f>4.1941 * CHOOSE(CONTROL!$C$22, $C$13, 100%, $E$13)</f>
        <v>4.1940999999999997</v>
      </c>
      <c r="D228" s="63">
        <f>4.2069 * CHOOSE(CONTROL!$C$22, $C$13, 100%, $E$13)</f>
        <v>4.2069000000000001</v>
      </c>
      <c r="E228" s="64">
        <f>4.8032 * CHOOSE(CONTROL!$C$22, $C$13, 100%, $E$13)</f>
        <v>4.8032000000000004</v>
      </c>
      <c r="F228" s="64">
        <f>4.8032 * CHOOSE(CONTROL!$C$22, $C$13, 100%, $E$13)</f>
        <v>4.8032000000000004</v>
      </c>
      <c r="G228" s="64">
        <f>4.8033 * CHOOSE(CONTROL!$C$22, $C$13, 100%, $E$13)</f>
        <v>4.8033000000000001</v>
      </c>
      <c r="H228" s="64">
        <f>8.7623* CHOOSE(CONTROL!$C$22, $C$13, 100%, $E$13)</f>
        <v>8.7622999999999998</v>
      </c>
      <c r="I228" s="64">
        <f>8.7624 * CHOOSE(CONTROL!$C$22, $C$13, 100%, $E$13)</f>
        <v>8.7623999999999995</v>
      </c>
      <c r="J228" s="64">
        <f>4.8032 * CHOOSE(CONTROL!$C$22, $C$13, 100%, $E$13)</f>
        <v>4.8032000000000004</v>
      </c>
      <c r="K228" s="64">
        <f>4.8033 * CHOOSE(CONTROL!$C$22, $C$13, 100%, $E$13)</f>
        <v>4.8033000000000001</v>
      </c>
    </row>
    <row r="229" spans="1:11" ht="15">
      <c r="A229" s="13">
        <v>48611</v>
      </c>
      <c r="B229" s="63">
        <f>4.191 * CHOOSE(CONTROL!$C$22, $C$13, 100%, $E$13)</f>
        <v>4.1909999999999998</v>
      </c>
      <c r="C229" s="63">
        <f>4.191 * CHOOSE(CONTROL!$C$22, $C$13, 100%, $E$13)</f>
        <v>4.1909999999999998</v>
      </c>
      <c r="D229" s="63">
        <f>4.2039 * CHOOSE(CONTROL!$C$22, $C$13, 100%, $E$13)</f>
        <v>4.2039</v>
      </c>
      <c r="E229" s="64">
        <f>4.7481 * CHOOSE(CONTROL!$C$22, $C$13, 100%, $E$13)</f>
        <v>4.7481</v>
      </c>
      <c r="F229" s="64">
        <f>4.7481 * CHOOSE(CONTROL!$C$22, $C$13, 100%, $E$13)</f>
        <v>4.7481</v>
      </c>
      <c r="G229" s="64">
        <f>4.7483 * CHOOSE(CONTROL!$C$22, $C$13, 100%, $E$13)</f>
        <v>4.7483000000000004</v>
      </c>
      <c r="H229" s="64">
        <f>8.7805* CHOOSE(CONTROL!$C$22, $C$13, 100%, $E$13)</f>
        <v>8.7805</v>
      </c>
      <c r="I229" s="64">
        <f>8.7807 * CHOOSE(CONTROL!$C$22, $C$13, 100%, $E$13)</f>
        <v>8.7806999999999995</v>
      </c>
      <c r="J229" s="64">
        <f>4.7481 * CHOOSE(CONTROL!$C$22, $C$13, 100%, $E$13)</f>
        <v>4.7481</v>
      </c>
      <c r="K229" s="64">
        <f>4.7483 * CHOOSE(CONTROL!$C$22, $C$13, 100%, $E$13)</f>
        <v>4.7483000000000004</v>
      </c>
    </row>
    <row r="230" spans="1:11" ht="15">
      <c r="A230" s="13">
        <v>48639</v>
      </c>
      <c r="B230" s="63">
        <f>4.188 * CHOOSE(CONTROL!$C$22, $C$13, 100%, $E$13)</f>
        <v>4.1879999999999997</v>
      </c>
      <c r="C230" s="63">
        <f>4.188 * CHOOSE(CONTROL!$C$22, $C$13, 100%, $E$13)</f>
        <v>4.1879999999999997</v>
      </c>
      <c r="D230" s="63">
        <f>4.2008 * CHOOSE(CONTROL!$C$22, $C$13, 100%, $E$13)</f>
        <v>4.2008000000000001</v>
      </c>
      <c r="E230" s="64">
        <f>4.7877 * CHOOSE(CONTROL!$C$22, $C$13, 100%, $E$13)</f>
        <v>4.7877000000000001</v>
      </c>
      <c r="F230" s="64">
        <f>4.7877 * CHOOSE(CONTROL!$C$22, $C$13, 100%, $E$13)</f>
        <v>4.7877000000000001</v>
      </c>
      <c r="G230" s="64">
        <f>4.7879 * CHOOSE(CONTROL!$C$22, $C$13, 100%, $E$13)</f>
        <v>4.7878999999999996</v>
      </c>
      <c r="H230" s="64">
        <f>8.7988* CHOOSE(CONTROL!$C$22, $C$13, 100%, $E$13)</f>
        <v>8.7988</v>
      </c>
      <c r="I230" s="64">
        <f>8.799 * CHOOSE(CONTROL!$C$22, $C$13, 100%, $E$13)</f>
        <v>8.7989999999999995</v>
      </c>
      <c r="J230" s="64">
        <f>4.7877 * CHOOSE(CONTROL!$C$22, $C$13, 100%, $E$13)</f>
        <v>4.7877000000000001</v>
      </c>
      <c r="K230" s="64">
        <f>4.7879 * CHOOSE(CONTROL!$C$22, $C$13, 100%, $E$13)</f>
        <v>4.7878999999999996</v>
      </c>
    </row>
    <row r="231" spans="1:11" ht="15">
      <c r="A231" s="13">
        <v>48670</v>
      </c>
      <c r="B231" s="63">
        <f>4.1858 * CHOOSE(CONTROL!$C$22, $C$13, 100%, $E$13)</f>
        <v>4.1858000000000004</v>
      </c>
      <c r="C231" s="63">
        <f>4.1858 * CHOOSE(CONTROL!$C$22, $C$13, 100%, $E$13)</f>
        <v>4.1858000000000004</v>
      </c>
      <c r="D231" s="63">
        <f>4.1987 * CHOOSE(CONTROL!$C$22, $C$13, 100%, $E$13)</f>
        <v>4.1986999999999997</v>
      </c>
      <c r="E231" s="64">
        <f>4.8283 * CHOOSE(CONTROL!$C$22, $C$13, 100%, $E$13)</f>
        <v>4.8282999999999996</v>
      </c>
      <c r="F231" s="64">
        <f>4.8283 * CHOOSE(CONTROL!$C$22, $C$13, 100%, $E$13)</f>
        <v>4.8282999999999996</v>
      </c>
      <c r="G231" s="64">
        <f>4.8285 * CHOOSE(CONTROL!$C$22, $C$13, 100%, $E$13)</f>
        <v>4.8285</v>
      </c>
      <c r="H231" s="64">
        <f>8.8171* CHOOSE(CONTROL!$C$22, $C$13, 100%, $E$13)</f>
        <v>8.8170999999999999</v>
      </c>
      <c r="I231" s="64">
        <f>8.8173 * CHOOSE(CONTROL!$C$22, $C$13, 100%, $E$13)</f>
        <v>8.8172999999999995</v>
      </c>
      <c r="J231" s="64">
        <f>4.8283 * CHOOSE(CONTROL!$C$22, $C$13, 100%, $E$13)</f>
        <v>4.8282999999999996</v>
      </c>
      <c r="K231" s="64">
        <f>4.8285 * CHOOSE(CONTROL!$C$22, $C$13, 100%, $E$13)</f>
        <v>4.8285</v>
      </c>
    </row>
    <row r="232" spans="1:11" ht="15">
      <c r="A232" s="13">
        <v>48700</v>
      </c>
      <c r="B232" s="63">
        <f>4.1858 * CHOOSE(CONTROL!$C$22, $C$13, 100%, $E$13)</f>
        <v>4.1858000000000004</v>
      </c>
      <c r="C232" s="63">
        <f>4.1858 * CHOOSE(CONTROL!$C$22, $C$13, 100%, $E$13)</f>
        <v>4.1858000000000004</v>
      </c>
      <c r="D232" s="63">
        <f>4.2116 * CHOOSE(CONTROL!$C$22, $C$13, 100%, $E$13)</f>
        <v>4.2115999999999998</v>
      </c>
      <c r="E232" s="64">
        <f>4.8452 * CHOOSE(CONTROL!$C$22, $C$13, 100%, $E$13)</f>
        <v>4.8452000000000002</v>
      </c>
      <c r="F232" s="64">
        <f>4.8452 * CHOOSE(CONTROL!$C$22, $C$13, 100%, $E$13)</f>
        <v>4.8452000000000002</v>
      </c>
      <c r="G232" s="64">
        <f>4.8468 * CHOOSE(CONTROL!$C$22, $C$13, 100%, $E$13)</f>
        <v>4.8468</v>
      </c>
      <c r="H232" s="64">
        <f>8.8355* CHOOSE(CONTROL!$C$22, $C$13, 100%, $E$13)</f>
        <v>8.8354999999999997</v>
      </c>
      <c r="I232" s="64">
        <f>8.8372 * CHOOSE(CONTROL!$C$22, $C$13, 100%, $E$13)</f>
        <v>8.8371999999999993</v>
      </c>
      <c r="J232" s="64">
        <f>4.8452 * CHOOSE(CONTROL!$C$22, $C$13, 100%, $E$13)</f>
        <v>4.8452000000000002</v>
      </c>
      <c r="K232" s="64">
        <f>4.8468 * CHOOSE(CONTROL!$C$22, $C$13, 100%, $E$13)</f>
        <v>4.8468</v>
      </c>
    </row>
    <row r="233" spans="1:11" ht="15">
      <c r="A233" s="13">
        <v>48731</v>
      </c>
      <c r="B233" s="63">
        <f>4.1919 * CHOOSE(CONTROL!$C$22, $C$13, 100%, $E$13)</f>
        <v>4.1919000000000004</v>
      </c>
      <c r="C233" s="63">
        <f>4.1919 * CHOOSE(CONTROL!$C$22, $C$13, 100%, $E$13)</f>
        <v>4.1919000000000004</v>
      </c>
      <c r="D233" s="63">
        <f>4.2177 * CHOOSE(CONTROL!$C$22, $C$13, 100%, $E$13)</f>
        <v>4.2176999999999998</v>
      </c>
      <c r="E233" s="64">
        <f>4.8326 * CHOOSE(CONTROL!$C$22, $C$13, 100%, $E$13)</f>
        <v>4.8326000000000002</v>
      </c>
      <c r="F233" s="64">
        <f>4.8326 * CHOOSE(CONTROL!$C$22, $C$13, 100%, $E$13)</f>
        <v>4.8326000000000002</v>
      </c>
      <c r="G233" s="64">
        <f>4.8342 * CHOOSE(CONTROL!$C$22, $C$13, 100%, $E$13)</f>
        <v>4.8342000000000001</v>
      </c>
      <c r="H233" s="64">
        <f>8.8539* CHOOSE(CONTROL!$C$22, $C$13, 100%, $E$13)</f>
        <v>8.8538999999999994</v>
      </c>
      <c r="I233" s="64">
        <f>8.8556 * CHOOSE(CONTROL!$C$22, $C$13, 100%, $E$13)</f>
        <v>8.8556000000000008</v>
      </c>
      <c r="J233" s="64">
        <f>4.8326 * CHOOSE(CONTROL!$C$22, $C$13, 100%, $E$13)</f>
        <v>4.8326000000000002</v>
      </c>
      <c r="K233" s="64">
        <f>4.8342 * CHOOSE(CONTROL!$C$22, $C$13, 100%, $E$13)</f>
        <v>4.8342000000000001</v>
      </c>
    </row>
    <row r="234" spans="1:11" ht="15">
      <c r="A234" s="13">
        <v>48761</v>
      </c>
      <c r="B234" s="63">
        <f>4.2719 * CHOOSE(CONTROL!$C$22, $C$13, 100%, $E$13)</f>
        <v>4.2718999999999996</v>
      </c>
      <c r="C234" s="63">
        <f>4.2719 * CHOOSE(CONTROL!$C$22, $C$13, 100%, $E$13)</f>
        <v>4.2718999999999996</v>
      </c>
      <c r="D234" s="63">
        <f>4.2977 * CHOOSE(CONTROL!$C$22, $C$13, 100%, $E$13)</f>
        <v>4.2976999999999999</v>
      </c>
      <c r="E234" s="64">
        <f>4.9466 * CHOOSE(CONTROL!$C$22, $C$13, 100%, $E$13)</f>
        <v>4.9466000000000001</v>
      </c>
      <c r="F234" s="64">
        <f>4.9466 * CHOOSE(CONTROL!$C$22, $C$13, 100%, $E$13)</f>
        <v>4.9466000000000001</v>
      </c>
      <c r="G234" s="64">
        <f>4.9483 * CHOOSE(CONTROL!$C$22, $C$13, 100%, $E$13)</f>
        <v>4.9482999999999997</v>
      </c>
      <c r="H234" s="64">
        <f>8.8724* CHOOSE(CONTROL!$C$22, $C$13, 100%, $E$13)</f>
        <v>8.8724000000000007</v>
      </c>
      <c r="I234" s="64">
        <f>8.874 * CHOOSE(CONTROL!$C$22, $C$13, 100%, $E$13)</f>
        <v>8.8740000000000006</v>
      </c>
      <c r="J234" s="64">
        <f>4.9466 * CHOOSE(CONTROL!$C$22, $C$13, 100%, $E$13)</f>
        <v>4.9466000000000001</v>
      </c>
      <c r="K234" s="64">
        <f>4.9483 * CHOOSE(CONTROL!$C$22, $C$13, 100%, $E$13)</f>
        <v>4.9482999999999997</v>
      </c>
    </row>
    <row r="235" spans="1:11" ht="15">
      <c r="A235" s="13">
        <v>48792</v>
      </c>
      <c r="B235" s="63">
        <f>4.2786 * CHOOSE(CONTROL!$C$22, $C$13, 100%, $E$13)</f>
        <v>4.2786</v>
      </c>
      <c r="C235" s="63">
        <f>4.2786 * CHOOSE(CONTROL!$C$22, $C$13, 100%, $E$13)</f>
        <v>4.2786</v>
      </c>
      <c r="D235" s="63">
        <f>4.3044 * CHOOSE(CONTROL!$C$22, $C$13, 100%, $E$13)</f>
        <v>4.3044000000000002</v>
      </c>
      <c r="E235" s="64">
        <f>4.9008 * CHOOSE(CONTROL!$C$22, $C$13, 100%, $E$13)</f>
        <v>4.9008000000000003</v>
      </c>
      <c r="F235" s="64">
        <f>4.9008 * CHOOSE(CONTROL!$C$22, $C$13, 100%, $E$13)</f>
        <v>4.9008000000000003</v>
      </c>
      <c r="G235" s="64">
        <f>4.9025 * CHOOSE(CONTROL!$C$22, $C$13, 100%, $E$13)</f>
        <v>4.9024999999999999</v>
      </c>
      <c r="H235" s="64">
        <f>8.8909* CHOOSE(CONTROL!$C$22, $C$13, 100%, $E$13)</f>
        <v>8.8909000000000002</v>
      </c>
      <c r="I235" s="64">
        <f>8.8925 * CHOOSE(CONTROL!$C$22, $C$13, 100%, $E$13)</f>
        <v>8.8925000000000001</v>
      </c>
      <c r="J235" s="64">
        <f>4.9008 * CHOOSE(CONTROL!$C$22, $C$13, 100%, $E$13)</f>
        <v>4.9008000000000003</v>
      </c>
      <c r="K235" s="64">
        <f>4.9025 * CHOOSE(CONTROL!$C$22, $C$13, 100%, $E$13)</f>
        <v>4.9024999999999999</v>
      </c>
    </row>
    <row r="236" spans="1:11" ht="15">
      <c r="A236" s="13">
        <v>48823</v>
      </c>
      <c r="B236" s="63">
        <f>4.2756 * CHOOSE(CONTROL!$C$22, $C$13, 100%, $E$13)</f>
        <v>4.2755999999999998</v>
      </c>
      <c r="C236" s="63">
        <f>4.2756 * CHOOSE(CONTROL!$C$22, $C$13, 100%, $E$13)</f>
        <v>4.2755999999999998</v>
      </c>
      <c r="D236" s="63">
        <f>4.3013 * CHOOSE(CONTROL!$C$22, $C$13, 100%, $E$13)</f>
        <v>4.3013000000000003</v>
      </c>
      <c r="E236" s="64">
        <f>4.8931 * CHOOSE(CONTROL!$C$22, $C$13, 100%, $E$13)</f>
        <v>4.8930999999999996</v>
      </c>
      <c r="F236" s="64">
        <f>4.8931 * CHOOSE(CONTROL!$C$22, $C$13, 100%, $E$13)</f>
        <v>4.8930999999999996</v>
      </c>
      <c r="G236" s="64">
        <f>4.8947 * CHOOSE(CONTROL!$C$22, $C$13, 100%, $E$13)</f>
        <v>4.8947000000000003</v>
      </c>
      <c r="H236" s="64">
        <f>8.9094* CHOOSE(CONTROL!$C$22, $C$13, 100%, $E$13)</f>
        <v>8.9093999999999998</v>
      </c>
      <c r="I236" s="64">
        <f>8.911 * CHOOSE(CONTROL!$C$22, $C$13, 100%, $E$13)</f>
        <v>8.9109999999999996</v>
      </c>
      <c r="J236" s="64">
        <f>4.8931 * CHOOSE(CONTROL!$C$22, $C$13, 100%, $E$13)</f>
        <v>4.8930999999999996</v>
      </c>
      <c r="K236" s="64">
        <f>4.8947 * CHOOSE(CONTROL!$C$22, $C$13, 100%, $E$13)</f>
        <v>4.8947000000000003</v>
      </c>
    </row>
    <row r="237" spans="1:11" ht="15">
      <c r="A237" s="13">
        <v>48853</v>
      </c>
      <c r="B237" s="63">
        <f>4.2718 * CHOOSE(CONTROL!$C$22, $C$13, 100%, $E$13)</f>
        <v>4.2717999999999998</v>
      </c>
      <c r="C237" s="63">
        <f>4.2718 * CHOOSE(CONTROL!$C$22, $C$13, 100%, $E$13)</f>
        <v>4.2717999999999998</v>
      </c>
      <c r="D237" s="63">
        <f>4.2847 * CHOOSE(CONTROL!$C$22, $C$13, 100%, $E$13)</f>
        <v>4.2847</v>
      </c>
      <c r="E237" s="64">
        <f>4.9021 * CHOOSE(CONTROL!$C$22, $C$13, 100%, $E$13)</f>
        <v>4.9020999999999999</v>
      </c>
      <c r="F237" s="64">
        <f>4.9021 * CHOOSE(CONTROL!$C$22, $C$13, 100%, $E$13)</f>
        <v>4.9020999999999999</v>
      </c>
      <c r="G237" s="64">
        <f>4.9023 * CHOOSE(CONTROL!$C$22, $C$13, 100%, $E$13)</f>
        <v>4.9023000000000003</v>
      </c>
      <c r="H237" s="64">
        <f>8.9279* CHOOSE(CONTROL!$C$22, $C$13, 100%, $E$13)</f>
        <v>8.9278999999999993</v>
      </c>
      <c r="I237" s="64">
        <f>8.9281 * CHOOSE(CONTROL!$C$22, $C$13, 100%, $E$13)</f>
        <v>8.9281000000000006</v>
      </c>
      <c r="J237" s="64">
        <f>4.9021 * CHOOSE(CONTROL!$C$22, $C$13, 100%, $E$13)</f>
        <v>4.9020999999999999</v>
      </c>
      <c r="K237" s="64">
        <f>4.9023 * CHOOSE(CONTROL!$C$22, $C$13, 100%, $E$13)</f>
        <v>4.9023000000000003</v>
      </c>
    </row>
    <row r="238" spans="1:11" ht="15">
      <c r="A238" s="13">
        <v>48884</v>
      </c>
      <c r="B238" s="63">
        <f>4.2748 * CHOOSE(CONTROL!$C$22, $C$13, 100%, $E$13)</f>
        <v>4.2747999999999999</v>
      </c>
      <c r="C238" s="63">
        <f>4.2748 * CHOOSE(CONTROL!$C$22, $C$13, 100%, $E$13)</f>
        <v>4.2747999999999999</v>
      </c>
      <c r="D238" s="63">
        <f>4.2877 * CHOOSE(CONTROL!$C$22, $C$13, 100%, $E$13)</f>
        <v>4.2877000000000001</v>
      </c>
      <c r="E238" s="64">
        <f>4.9154 * CHOOSE(CONTROL!$C$22, $C$13, 100%, $E$13)</f>
        <v>4.9154</v>
      </c>
      <c r="F238" s="64">
        <f>4.9154 * CHOOSE(CONTROL!$C$22, $C$13, 100%, $E$13)</f>
        <v>4.9154</v>
      </c>
      <c r="G238" s="64">
        <f>4.9156 * CHOOSE(CONTROL!$C$22, $C$13, 100%, $E$13)</f>
        <v>4.9156000000000004</v>
      </c>
      <c r="H238" s="64">
        <f>8.9465* CHOOSE(CONTROL!$C$22, $C$13, 100%, $E$13)</f>
        <v>8.9465000000000003</v>
      </c>
      <c r="I238" s="64">
        <f>8.9467 * CHOOSE(CONTROL!$C$22, $C$13, 100%, $E$13)</f>
        <v>8.9466999999999999</v>
      </c>
      <c r="J238" s="64">
        <f>4.9154 * CHOOSE(CONTROL!$C$22, $C$13, 100%, $E$13)</f>
        <v>4.9154</v>
      </c>
      <c r="K238" s="64">
        <f>4.9156 * CHOOSE(CONTROL!$C$22, $C$13, 100%, $E$13)</f>
        <v>4.9156000000000004</v>
      </c>
    </row>
    <row r="239" spans="1:11" ht="15">
      <c r="A239" s="13">
        <v>48914</v>
      </c>
      <c r="B239" s="63">
        <f>4.2748 * CHOOSE(CONTROL!$C$22, $C$13, 100%, $E$13)</f>
        <v>4.2747999999999999</v>
      </c>
      <c r="C239" s="63">
        <f>4.2748 * CHOOSE(CONTROL!$C$22, $C$13, 100%, $E$13)</f>
        <v>4.2747999999999999</v>
      </c>
      <c r="D239" s="63">
        <f>4.2877 * CHOOSE(CONTROL!$C$22, $C$13, 100%, $E$13)</f>
        <v>4.2877000000000001</v>
      </c>
      <c r="E239" s="64">
        <f>4.8874 * CHOOSE(CONTROL!$C$22, $C$13, 100%, $E$13)</f>
        <v>4.8874000000000004</v>
      </c>
      <c r="F239" s="64">
        <f>4.8874 * CHOOSE(CONTROL!$C$22, $C$13, 100%, $E$13)</f>
        <v>4.8874000000000004</v>
      </c>
      <c r="G239" s="64">
        <f>4.8876 * CHOOSE(CONTROL!$C$22, $C$13, 100%, $E$13)</f>
        <v>4.8875999999999999</v>
      </c>
      <c r="H239" s="64">
        <f>8.9652* CHOOSE(CONTROL!$C$22, $C$13, 100%, $E$13)</f>
        <v>8.9651999999999994</v>
      </c>
      <c r="I239" s="64">
        <f>8.9654 * CHOOSE(CONTROL!$C$22, $C$13, 100%, $E$13)</f>
        <v>8.9654000000000007</v>
      </c>
      <c r="J239" s="64">
        <f>4.8874 * CHOOSE(CONTROL!$C$22, $C$13, 100%, $E$13)</f>
        <v>4.8874000000000004</v>
      </c>
      <c r="K239" s="64">
        <f>4.8876 * CHOOSE(CONTROL!$C$22, $C$13, 100%, $E$13)</f>
        <v>4.8875999999999999</v>
      </c>
    </row>
    <row r="240" spans="1:11" ht="15">
      <c r="A240" s="13">
        <v>48945</v>
      </c>
      <c r="B240" s="63">
        <f>4.32 * CHOOSE(CONTROL!$C$22, $C$13, 100%, $E$13)</f>
        <v>4.32</v>
      </c>
      <c r="C240" s="63">
        <f>4.32 * CHOOSE(CONTROL!$C$22, $C$13, 100%, $E$13)</f>
        <v>4.32</v>
      </c>
      <c r="D240" s="63">
        <f>4.3328 * CHOOSE(CONTROL!$C$22, $C$13, 100%, $E$13)</f>
        <v>4.3327999999999998</v>
      </c>
      <c r="E240" s="64">
        <f>4.957 * CHOOSE(CONTROL!$C$22, $C$13, 100%, $E$13)</f>
        <v>4.9569999999999999</v>
      </c>
      <c r="F240" s="64">
        <f>4.957 * CHOOSE(CONTROL!$C$22, $C$13, 100%, $E$13)</f>
        <v>4.9569999999999999</v>
      </c>
      <c r="G240" s="64">
        <f>4.9572 * CHOOSE(CONTROL!$C$22, $C$13, 100%, $E$13)</f>
        <v>4.9572000000000003</v>
      </c>
      <c r="H240" s="64">
        <f>8.9839* CHOOSE(CONTROL!$C$22, $C$13, 100%, $E$13)</f>
        <v>8.9839000000000002</v>
      </c>
      <c r="I240" s="64">
        <f>8.984 * CHOOSE(CONTROL!$C$22, $C$13, 100%, $E$13)</f>
        <v>8.984</v>
      </c>
      <c r="J240" s="64">
        <f>4.957 * CHOOSE(CONTROL!$C$22, $C$13, 100%, $E$13)</f>
        <v>4.9569999999999999</v>
      </c>
      <c r="K240" s="64">
        <f>4.9572 * CHOOSE(CONTROL!$C$22, $C$13, 100%, $E$13)</f>
        <v>4.9572000000000003</v>
      </c>
    </row>
    <row r="241" spans="1:11" ht="15">
      <c r="A241" s="13">
        <v>48976</v>
      </c>
      <c r="B241" s="63">
        <f>4.3169 * CHOOSE(CONTROL!$C$22, $C$13, 100%, $E$13)</f>
        <v>4.3169000000000004</v>
      </c>
      <c r="C241" s="63">
        <f>4.3169 * CHOOSE(CONTROL!$C$22, $C$13, 100%, $E$13)</f>
        <v>4.3169000000000004</v>
      </c>
      <c r="D241" s="63">
        <f>4.3298 * CHOOSE(CONTROL!$C$22, $C$13, 100%, $E$13)</f>
        <v>4.3297999999999996</v>
      </c>
      <c r="E241" s="64">
        <f>4.9005 * CHOOSE(CONTROL!$C$22, $C$13, 100%, $E$13)</f>
        <v>4.9005000000000001</v>
      </c>
      <c r="F241" s="64">
        <f>4.9005 * CHOOSE(CONTROL!$C$22, $C$13, 100%, $E$13)</f>
        <v>4.9005000000000001</v>
      </c>
      <c r="G241" s="64">
        <f>4.9007 * CHOOSE(CONTROL!$C$22, $C$13, 100%, $E$13)</f>
        <v>4.9006999999999996</v>
      </c>
      <c r="H241" s="64">
        <f>9.0026* CHOOSE(CONTROL!$C$22, $C$13, 100%, $E$13)</f>
        <v>9.0025999999999993</v>
      </c>
      <c r="I241" s="64">
        <f>9.0027 * CHOOSE(CONTROL!$C$22, $C$13, 100%, $E$13)</f>
        <v>9.0027000000000008</v>
      </c>
      <c r="J241" s="64">
        <f>4.9005 * CHOOSE(CONTROL!$C$22, $C$13, 100%, $E$13)</f>
        <v>4.9005000000000001</v>
      </c>
      <c r="K241" s="64">
        <f>4.9007 * CHOOSE(CONTROL!$C$22, $C$13, 100%, $E$13)</f>
        <v>4.9006999999999996</v>
      </c>
    </row>
    <row r="242" spans="1:11" ht="15">
      <c r="A242" s="13">
        <v>49004</v>
      </c>
      <c r="B242" s="63">
        <f>4.3139 * CHOOSE(CONTROL!$C$22, $C$13, 100%, $E$13)</f>
        <v>4.3139000000000003</v>
      </c>
      <c r="C242" s="63">
        <f>4.3139 * CHOOSE(CONTROL!$C$22, $C$13, 100%, $E$13)</f>
        <v>4.3139000000000003</v>
      </c>
      <c r="D242" s="63">
        <f>4.3268 * CHOOSE(CONTROL!$C$22, $C$13, 100%, $E$13)</f>
        <v>4.3268000000000004</v>
      </c>
      <c r="E242" s="64">
        <f>4.9413 * CHOOSE(CONTROL!$C$22, $C$13, 100%, $E$13)</f>
        <v>4.9413</v>
      </c>
      <c r="F242" s="64">
        <f>4.9413 * CHOOSE(CONTROL!$C$22, $C$13, 100%, $E$13)</f>
        <v>4.9413</v>
      </c>
      <c r="G242" s="64">
        <f>4.9414 * CHOOSE(CONTROL!$C$22, $C$13, 100%, $E$13)</f>
        <v>4.9413999999999998</v>
      </c>
      <c r="H242" s="64">
        <f>9.0213* CHOOSE(CONTROL!$C$22, $C$13, 100%, $E$13)</f>
        <v>9.0213000000000001</v>
      </c>
      <c r="I242" s="64">
        <f>9.0215 * CHOOSE(CONTROL!$C$22, $C$13, 100%, $E$13)</f>
        <v>9.0214999999999996</v>
      </c>
      <c r="J242" s="64">
        <f>4.9413 * CHOOSE(CONTROL!$C$22, $C$13, 100%, $E$13)</f>
        <v>4.9413</v>
      </c>
      <c r="K242" s="64">
        <f>4.9414 * CHOOSE(CONTROL!$C$22, $C$13, 100%, $E$13)</f>
        <v>4.9413999999999998</v>
      </c>
    </row>
    <row r="243" spans="1:11" ht="15">
      <c r="A243" s="13">
        <v>49035</v>
      </c>
      <c r="B243" s="63">
        <f>4.3119 * CHOOSE(CONTROL!$C$22, $C$13, 100%, $E$13)</f>
        <v>4.3118999999999996</v>
      </c>
      <c r="C243" s="63">
        <f>4.3119 * CHOOSE(CONTROL!$C$22, $C$13, 100%, $E$13)</f>
        <v>4.3118999999999996</v>
      </c>
      <c r="D243" s="63">
        <f>4.3247 * CHOOSE(CONTROL!$C$22, $C$13, 100%, $E$13)</f>
        <v>4.3247</v>
      </c>
      <c r="E243" s="64">
        <f>4.9831 * CHOOSE(CONTROL!$C$22, $C$13, 100%, $E$13)</f>
        <v>4.9831000000000003</v>
      </c>
      <c r="F243" s="64">
        <f>4.9831 * CHOOSE(CONTROL!$C$22, $C$13, 100%, $E$13)</f>
        <v>4.9831000000000003</v>
      </c>
      <c r="G243" s="64">
        <f>4.9833 * CHOOSE(CONTROL!$C$22, $C$13, 100%, $E$13)</f>
        <v>4.9832999999999998</v>
      </c>
      <c r="H243" s="64">
        <f>9.0401* CHOOSE(CONTROL!$C$22, $C$13, 100%, $E$13)</f>
        <v>9.0401000000000007</v>
      </c>
      <c r="I243" s="64">
        <f>9.0403 * CHOOSE(CONTROL!$C$22, $C$13, 100%, $E$13)</f>
        <v>9.0403000000000002</v>
      </c>
      <c r="J243" s="64">
        <f>4.9831 * CHOOSE(CONTROL!$C$22, $C$13, 100%, $E$13)</f>
        <v>4.9831000000000003</v>
      </c>
      <c r="K243" s="64">
        <f>4.9833 * CHOOSE(CONTROL!$C$22, $C$13, 100%, $E$13)</f>
        <v>4.9832999999999998</v>
      </c>
    </row>
    <row r="244" spans="1:11" ht="15">
      <c r="A244" s="13">
        <v>49065</v>
      </c>
      <c r="B244" s="63">
        <f>4.3119 * CHOOSE(CONTROL!$C$22, $C$13, 100%, $E$13)</f>
        <v>4.3118999999999996</v>
      </c>
      <c r="C244" s="63">
        <f>4.3119 * CHOOSE(CONTROL!$C$22, $C$13, 100%, $E$13)</f>
        <v>4.3118999999999996</v>
      </c>
      <c r="D244" s="63">
        <f>4.3376 * CHOOSE(CONTROL!$C$22, $C$13, 100%, $E$13)</f>
        <v>4.3376000000000001</v>
      </c>
      <c r="E244" s="64">
        <f>5.0004 * CHOOSE(CONTROL!$C$22, $C$13, 100%, $E$13)</f>
        <v>5.0004</v>
      </c>
      <c r="F244" s="64">
        <f>5.0004 * CHOOSE(CONTROL!$C$22, $C$13, 100%, $E$13)</f>
        <v>5.0004</v>
      </c>
      <c r="G244" s="64">
        <f>5.002 * CHOOSE(CONTROL!$C$22, $C$13, 100%, $E$13)</f>
        <v>5.0019999999999998</v>
      </c>
      <c r="H244" s="64">
        <f>9.059* CHOOSE(CONTROL!$C$22, $C$13, 100%, $E$13)</f>
        <v>9.0589999999999993</v>
      </c>
      <c r="I244" s="64">
        <f>9.0606 * CHOOSE(CONTROL!$C$22, $C$13, 100%, $E$13)</f>
        <v>9.0606000000000009</v>
      </c>
      <c r="J244" s="64">
        <f>5.0004 * CHOOSE(CONTROL!$C$22, $C$13, 100%, $E$13)</f>
        <v>5.0004</v>
      </c>
      <c r="K244" s="64">
        <f>5.002 * CHOOSE(CONTROL!$C$22, $C$13, 100%, $E$13)</f>
        <v>5.0019999999999998</v>
      </c>
    </row>
    <row r="245" spans="1:11" ht="15">
      <c r="A245" s="13">
        <v>49096</v>
      </c>
      <c r="B245" s="63">
        <f>4.3179 * CHOOSE(CONTROL!$C$22, $C$13, 100%, $E$13)</f>
        <v>4.3178999999999998</v>
      </c>
      <c r="C245" s="63">
        <f>4.3179 * CHOOSE(CONTROL!$C$22, $C$13, 100%, $E$13)</f>
        <v>4.3178999999999998</v>
      </c>
      <c r="D245" s="63">
        <f>4.3437 * CHOOSE(CONTROL!$C$22, $C$13, 100%, $E$13)</f>
        <v>4.3437000000000001</v>
      </c>
      <c r="E245" s="64">
        <f>4.9873 * CHOOSE(CONTROL!$C$22, $C$13, 100%, $E$13)</f>
        <v>4.9873000000000003</v>
      </c>
      <c r="F245" s="64">
        <f>4.9873 * CHOOSE(CONTROL!$C$22, $C$13, 100%, $E$13)</f>
        <v>4.9873000000000003</v>
      </c>
      <c r="G245" s="64">
        <f>4.989 * CHOOSE(CONTROL!$C$22, $C$13, 100%, $E$13)</f>
        <v>4.9889999999999999</v>
      </c>
      <c r="H245" s="64">
        <f>9.0778* CHOOSE(CONTROL!$C$22, $C$13, 100%, $E$13)</f>
        <v>9.0777999999999999</v>
      </c>
      <c r="I245" s="64">
        <f>9.0795 * CHOOSE(CONTROL!$C$22, $C$13, 100%, $E$13)</f>
        <v>9.0794999999999995</v>
      </c>
      <c r="J245" s="64">
        <f>4.9873 * CHOOSE(CONTROL!$C$22, $C$13, 100%, $E$13)</f>
        <v>4.9873000000000003</v>
      </c>
      <c r="K245" s="64">
        <f>4.989 * CHOOSE(CONTROL!$C$22, $C$13, 100%, $E$13)</f>
        <v>4.9889999999999999</v>
      </c>
    </row>
    <row r="246" spans="1:11" ht="15">
      <c r="A246" s="13">
        <v>49126</v>
      </c>
      <c r="B246" s="63">
        <f>4.4051 * CHOOSE(CONTROL!$C$22, $C$13, 100%, $E$13)</f>
        <v>4.4051</v>
      </c>
      <c r="C246" s="63">
        <f>4.4051 * CHOOSE(CONTROL!$C$22, $C$13, 100%, $E$13)</f>
        <v>4.4051</v>
      </c>
      <c r="D246" s="63">
        <f>4.4309 * CHOOSE(CONTROL!$C$22, $C$13, 100%, $E$13)</f>
        <v>4.4309000000000003</v>
      </c>
      <c r="E246" s="64">
        <f>5.1009 * CHOOSE(CONTROL!$C$22, $C$13, 100%, $E$13)</f>
        <v>5.1009000000000002</v>
      </c>
      <c r="F246" s="64">
        <f>5.1009 * CHOOSE(CONTROL!$C$22, $C$13, 100%, $E$13)</f>
        <v>5.1009000000000002</v>
      </c>
      <c r="G246" s="64">
        <f>5.1026 * CHOOSE(CONTROL!$C$22, $C$13, 100%, $E$13)</f>
        <v>5.1025999999999998</v>
      </c>
      <c r="H246" s="64">
        <f>9.0967* CHOOSE(CONTROL!$C$22, $C$13, 100%, $E$13)</f>
        <v>9.0967000000000002</v>
      </c>
      <c r="I246" s="64">
        <f>9.0984 * CHOOSE(CONTROL!$C$22, $C$13, 100%, $E$13)</f>
        <v>9.0983999999999998</v>
      </c>
      <c r="J246" s="64">
        <f>5.1009 * CHOOSE(CONTROL!$C$22, $C$13, 100%, $E$13)</f>
        <v>5.1009000000000002</v>
      </c>
      <c r="K246" s="64">
        <f>5.1026 * CHOOSE(CONTROL!$C$22, $C$13, 100%, $E$13)</f>
        <v>5.1025999999999998</v>
      </c>
    </row>
    <row r="247" spans="1:11" ht="15">
      <c r="A247" s="13">
        <v>49157</v>
      </c>
      <c r="B247" s="63">
        <f>4.4118 * CHOOSE(CONTROL!$C$22, $C$13, 100%, $E$13)</f>
        <v>4.4118000000000004</v>
      </c>
      <c r="C247" s="63">
        <f>4.4118 * CHOOSE(CONTROL!$C$22, $C$13, 100%, $E$13)</f>
        <v>4.4118000000000004</v>
      </c>
      <c r="D247" s="63">
        <f>4.4376 * CHOOSE(CONTROL!$C$22, $C$13, 100%, $E$13)</f>
        <v>4.4375999999999998</v>
      </c>
      <c r="E247" s="64">
        <f>5.0538 * CHOOSE(CONTROL!$C$22, $C$13, 100%, $E$13)</f>
        <v>5.0537999999999998</v>
      </c>
      <c r="F247" s="64">
        <f>5.0538 * CHOOSE(CONTROL!$C$22, $C$13, 100%, $E$13)</f>
        <v>5.0537999999999998</v>
      </c>
      <c r="G247" s="64">
        <f>5.0554 * CHOOSE(CONTROL!$C$22, $C$13, 100%, $E$13)</f>
        <v>5.0553999999999997</v>
      </c>
      <c r="H247" s="64">
        <f>9.1157* CHOOSE(CONTROL!$C$22, $C$13, 100%, $E$13)</f>
        <v>9.1157000000000004</v>
      </c>
      <c r="I247" s="64">
        <f>9.1173 * CHOOSE(CONTROL!$C$22, $C$13, 100%, $E$13)</f>
        <v>9.1173000000000002</v>
      </c>
      <c r="J247" s="64">
        <f>5.0538 * CHOOSE(CONTROL!$C$22, $C$13, 100%, $E$13)</f>
        <v>5.0537999999999998</v>
      </c>
      <c r="K247" s="64">
        <f>5.0554 * CHOOSE(CONTROL!$C$22, $C$13, 100%, $E$13)</f>
        <v>5.0553999999999997</v>
      </c>
    </row>
    <row r="248" spans="1:11" ht="15">
      <c r="A248" s="13">
        <v>49188</v>
      </c>
      <c r="B248" s="63">
        <f>4.4088 * CHOOSE(CONTROL!$C$22, $C$13, 100%, $E$13)</f>
        <v>4.4088000000000003</v>
      </c>
      <c r="C248" s="63">
        <f>4.4088 * CHOOSE(CONTROL!$C$22, $C$13, 100%, $E$13)</f>
        <v>4.4088000000000003</v>
      </c>
      <c r="D248" s="63">
        <f>4.4345 * CHOOSE(CONTROL!$C$22, $C$13, 100%, $E$13)</f>
        <v>4.4344999999999999</v>
      </c>
      <c r="E248" s="64">
        <f>5.0459 * CHOOSE(CONTROL!$C$22, $C$13, 100%, $E$13)</f>
        <v>5.0458999999999996</v>
      </c>
      <c r="F248" s="64">
        <f>5.0459 * CHOOSE(CONTROL!$C$22, $C$13, 100%, $E$13)</f>
        <v>5.0458999999999996</v>
      </c>
      <c r="G248" s="64">
        <f>5.0475 * CHOOSE(CONTROL!$C$22, $C$13, 100%, $E$13)</f>
        <v>5.0475000000000003</v>
      </c>
      <c r="H248" s="64">
        <f>9.1347* CHOOSE(CONTROL!$C$22, $C$13, 100%, $E$13)</f>
        <v>9.1347000000000005</v>
      </c>
      <c r="I248" s="64">
        <f>9.1363 * CHOOSE(CONTROL!$C$22, $C$13, 100%, $E$13)</f>
        <v>9.1363000000000003</v>
      </c>
      <c r="J248" s="64">
        <f>5.0459 * CHOOSE(CONTROL!$C$22, $C$13, 100%, $E$13)</f>
        <v>5.0458999999999996</v>
      </c>
      <c r="K248" s="64">
        <f>5.0475 * CHOOSE(CONTROL!$C$22, $C$13, 100%, $E$13)</f>
        <v>5.0475000000000003</v>
      </c>
    </row>
    <row r="249" spans="1:11" ht="15">
      <c r="A249" s="13">
        <v>49218</v>
      </c>
      <c r="B249" s="63">
        <f>4.4054 * CHOOSE(CONTROL!$C$22, $C$13, 100%, $E$13)</f>
        <v>4.4054000000000002</v>
      </c>
      <c r="C249" s="63">
        <f>4.4054 * CHOOSE(CONTROL!$C$22, $C$13, 100%, $E$13)</f>
        <v>4.4054000000000002</v>
      </c>
      <c r="D249" s="63">
        <f>4.4183 * CHOOSE(CONTROL!$C$22, $C$13, 100%, $E$13)</f>
        <v>4.4183000000000003</v>
      </c>
      <c r="E249" s="64">
        <f>5.0555 * CHOOSE(CONTROL!$C$22, $C$13, 100%, $E$13)</f>
        <v>5.0555000000000003</v>
      </c>
      <c r="F249" s="64">
        <f>5.0555 * CHOOSE(CONTROL!$C$22, $C$13, 100%, $E$13)</f>
        <v>5.0555000000000003</v>
      </c>
      <c r="G249" s="64">
        <f>5.0557 * CHOOSE(CONTROL!$C$22, $C$13, 100%, $E$13)</f>
        <v>5.0556999999999999</v>
      </c>
      <c r="H249" s="64">
        <f>9.1537* CHOOSE(CONTROL!$C$22, $C$13, 100%, $E$13)</f>
        <v>9.1537000000000006</v>
      </c>
      <c r="I249" s="64">
        <f>9.1539 * CHOOSE(CONTROL!$C$22, $C$13, 100%, $E$13)</f>
        <v>9.1539000000000001</v>
      </c>
      <c r="J249" s="64">
        <f>5.0555 * CHOOSE(CONTROL!$C$22, $C$13, 100%, $E$13)</f>
        <v>5.0555000000000003</v>
      </c>
      <c r="K249" s="64">
        <f>5.0557 * CHOOSE(CONTROL!$C$22, $C$13, 100%, $E$13)</f>
        <v>5.0556999999999999</v>
      </c>
    </row>
    <row r="250" spans="1:11" ht="15">
      <c r="A250" s="13">
        <v>49249</v>
      </c>
      <c r="B250" s="63">
        <f>4.4084 * CHOOSE(CONTROL!$C$22, $C$13, 100%, $E$13)</f>
        <v>4.4084000000000003</v>
      </c>
      <c r="C250" s="63">
        <f>4.4084 * CHOOSE(CONTROL!$C$22, $C$13, 100%, $E$13)</f>
        <v>4.4084000000000003</v>
      </c>
      <c r="D250" s="63">
        <f>4.4213 * CHOOSE(CONTROL!$C$22, $C$13, 100%, $E$13)</f>
        <v>4.4212999999999996</v>
      </c>
      <c r="E250" s="64">
        <f>5.0691 * CHOOSE(CONTROL!$C$22, $C$13, 100%, $E$13)</f>
        <v>5.0690999999999997</v>
      </c>
      <c r="F250" s="64">
        <f>5.0691 * CHOOSE(CONTROL!$C$22, $C$13, 100%, $E$13)</f>
        <v>5.0690999999999997</v>
      </c>
      <c r="G250" s="64">
        <f>5.0693 * CHOOSE(CONTROL!$C$22, $C$13, 100%, $E$13)</f>
        <v>5.0693000000000001</v>
      </c>
      <c r="H250" s="64">
        <f>9.1728* CHOOSE(CONTROL!$C$22, $C$13, 100%, $E$13)</f>
        <v>9.1728000000000005</v>
      </c>
      <c r="I250" s="64">
        <f>9.173 * CHOOSE(CONTROL!$C$22, $C$13, 100%, $E$13)</f>
        <v>9.173</v>
      </c>
      <c r="J250" s="64">
        <f>5.0691 * CHOOSE(CONTROL!$C$22, $C$13, 100%, $E$13)</f>
        <v>5.0690999999999997</v>
      </c>
      <c r="K250" s="64">
        <f>5.0693 * CHOOSE(CONTROL!$C$22, $C$13, 100%, $E$13)</f>
        <v>5.0693000000000001</v>
      </c>
    </row>
    <row r="251" spans="1:11" ht="15">
      <c r="A251" s="13">
        <v>49279</v>
      </c>
      <c r="B251" s="63">
        <f>4.4084 * CHOOSE(CONTROL!$C$22, $C$13, 100%, $E$13)</f>
        <v>4.4084000000000003</v>
      </c>
      <c r="C251" s="63">
        <f>4.4084 * CHOOSE(CONTROL!$C$22, $C$13, 100%, $E$13)</f>
        <v>4.4084000000000003</v>
      </c>
      <c r="D251" s="63">
        <f>4.4213 * CHOOSE(CONTROL!$C$22, $C$13, 100%, $E$13)</f>
        <v>4.4212999999999996</v>
      </c>
      <c r="E251" s="64">
        <f>5.0404 * CHOOSE(CONTROL!$C$22, $C$13, 100%, $E$13)</f>
        <v>5.0404</v>
      </c>
      <c r="F251" s="64">
        <f>5.0404 * CHOOSE(CONTROL!$C$22, $C$13, 100%, $E$13)</f>
        <v>5.0404</v>
      </c>
      <c r="G251" s="64">
        <f>5.0405 * CHOOSE(CONTROL!$C$22, $C$13, 100%, $E$13)</f>
        <v>5.0404999999999998</v>
      </c>
      <c r="H251" s="64">
        <f>9.1919* CHOOSE(CONTROL!$C$22, $C$13, 100%, $E$13)</f>
        <v>9.1919000000000004</v>
      </c>
      <c r="I251" s="64">
        <f>9.1921 * CHOOSE(CONTROL!$C$22, $C$13, 100%, $E$13)</f>
        <v>9.1920999999999999</v>
      </c>
      <c r="J251" s="64">
        <f>5.0404 * CHOOSE(CONTROL!$C$22, $C$13, 100%, $E$13)</f>
        <v>5.0404</v>
      </c>
      <c r="K251" s="64">
        <f>5.0405 * CHOOSE(CONTROL!$C$22, $C$13, 100%, $E$13)</f>
        <v>5.0404999999999998</v>
      </c>
    </row>
    <row r="252" spans="1:11" ht="15">
      <c r="A252" s="13">
        <v>49310</v>
      </c>
      <c r="B252" s="63">
        <f>4.4493 * CHOOSE(CONTROL!$C$22, $C$13, 100%, $E$13)</f>
        <v>4.4493</v>
      </c>
      <c r="C252" s="63">
        <f>4.4493 * CHOOSE(CONTROL!$C$22, $C$13, 100%, $E$13)</f>
        <v>4.4493</v>
      </c>
      <c r="D252" s="63">
        <f>4.4622 * CHOOSE(CONTROL!$C$22, $C$13, 100%, $E$13)</f>
        <v>4.4622000000000002</v>
      </c>
      <c r="E252" s="64">
        <f>5.1042 * CHOOSE(CONTROL!$C$22, $C$13, 100%, $E$13)</f>
        <v>5.1041999999999996</v>
      </c>
      <c r="F252" s="64">
        <f>5.1042 * CHOOSE(CONTROL!$C$22, $C$13, 100%, $E$13)</f>
        <v>5.1041999999999996</v>
      </c>
      <c r="G252" s="64">
        <f>5.1043 * CHOOSE(CONTROL!$C$22, $C$13, 100%, $E$13)</f>
        <v>5.1043000000000003</v>
      </c>
      <c r="H252" s="64">
        <f>9.211* CHOOSE(CONTROL!$C$22, $C$13, 100%, $E$13)</f>
        <v>9.2110000000000003</v>
      </c>
      <c r="I252" s="64">
        <f>9.2112 * CHOOSE(CONTROL!$C$22, $C$13, 100%, $E$13)</f>
        <v>9.2111999999999998</v>
      </c>
      <c r="J252" s="64">
        <f>5.1042 * CHOOSE(CONTROL!$C$22, $C$13, 100%, $E$13)</f>
        <v>5.1041999999999996</v>
      </c>
      <c r="K252" s="64">
        <f>5.1043 * CHOOSE(CONTROL!$C$22, $C$13, 100%, $E$13)</f>
        <v>5.1043000000000003</v>
      </c>
    </row>
    <row r="253" spans="1:11" ht="15">
      <c r="A253" s="13">
        <v>49341</v>
      </c>
      <c r="B253" s="63">
        <f>4.4463 * CHOOSE(CONTROL!$C$22, $C$13, 100%, $E$13)</f>
        <v>4.4462999999999999</v>
      </c>
      <c r="C253" s="63">
        <f>4.4463 * CHOOSE(CONTROL!$C$22, $C$13, 100%, $E$13)</f>
        <v>4.4462999999999999</v>
      </c>
      <c r="D253" s="63">
        <f>4.4591 * CHOOSE(CONTROL!$C$22, $C$13, 100%, $E$13)</f>
        <v>4.4591000000000003</v>
      </c>
      <c r="E253" s="64">
        <f>5.0462 * CHOOSE(CONTROL!$C$22, $C$13, 100%, $E$13)</f>
        <v>5.0461999999999998</v>
      </c>
      <c r="F253" s="64">
        <f>5.0462 * CHOOSE(CONTROL!$C$22, $C$13, 100%, $E$13)</f>
        <v>5.0461999999999998</v>
      </c>
      <c r="G253" s="64">
        <f>5.0464 * CHOOSE(CONTROL!$C$22, $C$13, 100%, $E$13)</f>
        <v>5.0464000000000002</v>
      </c>
      <c r="H253" s="64">
        <f>9.2302* CHOOSE(CONTROL!$C$22, $C$13, 100%, $E$13)</f>
        <v>9.2302</v>
      </c>
      <c r="I253" s="64">
        <f>9.2304 * CHOOSE(CONTROL!$C$22, $C$13, 100%, $E$13)</f>
        <v>9.2303999999999995</v>
      </c>
      <c r="J253" s="64">
        <f>5.0462 * CHOOSE(CONTROL!$C$22, $C$13, 100%, $E$13)</f>
        <v>5.0461999999999998</v>
      </c>
      <c r="K253" s="64">
        <f>5.0464 * CHOOSE(CONTROL!$C$22, $C$13, 100%, $E$13)</f>
        <v>5.0464000000000002</v>
      </c>
    </row>
    <row r="254" spans="1:11" ht="15">
      <c r="A254" s="13">
        <v>49369</v>
      </c>
      <c r="B254" s="63">
        <f>4.4432 * CHOOSE(CONTROL!$C$22, $C$13, 100%, $E$13)</f>
        <v>4.4432</v>
      </c>
      <c r="C254" s="63">
        <f>4.4432 * CHOOSE(CONTROL!$C$22, $C$13, 100%, $E$13)</f>
        <v>4.4432</v>
      </c>
      <c r="D254" s="63">
        <f>4.4561 * CHOOSE(CONTROL!$C$22, $C$13, 100%, $E$13)</f>
        <v>4.4561000000000002</v>
      </c>
      <c r="E254" s="64">
        <f>5.0881 * CHOOSE(CONTROL!$C$22, $C$13, 100%, $E$13)</f>
        <v>5.0880999999999998</v>
      </c>
      <c r="F254" s="64">
        <f>5.0881 * CHOOSE(CONTROL!$C$22, $C$13, 100%, $E$13)</f>
        <v>5.0880999999999998</v>
      </c>
      <c r="G254" s="64">
        <f>5.0883 * CHOOSE(CONTROL!$C$22, $C$13, 100%, $E$13)</f>
        <v>5.0883000000000003</v>
      </c>
      <c r="H254" s="64">
        <f>9.2495* CHOOSE(CONTROL!$C$22, $C$13, 100%, $E$13)</f>
        <v>9.2494999999999994</v>
      </c>
      <c r="I254" s="64">
        <f>9.2496 * CHOOSE(CONTROL!$C$22, $C$13, 100%, $E$13)</f>
        <v>9.2495999999999992</v>
      </c>
      <c r="J254" s="64">
        <f>5.0881 * CHOOSE(CONTROL!$C$22, $C$13, 100%, $E$13)</f>
        <v>5.0880999999999998</v>
      </c>
      <c r="K254" s="64">
        <f>5.0883 * CHOOSE(CONTROL!$C$22, $C$13, 100%, $E$13)</f>
        <v>5.0883000000000003</v>
      </c>
    </row>
    <row r="255" spans="1:11" ht="15">
      <c r="A255" s="13">
        <v>49400</v>
      </c>
      <c r="B255" s="63">
        <f>4.4413 * CHOOSE(CONTROL!$C$22, $C$13, 100%, $E$13)</f>
        <v>4.4413</v>
      </c>
      <c r="C255" s="63">
        <f>4.4413 * CHOOSE(CONTROL!$C$22, $C$13, 100%, $E$13)</f>
        <v>4.4413</v>
      </c>
      <c r="D255" s="63">
        <f>4.4542 * CHOOSE(CONTROL!$C$22, $C$13, 100%, $E$13)</f>
        <v>4.4542000000000002</v>
      </c>
      <c r="E255" s="64">
        <f>5.1311 * CHOOSE(CONTROL!$C$22, $C$13, 100%, $E$13)</f>
        <v>5.1311</v>
      </c>
      <c r="F255" s="64">
        <f>5.1311 * CHOOSE(CONTROL!$C$22, $C$13, 100%, $E$13)</f>
        <v>5.1311</v>
      </c>
      <c r="G255" s="64">
        <f>5.1313 * CHOOSE(CONTROL!$C$22, $C$13, 100%, $E$13)</f>
        <v>5.1313000000000004</v>
      </c>
      <c r="H255" s="64">
        <f>9.2687* CHOOSE(CONTROL!$C$22, $C$13, 100%, $E$13)</f>
        <v>9.2687000000000008</v>
      </c>
      <c r="I255" s="64">
        <f>9.2689 * CHOOSE(CONTROL!$C$22, $C$13, 100%, $E$13)</f>
        <v>9.2689000000000004</v>
      </c>
      <c r="J255" s="64">
        <f>5.1311 * CHOOSE(CONTROL!$C$22, $C$13, 100%, $E$13)</f>
        <v>5.1311</v>
      </c>
      <c r="K255" s="64">
        <f>5.1313 * CHOOSE(CONTROL!$C$22, $C$13, 100%, $E$13)</f>
        <v>5.1313000000000004</v>
      </c>
    </row>
    <row r="256" spans="1:11" ht="15">
      <c r="A256" s="13">
        <v>49430</v>
      </c>
      <c r="B256" s="63">
        <f>4.4413 * CHOOSE(CONTROL!$C$22, $C$13, 100%, $E$13)</f>
        <v>4.4413</v>
      </c>
      <c r="C256" s="63">
        <f>4.4413 * CHOOSE(CONTROL!$C$22, $C$13, 100%, $E$13)</f>
        <v>4.4413</v>
      </c>
      <c r="D256" s="63">
        <f>4.4671 * CHOOSE(CONTROL!$C$22, $C$13, 100%, $E$13)</f>
        <v>4.4671000000000003</v>
      </c>
      <c r="E256" s="64">
        <f>5.1489 * CHOOSE(CONTROL!$C$22, $C$13, 100%, $E$13)</f>
        <v>5.1489000000000003</v>
      </c>
      <c r="F256" s="64">
        <f>5.1489 * CHOOSE(CONTROL!$C$22, $C$13, 100%, $E$13)</f>
        <v>5.1489000000000003</v>
      </c>
      <c r="G256" s="64">
        <f>5.1505 * CHOOSE(CONTROL!$C$22, $C$13, 100%, $E$13)</f>
        <v>5.1505000000000001</v>
      </c>
      <c r="H256" s="64">
        <f>9.288* CHOOSE(CONTROL!$C$22, $C$13, 100%, $E$13)</f>
        <v>9.2880000000000003</v>
      </c>
      <c r="I256" s="64">
        <f>9.2897 * CHOOSE(CONTROL!$C$22, $C$13, 100%, $E$13)</f>
        <v>9.2896999999999998</v>
      </c>
      <c r="J256" s="64">
        <f>5.1489 * CHOOSE(CONTROL!$C$22, $C$13, 100%, $E$13)</f>
        <v>5.1489000000000003</v>
      </c>
      <c r="K256" s="64">
        <f>5.1505 * CHOOSE(CONTROL!$C$22, $C$13, 100%, $E$13)</f>
        <v>5.1505000000000001</v>
      </c>
    </row>
    <row r="257" spans="1:11" ht="15">
      <c r="A257" s="13">
        <v>49461</v>
      </c>
      <c r="B257" s="63">
        <f>4.4474 * CHOOSE(CONTROL!$C$22, $C$13, 100%, $E$13)</f>
        <v>4.4474</v>
      </c>
      <c r="C257" s="63">
        <f>4.4474 * CHOOSE(CONTROL!$C$22, $C$13, 100%, $E$13)</f>
        <v>4.4474</v>
      </c>
      <c r="D257" s="63">
        <f>4.4731 * CHOOSE(CONTROL!$C$22, $C$13, 100%, $E$13)</f>
        <v>4.4730999999999996</v>
      </c>
      <c r="E257" s="64">
        <f>5.1354 * CHOOSE(CONTROL!$C$22, $C$13, 100%, $E$13)</f>
        <v>5.1353999999999997</v>
      </c>
      <c r="F257" s="64">
        <f>5.1354 * CHOOSE(CONTROL!$C$22, $C$13, 100%, $E$13)</f>
        <v>5.1353999999999997</v>
      </c>
      <c r="G257" s="64">
        <f>5.137 * CHOOSE(CONTROL!$C$22, $C$13, 100%, $E$13)</f>
        <v>5.1369999999999996</v>
      </c>
      <c r="H257" s="64">
        <f>9.3074* CHOOSE(CONTROL!$C$22, $C$13, 100%, $E$13)</f>
        <v>9.3073999999999995</v>
      </c>
      <c r="I257" s="64">
        <f>9.309 * CHOOSE(CONTROL!$C$22, $C$13, 100%, $E$13)</f>
        <v>9.3089999999999993</v>
      </c>
      <c r="J257" s="64">
        <f>5.1354 * CHOOSE(CONTROL!$C$22, $C$13, 100%, $E$13)</f>
        <v>5.1353999999999997</v>
      </c>
      <c r="K257" s="64">
        <f>5.137 * CHOOSE(CONTROL!$C$22, $C$13, 100%, $E$13)</f>
        <v>5.1369999999999996</v>
      </c>
    </row>
    <row r="258" spans="1:11" ht="15">
      <c r="A258" s="13">
        <v>49491</v>
      </c>
      <c r="B258" s="63">
        <f>4.5237 * CHOOSE(CONTROL!$C$22, $C$13, 100%, $E$13)</f>
        <v>4.5236999999999998</v>
      </c>
      <c r="C258" s="63">
        <f>4.5237 * CHOOSE(CONTROL!$C$22, $C$13, 100%, $E$13)</f>
        <v>4.5236999999999998</v>
      </c>
      <c r="D258" s="63">
        <f>4.5495 * CHOOSE(CONTROL!$C$22, $C$13, 100%, $E$13)</f>
        <v>4.5495000000000001</v>
      </c>
      <c r="E258" s="64">
        <f>5.2334 * CHOOSE(CONTROL!$C$22, $C$13, 100%, $E$13)</f>
        <v>5.2333999999999996</v>
      </c>
      <c r="F258" s="64">
        <f>5.2334 * CHOOSE(CONTROL!$C$22, $C$13, 100%, $E$13)</f>
        <v>5.2333999999999996</v>
      </c>
      <c r="G258" s="64">
        <f>5.235 * CHOOSE(CONTROL!$C$22, $C$13, 100%, $E$13)</f>
        <v>5.2350000000000003</v>
      </c>
      <c r="H258" s="64">
        <f>9.3268* CHOOSE(CONTROL!$C$22, $C$13, 100%, $E$13)</f>
        <v>9.3268000000000004</v>
      </c>
      <c r="I258" s="64">
        <f>9.3284 * CHOOSE(CONTROL!$C$22, $C$13, 100%, $E$13)</f>
        <v>9.3284000000000002</v>
      </c>
      <c r="J258" s="64">
        <f>5.2334 * CHOOSE(CONTROL!$C$22, $C$13, 100%, $E$13)</f>
        <v>5.2333999999999996</v>
      </c>
      <c r="K258" s="64">
        <f>5.235 * CHOOSE(CONTROL!$C$22, $C$13, 100%, $E$13)</f>
        <v>5.2350000000000003</v>
      </c>
    </row>
    <row r="259" spans="1:11" ht="15">
      <c r="A259" s="13">
        <v>49522</v>
      </c>
      <c r="B259" s="63">
        <f>4.5304 * CHOOSE(CONTROL!$C$22, $C$13, 100%, $E$13)</f>
        <v>4.5304000000000002</v>
      </c>
      <c r="C259" s="63">
        <f>4.5304 * CHOOSE(CONTROL!$C$22, $C$13, 100%, $E$13)</f>
        <v>4.5304000000000002</v>
      </c>
      <c r="D259" s="63">
        <f>4.5562 * CHOOSE(CONTROL!$C$22, $C$13, 100%, $E$13)</f>
        <v>4.5561999999999996</v>
      </c>
      <c r="E259" s="64">
        <f>5.1849 * CHOOSE(CONTROL!$C$22, $C$13, 100%, $E$13)</f>
        <v>5.1848999999999998</v>
      </c>
      <c r="F259" s="64">
        <f>5.1849 * CHOOSE(CONTROL!$C$22, $C$13, 100%, $E$13)</f>
        <v>5.1848999999999998</v>
      </c>
      <c r="G259" s="64">
        <f>5.1865 * CHOOSE(CONTROL!$C$22, $C$13, 100%, $E$13)</f>
        <v>5.1864999999999997</v>
      </c>
      <c r="H259" s="64">
        <f>9.3462* CHOOSE(CONTROL!$C$22, $C$13, 100%, $E$13)</f>
        <v>9.3461999999999996</v>
      </c>
      <c r="I259" s="64">
        <f>9.3479 * CHOOSE(CONTROL!$C$22, $C$13, 100%, $E$13)</f>
        <v>9.3478999999999992</v>
      </c>
      <c r="J259" s="64">
        <f>5.1849 * CHOOSE(CONTROL!$C$22, $C$13, 100%, $E$13)</f>
        <v>5.1848999999999998</v>
      </c>
      <c r="K259" s="64">
        <f>5.1865 * CHOOSE(CONTROL!$C$22, $C$13, 100%, $E$13)</f>
        <v>5.1864999999999997</v>
      </c>
    </row>
    <row r="260" spans="1:11" ht="15">
      <c r="A260" s="13">
        <v>49553</v>
      </c>
      <c r="B260" s="63">
        <f>4.5274 * CHOOSE(CONTROL!$C$22, $C$13, 100%, $E$13)</f>
        <v>4.5274000000000001</v>
      </c>
      <c r="C260" s="63">
        <f>4.5274 * CHOOSE(CONTROL!$C$22, $C$13, 100%, $E$13)</f>
        <v>4.5274000000000001</v>
      </c>
      <c r="D260" s="63">
        <f>4.5531 * CHOOSE(CONTROL!$C$22, $C$13, 100%, $E$13)</f>
        <v>4.5530999999999997</v>
      </c>
      <c r="E260" s="64">
        <f>5.1768 * CHOOSE(CONTROL!$C$22, $C$13, 100%, $E$13)</f>
        <v>5.1768000000000001</v>
      </c>
      <c r="F260" s="64">
        <f>5.1768 * CHOOSE(CONTROL!$C$22, $C$13, 100%, $E$13)</f>
        <v>5.1768000000000001</v>
      </c>
      <c r="G260" s="64">
        <f>5.1785 * CHOOSE(CONTROL!$C$22, $C$13, 100%, $E$13)</f>
        <v>5.1784999999999997</v>
      </c>
      <c r="H260" s="64">
        <f>9.3657* CHOOSE(CONTROL!$C$22, $C$13, 100%, $E$13)</f>
        <v>9.3657000000000004</v>
      </c>
      <c r="I260" s="64">
        <f>9.3673 * CHOOSE(CONTROL!$C$22, $C$13, 100%, $E$13)</f>
        <v>9.3673000000000002</v>
      </c>
      <c r="J260" s="64">
        <f>5.1768 * CHOOSE(CONTROL!$C$22, $C$13, 100%, $E$13)</f>
        <v>5.1768000000000001</v>
      </c>
      <c r="K260" s="64">
        <f>5.1785 * CHOOSE(CONTROL!$C$22, $C$13, 100%, $E$13)</f>
        <v>5.1784999999999997</v>
      </c>
    </row>
    <row r="261" spans="1:11" ht="15">
      <c r="A261" s="13">
        <v>49583</v>
      </c>
      <c r="B261" s="63">
        <f>4.5244 * CHOOSE(CONTROL!$C$22, $C$13, 100%, $E$13)</f>
        <v>4.5244</v>
      </c>
      <c r="C261" s="63">
        <f>4.5244 * CHOOSE(CONTROL!$C$22, $C$13, 100%, $E$13)</f>
        <v>4.5244</v>
      </c>
      <c r="D261" s="63">
        <f>4.5373 * CHOOSE(CONTROL!$C$22, $C$13, 100%, $E$13)</f>
        <v>4.5373000000000001</v>
      </c>
      <c r="E261" s="64">
        <f>5.1871 * CHOOSE(CONTROL!$C$22, $C$13, 100%, $E$13)</f>
        <v>5.1871</v>
      </c>
      <c r="F261" s="64">
        <f>5.1871 * CHOOSE(CONTROL!$C$22, $C$13, 100%, $E$13)</f>
        <v>5.1871</v>
      </c>
      <c r="G261" s="64">
        <f>5.1872 * CHOOSE(CONTROL!$C$22, $C$13, 100%, $E$13)</f>
        <v>5.1871999999999998</v>
      </c>
      <c r="H261" s="64">
        <f>9.3852* CHOOSE(CONTROL!$C$22, $C$13, 100%, $E$13)</f>
        <v>9.3851999999999993</v>
      </c>
      <c r="I261" s="64">
        <f>9.3854 * CHOOSE(CONTROL!$C$22, $C$13, 100%, $E$13)</f>
        <v>9.3854000000000006</v>
      </c>
      <c r="J261" s="64">
        <f>5.1871 * CHOOSE(CONTROL!$C$22, $C$13, 100%, $E$13)</f>
        <v>5.1871</v>
      </c>
      <c r="K261" s="64">
        <f>5.1872 * CHOOSE(CONTROL!$C$22, $C$13, 100%, $E$13)</f>
        <v>5.1871999999999998</v>
      </c>
    </row>
    <row r="262" spans="1:11" ht="15">
      <c r="A262" s="13">
        <v>49614</v>
      </c>
      <c r="B262" s="63">
        <f>4.5275 * CHOOSE(CONTROL!$C$22, $C$13, 100%, $E$13)</f>
        <v>4.5274999999999999</v>
      </c>
      <c r="C262" s="63">
        <f>4.5275 * CHOOSE(CONTROL!$C$22, $C$13, 100%, $E$13)</f>
        <v>4.5274999999999999</v>
      </c>
      <c r="D262" s="63">
        <f>4.5403 * CHOOSE(CONTROL!$C$22, $C$13, 100%, $E$13)</f>
        <v>4.5403000000000002</v>
      </c>
      <c r="E262" s="64">
        <f>5.201 * CHOOSE(CONTROL!$C$22, $C$13, 100%, $E$13)</f>
        <v>5.2009999999999996</v>
      </c>
      <c r="F262" s="64">
        <f>5.201 * CHOOSE(CONTROL!$C$22, $C$13, 100%, $E$13)</f>
        <v>5.2009999999999996</v>
      </c>
      <c r="G262" s="64">
        <f>5.2012 * CHOOSE(CONTROL!$C$22, $C$13, 100%, $E$13)</f>
        <v>5.2012</v>
      </c>
      <c r="H262" s="64">
        <f>9.4047* CHOOSE(CONTROL!$C$22, $C$13, 100%, $E$13)</f>
        <v>9.4047000000000001</v>
      </c>
      <c r="I262" s="64">
        <f>9.4049 * CHOOSE(CONTROL!$C$22, $C$13, 100%, $E$13)</f>
        <v>9.4048999999999996</v>
      </c>
      <c r="J262" s="64">
        <f>5.201 * CHOOSE(CONTROL!$C$22, $C$13, 100%, $E$13)</f>
        <v>5.2009999999999996</v>
      </c>
      <c r="K262" s="64">
        <f>5.2012 * CHOOSE(CONTROL!$C$22, $C$13, 100%, $E$13)</f>
        <v>5.2012</v>
      </c>
    </row>
    <row r="263" spans="1:11" ht="15">
      <c r="A263" s="13">
        <v>49644</v>
      </c>
      <c r="B263" s="63">
        <f>4.5275 * CHOOSE(CONTROL!$C$22, $C$13, 100%, $E$13)</f>
        <v>4.5274999999999999</v>
      </c>
      <c r="C263" s="63">
        <f>4.5275 * CHOOSE(CONTROL!$C$22, $C$13, 100%, $E$13)</f>
        <v>4.5274999999999999</v>
      </c>
      <c r="D263" s="63">
        <f>4.5403 * CHOOSE(CONTROL!$C$22, $C$13, 100%, $E$13)</f>
        <v>4.5403000000000002</v>
      </c>
      <c r="E263" s="64">
        <f>5.1715 * CHOOSE(CONTROL!$C$22, $C$13, 100%, $E$13)</f>
        <v>5.1715</v>
      </c>
      <c r="F263" s="64">
        <f>5.1715 * CHOOSE(CONTROL!$C$22, $C$13, 100%, $E$13)</f>
        <v>5.1715</v>
      </c>
      <c r="G263" s="64">
        <f>5.1716 * CHOOSE(CONTROL!$C$22, $C$13, 100%, $E$13)</f>
        <v>5.1715999999999998</v>
      </c>
      <c r="H263" s="64">
        <f>9.4243* CHOOSE(CONTROL!$C$22, $C$13, 100%, $E$13)</f>
        <v>9.4243000000000006</v>
      </c>
      <c r="I263" s="64">
        <f>9.4245 * CHOOSE(CONTROL!$C$22, $C$13, 100%, $E$13)</f>
        <v>9.4245000000000001</v>
      </c>
      <c r="J263" s="64">
        <f>5.1715 * CHOOSE(CONTROL!$C$22, $C$13, 100%, $E$13)</f>
        <v>5.1715</v>
      </c>
      <c r="K263" s="64">
        <f>5.1716 * CHOOSE(CONTROL!$C$22, $C$13, 100%, $E$13)</f>
        <v>5.1715999999999998</v>
      </c>
    </row>
    <row r="264" spans="1:11" ht="15">
      <c r="A264" s="13">
        <v>49675</v>
      </c>
      <c r="B264" s="63">
        <f>4.5704 * CHOOSE(CONTROL!$C$22, $C$13, 100%, $E$13)</f>
        <v>4.5704000000000002</v>
      </c>
      <c r="C264" s="63">
        <f>4.5704 * CHOOSE(CONTROL!$C$22, $C$13, 100%, $E$13)</f>
        <v>4.5704000000000002</v>
      </c>
      <c r="D264" s="63">
        <f>4.5833 * CHOOSE(CONTROL!$C$22, $C$13, 100%, $E$13)</f>
        <v>4.5833000000000004</v>
      </c>
      <c r="E264" s="64">
        <f>5.2414 * CHOOSE(CONTROL!$C$22, $C$13, 100%, $E$13)</f>
        <v>5.2413999999999996</v>
      </c>
      <c r="F264" s="64">
        <f>5.2414 * CHOOSE(CONTROL!$C$22, $C$13, 100%, $E$13)</f>
        <v>5.2413999999999996</v>
      </c>
      <c r="G264" s="64">
        <f>5.2415 * CHOOSE(CONTROL!$C$22, $C$13, 100%, $E$13)</f>
        <v>5.2415000000000003</v>
      </c>
      <c r="H264" s="64">
        <f>9.444* CHOOSE(CONTROL!$C$22, $C$13, 100%, $E$13)</f>
        <v>9.4440000000000008</v>
      </c>
      <c r="I264" s="64">
        <f>9.4442 * CHOOSE(CONTROL!$C$22, $C$13, 100%, $E$13)</f>
        <v>9.4442000000000004</v>
      </c>
      <c r="J264" s="64">
        <f>5.2414 * CHOOSE(CONTROL!$C$22, $C$13, 100%, $E$13)</f>
        <v>5.2413999999999996</v>
      </c>
      <c r="K264" s="64">
        <f>5.2415 * CHOOSE(CONTROL!$C$22, $C$13, 100%, $E$13)</f>
        <v>5.2415000000000003</v>
      </c>
    </row>
    <row r="265" spans="1:11" ht="15">
      <c r="A265" s="13">
        <v>49706</v>
      </c>
      <c r="B265" s="63">
        <f>4.5673 * CHOOSE(CONTROL!$C$22, $C$13, 100%, $E$13)</f>
        <v>4.5673000000000004</v>
      </c>
      <c r="C265" s="63">
        <f>4.5673 * CHOOSE(CONTROL!$C$22, $C$13, 100%, $E$13)</f>
        <v>4.5673000000000004</v>
      </c>
      <c r="D265" s="63">
        <f>4.5802 * CHOOSE(CONTROL!$C$22, $C$13, 100%, $E$13)</f>
        <v>4.5801999999999996</v>
      </c>
      <c r="E265" s="64">
        <f>5.1819 * CHOOSE(CONTROL!$C$22, $C$13, 100%, $E$13)</f>
        <v>5.1818999999999997</v>
      </c>
      <c r="F265" s="64">
        <f>5.1819 * CHOOSE(CONTROL!$C$22, $C$13, 100%, $E$13)</f>
        <v>5.1818999999999997</v>
      </c>
      <c r="G265" s="64">
        <f>5.182 * CHOOSE(CONTROL!$C$22, $C$13, 100%, $E$13)</f>
        <v>5.1820000000000004</v>
      </c>
      <c r="H265" s="64">
        <f>9.4636* CHOOSE(CONTROL!$C$22, $C$13, 100%, $E$13)</f>
        <v>9.4635999999999996</v>
      </c>
      <c r="I265" s="64">
        <f>9.4638 * CHOOSE(CONTROL!$C$22, $C$13, 100%, $E$13)</f>
        <v>9.4638000000000009</v>
      </c>
      <c r="J265" s="64">
        <f>5.1819 * CHOOSE(CONTROL!$C$22, $C$13, 100%, $E$13)</f>
        <v>5.1818999999999997</v>
      </c>
      <c r="K265" s="64">
        <f>5.182 * CHOOSE(CONTROL!$C$22, $C$13, 100%, $E$13)</f>
        <v>5.1820000000000004</v>
      </c>
    </row>
    <row r="266" spans="1:11" ht="15">
      <c r="A266" s="13">
        <v>49735</v>
      </c>
      <c r="B266" s="63">
        <f>4.5643 * CHOOSE(CONTROL!$C$22, $C$13, 100%, $E$13)</f>
        <v>4.5643000000000002</v>
      </c>
      <c r="C266" s="63">
        <f>4.5643 * CHOOSE(CONTROL!$C$22, $C$13, 100%, $E$13)</f>
        <v>4.5643000000000002</v>
      </c>
      <c r="D266" s="63">
        <f>4.5772 * CHOOSE(CONTROL!$C$22, $C$13, 100%, $E$13)</f>
        <v>4.5772000000000004</v>
      </c>
      <c r="E266" s="64">
        <f>5.225 * CHOOSE(CONTROL!$C$22, $C$13, 100%, $E$13)</f>
        <v>5.2249999999999996</v>
      </c>
      <c r="F266" s="64">
        <f>5.225 * CHOOSE(CONTROL!$C$22, $C$13, 100%, $E$13)</f>
        <v>5.2249999999999996</v>
      </c>
      <c r="G266" s="64">
        <f>5.2251 * CHOOSE(CONTROL!$C$22, $C$13, 100%, $E$13)</f>
        <v>5.2251000000000003</v>
      </c>
      <c r="H266" s="64">
        <f>9.4834* CHOOSE(CONTROL!$C$22, $C$13, 100%, $E$13)</f>
        <v>9.4833999999999996</v>
      </c>
      <c r="I266" s="64">
        <f>9.4835 * CHOOSE(CONTROL!$C$22, $C$13, 100%, $E$13)</f>
        <v>9.4834999999999994</v>
      </c>
      <c r="J266" s="64">
        <f>5.225 * CHOOSE(CONTROL!$C$22, $C$13, 100%, $E$13)</f>
        <v>5.2249999999999996</v>
      </c>
      <c r="K266" s="64">
        <f>5.2251 * CHOOSE(CONTROL!$C$22, $C$13, 100%, $E$13)</f>
        <v>5.2251000000000003</v>
      </c>
    </row>
    <row r="267" spans="1:11" ht="15">
      <c r="A267" s="13">
        <v>49766</v>
      </c>
      <c r="B267" s="63">
        <f>4.5625 * CHOOSE(CONTROL!$C$22, $C$13, 100%, $E$13)</f>
        <v>4.5625</v>
      </c>
      <c r="C267" s="63">
        <f>4.5625 * CHOOSE(CONTROL!$C$22, $C$13, 100%, $E$13)</f>
        <v>4.5625</v>
      </c>
      <c r="D267" s="63">
        <f>4.5754 * CHOOSE(CONTROL!$C$22, $C$13, 100%, $E$13)</f>
        <v>4.5754000000000001</v>
      </c>
      <c r="E267" s="64">
        <f>5.2693 * CHOOSE(CONTROL!$C$22, $C$13, 100%, $E$13)</f>
        <v>5.2693000000000003</v>
      </c>
      <c r="F267" s="64">
        <f>5.2693 * CHOOSE(CONTROL!$C$22, $C$13, 100%, $E$13)</f>
        <v>5.2693000000000003</v>
      </c>
      <c r="G267" s="64">
        <f>5.2695 * CHOOSE(CONTROL!$C$22, $C$13, 100%, $E$13)</f>
        <v>5.2694999999999999</v>
      </c>
      <c r="H267" s="64">
        <f>9.5031* CHOOSE(CONTROL!$C$22, $C$13, 100%, $E$13)</f>
        <v>9.5030999999999999</v>
      </c>
      <c r="I267" s="64">
        <f>9.5033 * CHOOSE(CONTROL!$C$22, $C$13, 100%, $E$13)</f>
        <v>9.5032999999999994</v>
      </c>
      <c r="J267" s="64">
        <f>5.2693 * CHOOSE(CONTROL!$C$22, $C$13, 100%, $E$13)</f>
        <v>5.2693000000000003</v>
      </c>
      <c r="K267" s="64">
        <f>5.2695 * CHOOSE(CONTROL!$C$22, $C$13, 100%, $E$13)</f>
        <v>5.2694999999999999</v>
      </c>
    </row>
    <row r="268" spans="1:11" ht="15">
      <c r="A268" s="13">
        <v>49796</v>
      </c>
      <c r="B268" s="63">
        <f>4.5625 * CHOOSE(CONTROL!$C$22, $C$13, 100%, $E$13)</f>
        <v>4.5625</v>
      </c>
      <c r="C268" s="63">
        <f>4.5625 * CHOOSE(CONTROL!$C$22, $C$13, 100%, $E$13)</f>
        <v>4.5625</v>
      </c>
      <c r="D268" s="63">
        <f>4.5882 * CHOOSE(CONTROL!$C$22, $C$13, 100%, $E$13)</f>
        <v>4.5881999999999996</v>
      </c>
      <c r="E268" s="64">
        <f>5.2875 * CHOOSE(CONTROL!$C$22, $C$13, 100%, $E$13)</f>
        <v>5.2874999999999996</v>
      </c>
      <c r="F268" s="64">
        <f>5.2875 * CHOOSE(CONTROL!$C$22, $C$13, 100%, $E$13)</f>
        <v>5.2874999999999996</v>
      </c>
      <c r="G268" s="64">
        <f>5.2892 * CHOOSE(CONTROL!$C$22, $C$13, 100%, $E$13)</f>
        <v>5.2892000000000001</v>
      </c>
      <c r="H268" s="64">
        <f>9.5229* CHOOSE(CONTROL!$C$22, $C$13, 100%, $E$13)</f>
        <v>9.5228999999999999</v>
      </c>
      <c r="I268" s="64">
        <f>9.5246 * CHOOSE(CONTROL!$C$22, $C$13, 100%, $E$13)</f>
        <v>9.5245999999999995</v>
      </c>
      <c r="J268" s="64">
        <f>5.2875 * CHOOSE(CONTROL!$C$22, $C$13, 100%, $E$13)</f>
        <v>5.2874999999999996</v>
      </c>
      <c r="K268" s="64">
        <f>5.2892 * CHOOSE(CONTROL!$C$22, $C$13, 100%, $E$13)</f>
        <v>5.2892000000000001</v>
      </c>
    </row>
    <row r="269" spans="1:11" ht="15">
      <c r="A269" s="13">
        <v>49827</v>
      </c>
      <c r="B269" s="63">
        <f>4.5686 * CHOOSE(CONTROL!$C$22, $C$13, 100%, $E$13)</f>
        <v>4.5686</v>
      </c>
      <c r="C269" s="63">
        <f>4.5686 * CHOOSE(CONTROL!$C$22, $C$13, 100%, $E$13)</f>
        <v>4.5686</v>
      </c>
      <c r="D269" s="63">
        <f>4.5943 * CHOOSE(CONTROL!$C$22, $C$13, 100%, $E$13)</f>
        <v>4.5942999999999996</v>
      </c>
      <c r="E269" s="64">
        <f>5.2735 * CHOOSE(CONTROL!$C$22, $C$13, 100%, $E$13)</f>
        <v>5.2735000000000003</v>
      </c>
      <c r="F269" s="64">
        <f>5.2735 * CHOOSE(CONTROL!$C$22, $C$13, 100%, $E$13)</f>
        <v>5.2735000000000003</v>
      </c>
      <c r="G269" s="64">
        <f>5.2752 * CHOOSE(CONTROL!$C$22, $C$13, 100%, $E$13)</f>
        <v>5.2751999999999999</v>
      </c>
      <c r="H269" s="64">
        <f>9.5428* CHOOSE(CONTROL!$C$22, $C$13, 100%, $E$13)</f>
        <v>9.5427999999999997</v>
      </c>
      <c r="I269" s="64">
        <f>9.5444 * CHOOSE(CONTROL!$C$22, $C$13, 100%, $E$13)</f>
        <v>9.5443999999999996</v>
      </c>
      <c r="J269" s="64">
        <f>5.2735 * CHOOSE(CONTROL!$C$22, $C$13, 100%, $E$13)</f>
        <v>5.2735000000000003</v>
      </c>
      <c r="K269" s="64">
        <f>5.2752 * CHOOSE(CONTROL!$C$22, $C$13, 100%, $E$13)</f>
        <v>5.2751999999999999</v>
      </c>
    </row>
    <row r="270" spans="1:11" ht="15">
      <c r="A270" s="13">
        <v>49857</v>
      </c>
      <c r="B270" s="63">
        <f>4.6492 * CHOOSE(CONTROL!$C$22, $C$13, 100%, $E$13)</f>
        <v>4.6492000000000004</v>
      </c>
      <c r="C270" s="63">
        <f>4.6492 * CHOOSE(CONTROL!$C$22, $C$13, 100%, $E$13)</f>
        <v>4.6492000000000004</v>
      </c>
      <c r="D270" s="63">
        <f>4.6749 * CHOOSE(CONTROL!$C$22, $C$13, 100%, $E$13)</f>
        <v>4.6749000000000001</v>
      </c>
      <c r="E270" s="64">
        <f>5.3842 * CHOOSE(CONTROL!$C$22, $C$13, 100%, $E$13)</f>
        <v>5.3841999999999999</v>
      </c>
      <c r="F270" s="64">
        <f>5.3842 * CHOOSE(CONTROL!$C$22, $C$13, 100%, $E$13)</f>
        <v>5.3841999999999999</v>
      </c>
      <c r="G270" s="64">
        <f>5.3858 * CHOOSE(CONTROL!$C$22, $C$13, 100%, $E$13)</f>
        <v>5.3857999999999997</v>
      </c>
      <c r="H270" s="64">
        <f>9.5626* CHOOSE(CONTROL!$C$22, $C$13, 100%, $E$13)</f>
        <v>9.5625999999999998</v>
      </c>
      <c r="I270" s="64">
        <f>9.5643 * CHOOSE(CONTROL!$C$22, $C$13, 100%, $E$13)</f>
        <v>9.5642999999999994</v>
      </c>
      <c r="J270" s="64">
        <f>5.3842 * CHOOSE(CONTROL!$C$22, $C$13, 100%, $E$13)</f>
        <v>5.3841999999999999</v>
      </c>
      <c r="K270" s="64">
        <f>5.3858 * CHOOSE(CONTROL!$C$22, $C$13, 100%, $E$13)</f>
        <v>5.3857999999999997</v>
      </c>
    </row>
    <row r="271" spans="1:11" ht="15">
      <c r="A271" s="13">
        <v>49888</v>
      </c>
      <c r="B271" s="63">
        <f>4.6559 * CHOOSE(CONTROL!$C$22, $C$13, 100%, $E$13)</f>
        <v>4.6558999999999999</v>
      </c>
      <c r="C271" s="63">
        <f>4.6559 * CHOOSE(CONTROL!$C$22, $C$13, 100%, $E$13)</f>
        <v>4.6558999999999999</v>
      </c>
      <c r="D271" s="63">
        <f>4.6816 * CHOOSE(CONTROL!$C$22, $C$13, 100%, $E$13)</f>
        <v>4.6816000000000004</v>
      </c>
      <c r="E271" s="64">
        <f>5.3342 * CHOOSE(CONTROL!$C$22, $C$13, 100%, $E$13)</f>
        <v>5.3342000000000001</v>
      </c>
      <c r="F271" s="64">
        <f>5.3342 * CHOOSE(CONTROL!$C$22, $C$13, 100%, $E$13)</f>
        <v>5.3342000000000001</v>
      </c>
      <c r="G271" s="64">
        <f>5.3359 * CHOOSE(CONTROL!$C$22, $C$13, 100%, $E$13)</f>
        <v>5.3358999999999996</v>
      </c>
      <c r="H271" s="64">
        <f>9.5826* CHOOSE(CONTROL!$C$22, $C$13, 100%, $E$13)</f>
        <v>9.5825999999999993</v>
      </c>
      <c r="I271" s="64">
        <f>9.5842 * CHOOSE(CONTROL!$C$22, $C$13, 100%, $E$13)</f>
        <v>9.5841999999999992</v>
      </c>
      <c r="J271" s="64">
        <f>5.3342 * CHOOSE(CONTROL!$C$22, $C$13, 100%, $E$13)</f>
        <v>5.3342000000000001</v>
      </c>
      <c r="K271" s="64">
        <f>5.3359 * CHOOSE(CONTROL!$C$22, $C$13, 100%, $E$13)</f>
        <v>5.3358999999999996</v>
      </c>
    </row>
    <row r="272" spans="1:11" ht="15">
      <c r="A272" s="13">
        <v>49919</v>
      </c>
      <c r="B272" s="63">
        <f>4.6528 * CHOOSE(CONTROL!$C$22, $C$13, 100%, $E$13)</f>
        <v>4.6528</v>
      </c>
      <c r="C272" s="63">
        <f>4.6528 * CHOOSE(CONTROL!$C$22, $C$13, 100%, $E$13)</f>
        <v>4.6528</v>
      </c>
      <c r="D272" s="63">
        <f>4.6786 * CHOOSE(CONTROL!$C$22, $C$13, 100%, $E$13)</f>
        <v>4.6786000000000003</v>
      </c>
      <c r="E272" s="64">
        <f>5.326 * CHOOSE(CONTROL!$C$22, $C$13, 100%, $E$13)</f>
        <v>5.3259999999999996</v>
      </c>
      <c r="F272" s="64">
        <f>5.326 * CHOOSE(CONTROL!$C$22, $C$13, 100%, $E$13)</f>
        <v>5.3259999999999996</v>
      </c>
      <c r="G272" s="64">
        <f>5.3277 * CHOOSE(CONTROL!$C$22, $C$13, 100%, $E$13)</f>
        <v>5.3277000000000001</v>
      </c>
      <c r="H272" s="64">
        <f>9.6025* CHOOSE(CONTROL!$C$22, $C$13, 100%, $E$13)</f>
        <v>9.6024999999999991</v>
      </c>
      <c r="I272" s="64">
        <f>9.6042 * CHOOSE(CONTROL!$C$22, $C$13, 100%, $E$13)</f>
        <v>9.6042000000000005</v>
      </c>
      <c r="J272" s="64">
        <f>5.326 * CHOOSE(CONTROL!$C$22, $C$13, 100%, $E$13)</f>
        <v>5.3259999999999996</v>
      </c>
      <c r="K272" s="64">
        <f>5.3277 * CHOOSE(CONTROL!$C$22, $C$13, 100%, $E$13)</f>
        <v>5.3277000000000001</v>
      </c>
    </row>
    <row r="273" spans="1:11" ht="15">
      <c r="A273" s="13">
        <v>49949</v>
      </c>
      <c r="B273" s="63">
        <f>4.6503 * CHOOSE(CONTROL!$C$22, $C$13, 100%, $E$13)</f>
        <v>4.6502999999999997</v>
      </c>
      <c r="C273" s="63">
        <f>4.6503 * CHOOSE(CONTROL!$C$22, $C$13, 100%, $E$13)</f>
        <v>4.6502999999999997</v>
      </c>
      <c r="D273" s="63">
        <f>4.6632 * CHOOSE(CONTROL!$C$22, $C$13, 100%, $E$13)</f>
        <v>4.6631999999999998</v>
      </c>
      <c r="E273" s="64">
        <f>5.3369 * CHOOSE(CONTROL!$C$22, $C$13, 100%, $E$13)</f>
        <v>5.3369</v>
      </c>
      <c r="F273" s="64">
        <f>5.3369 * CHOOSE(CONTROL!$C$22, $C$13, 100%, $E$13)</f>
        <v>5.3369</v>
      </c>
      <c r="G273" s="64">
        <f>5.3371 * CHOOSE(CONTROL!$C$22, $C$13, 100%, $E$13)</f>
        <v>5.3371000000000004</v>
      </c>
      <c r="H273" s="64">
        <f>9.6225* CHOOSE(CONTROL!$C$22, $C$13, 100%, $E$13)</f>
        <v>9.6225000000000005</v>
      </c>
      <c r="I273" s="64">
        <f>9.6227 * CHOOSE(CONTROL!$C$22, $C$13, 100%, $E$13)</f>
        <v>9.6227</v>
      </c>
      <c r="J273" s="64">
        <f>5.3369 * CHOOSE(CONTROL!$C$22, $C$13, 100%, $E$13)</f>
        <v>5.3369</v>
      </c>
      <c r="K273" s="64">
        <f>5.3371 * CHOOSE(CONTROL!$C$22, $C$13, 100%, $E$13)</f>
        <v>5.3371000000000004</v>
      </c>
    </row>
    <row r="274" spans="1:11" ht="15">
      <c r="A274" s="13">
        <v>49980</v>
      </c>
      <c r="B274" s="63">
        <f>4.6533 * CHOOSE(CONTROL!$C$22, $C$13, 100%, $E$13)</f>
        <v>4.6532999999999998</v>
      </c>
      <c r="C274" s="63">
        <f>4.6533 * CHOOSE(CONTROL!$C$22, $C$13, 100%, $E$13)</f>
        <v>4.6532999999999998</v>
      </c>
      <c r="D274" s="63">
        <f>4.6662 * CHOOSE(CONTROL!$C$22, $C$13, 100%, $E$13)</f>
        <v>4.6661999999999999</v>
      </c>
      <c r="E274" s="64">
        <f>5.3512 * CHOOSE(CONTROL!$C$22, $C$13, 100%, $E$13)</f>
        <v>5.3512000000000004</v>
      </c>
      <c r="F274" s="64">
        <f>5.3512 * CHOOSE(CONTROL!$C$22, $C$13, 100%, $E$13)</f>
        <v>5.3512000000000004</v>
      </c>
      <c r="G274" s="64">
        <f>5.3513 * CHOOSE(CONTROL!$C$22, $C$13, 100%, $E$13)</f>
        <v>5.3513000000000002</v>
      </c>
      <c r="H274" s="64">
        <f>9.6426* CHOOSE(CONTROL!$C$22, $C$13, 100%, $E$13)</f>
        <v>9.6425999999999998</v>
      </c>
      <c r="I274" s="64">
        <f>9.6428 * CHOOSE(CONTROL!$C$22, $C$13, 100%, $E$13)</f>
        <v>9.6427999999999994</v>
      </c>
      <c r="J274" s="64">
        <f>5.3512 * CHOOSE(CONTROL!$C$22, $C$13, 100%, $E$13)</f>
        <v>5.3512000000000004</v>
      </c>
      <c r="K274" s="64">
        <f>5.3513 * CHOOSE(CONTROL!$C$22, $C$13, 100%, $E$13)</f>
        <v>5.3513000000000002</v>
      </c>
    </row>
    <row r="275" spans="1:11" ht="15">
      <c r="A275" s="13">
        <v>50010</v>
      </c>
      <c r="B275" s="63">
        <f>4.6533 * CHOOSE(CONTROL!$C$22, $C$13, 100%, $E$13)</f>
        <v>4.6532999999999998</v>
      </c>
      <c r="C275" s="63">
        <f>4.6533 * CHOOSE(CONTROL!$C$22, $C$13, 100%, $E$13)</f>
        <v>4.6532999999999998</v>
      </c>
      <c r="D275" s="63">
        <f>4.6662 * CHOOSE(CONTROL!$C$22, $C$13, 100%, $E$13)</f>
        <v>4.6661999999999999</v>
      </c>
      <c r="E275" s="64">
        <f>5.3208 * CHOOSE(CONTROL!$C$22, $C$13, 100%, $E$13)</f>
        <v>5.3208000000000002</v>
      </c>
      <c r="F275" s="64">
        <f>5.3208 * CHOOSE(CONTROL!$C$22, $C$13, 100%, $E$13)</f>
        <v>5.3208000000000002</v>
      </c>
      <c r="G275" s="64">
        <f>5.321 * CHOOSE(CONTROL!$C$22, $C$13, 100%, $E$13)</f>
        <v>5.3209999999999997</v>
      </c>
      <c r="H275" s="64">
        <f>9.6627* CHOOSE(CONTROL!$C$22, $C$13, 100%, $E$13)</f>
        <v>9.6626999999999992</v>
      </c>
      <c r="I275" s="64">
        <f>9.6628 * CHOOSE(CONTROL!$C$22, $C$13, 100%, $E$13)</f>
        <v>9.6628000000000007</v>
      </c>
      <c r="J275" s="64">
        <f>5.3208 * CHOOSE(CONTROL!$C$22, $C$13, 100%, $E$13)</f>
        <v>5.3208000000000002</v>
      </c>
      <c r="K275" s="64">
        <f>5.321 * CHOOSE(CONTROL!$C$22, $C$13, 100%, $E$13)</f>
        <v>5.3209999999999997</v>
      </c>
    </row>
    <row r="276" spans="1:11" ht="15">
      <c r="A276" s="13">
        <v>50041</v>
      </c>
      <c r="B276" s="63">
        <f>4.6966 * CHOOSE(CONTROL!$C$22, $C$13, 100%, $E$13)</f>
        <v>4.6966000000000001</v>
      </c>
      <c r="C276" s="63">
        <f>4.6966 * CHOOSE(CONTROL!$C$22, $C$13, 100%, $E$13)</f>
        <v>4.6966000000000001</v>
      </c>
      <c r="D276" s="63">
        <f>4.7095 * CHOOSE(CONTROL!$C$22, $C$13, 100%, $E$13)</f>
        <v>4.7095000000000002</v>
      </c>
      <c r="E276" s="64">
        <f>5.3901 * CHOOSE(CONTROL!$C$22, $C$13, 100%, $E$13)</f>
        <v>5.3901000000000003</v>
      </c>
      <c r="F276" s="64">
        <f>5.3901 * CHOOSE(CONTROL!$C$22, $C$13, 100%, $E$13)</f>
        <v>5.3901000000000003</v>
      </c>
      <c r="G276" s="64">
        <f>5.3903 * CHOOSE(CONTROL!$C$22, $C$13, 100%, $E$13)</f>
        <v>5.3902999999999999</v>
      </c>
      <c r="H276" s="64">
        <f>9.6828* CHOOSE(CONTROL!$C$22, $C$13, 100%, $E$13)</f>
        <v>9.6828000000000003</v>
      </c>
      <c r="I276" s="64">
        <f>9.683 * CHOOSE(CONTROL!$C$22, $C$13, 100%, $E$13)</f>
        <v>9.6829999999999998</v>
      </c>
      <c r="J276" s="64">
        <f>5.3901 * CHOOSE(CONTROL!$C$22, $C$13, 100%, $E$13)</f>
        <v>5.3901000000000003</v>
      </c>
      <c r="K276" s="64">
        <f>5.3903 * CHOOSE(CONTROL!$C$22, $C$13, 100%, $E$13)</f>
        <v>5.3902999999999999</v>
      </c>
    </row>
    <row r="277" spans="1:11" ht="15">
      <c r="A277" s="13">
        <v>50072</v>
      </c>
      <c r="B277" s="63">
        <f>4.6936 * CHOOSE(CONTROL!$C$22, $C$13, 100%, $E$13)</f>
        <v>4.6936</v>
      </c>
      <c r="C277" s="63">
        <f>4.6936 * CHOOSE(CONTROL!$C$22, $C$13, 100%, $E$13)</f>
        <v>4.6936</v>
      </c>
      <c r="D277" s="63">
        <f>4.7064 * CHOOSE(CONTROL!$C$22, $C$13, 100%, $E$13)</f>
        <v>4.7064000000000004</v>
      </c>
      <c r="E277" s="64">
        <f>5.3291 * CHOOSE(CONTROL!$C$22, $C$13, 100%, $E$13)</f>
        <v>5.3291000000000004</v>
      </c>
      <c r="F277" s="64">
        <f>5.3291 * CHOOSE(CONTROL!$C$22, $C$13, 100%, $E$13)</f>
        <v>5.3291000000000004</v>
      </c>
      <c r="G277" s="64">
        <f>5.3293 * CHOOSE(CONTROL!$C$22, $C$13, 100%, $E$13)</f>
        <v>5.3292999999999999</v>
      </c>
      <c r="H277" s="64">
        <f>9.703* CHOOSE(CONTROL!$C$22, $C$13, 100%, $E$13)</f>
        <v>9.7029999999999994</v>
      </c>
      <c r="I277" s="64">
        <f>9.7031 * CHOOSE(CONTROL!$C$22, $C$13, 100%, $E$13)</f>
        <v>9.7030999999999992</v>
      </c>
      <c r="J277" s="64">
        <f>5.3291 * CHOOSE(CONTROL!$C$22, $C$13, 100%, $E$13)</f>
        <v>5.3291000000000004</v>
      </c>
      <c r="K277" s="64">
        <f>5.3293 * CHOOSE(CONTROL!$C$22, $C$13, 100%, $E$13)</f>
        <v>5.3292999999999999</v>
      </c>
    </row>
    <row r="278" spans="1:11" ht="15">
      <c r="A278" s="13">
        <v>50100</v>
      </c>
      <c r="B278" s="63">
        <f>4.6905 * CHOOSE(CONTROL!$C$22, $C$13, 100%, $E$13)</f>
        <v>4.6905000000000001</v>
      </c>
      <c r="C278" s="63">
        <f>4.6905 * CHOOSE(CONTROL!$C$22, $C$13, 100%, $E$13)</f>
        <v>4.6905000000000001</v>
      </c>
      <c r="D278" s="63">
        <f>4.7034 * CHOOSE(CONTROL!$C$22, $C$13, 100%, $E$13)</f>
        <v>4.7034000000000002</v>
      </c>
      <c r="E278" s="64">
        <f>5.3734 * CHOOSE(CONTROL!$C$22, $C$13, 100%, $E$13)</f>
        <v>5.3734000000000002</v>
      </c>
      <c r="F278" s="64">
        <f>5.3734 * CHOOSE(CONTROL!$C$22, $C$13, 100%, $E$13)</f>
        <v>5.3734000000000002</v>
      </c>
      <c r="G278" s="64">
        <f>5.3736 * CHOOSE(CONTROL!$C$22, $C$13, 100%, $E$13)</f>
        <v>5.3735999999999997</v>
      </c>
      <c r="H278" s="64">
        <f>9.7232* CHOOSE(CONTROL!$C$22, $C$13, 100%, $E$13)</f>
        <v>9.7232000000000003</v>
      </c>
      <c r="I278" s="64">
        <f>9.7234 * CHOOSE(CONTROL!$C$22, $C$13, 100%, $E$13)</f>
        <v>9.7233999999999998</v>
      </c>
      <c r="J278" s="64">
        <f>5.3734 * CHOOSE(CONTROL!$C$22, $C$13, 100%, $E$13)</f>
        <v>5.3734000000000002</v>
      </c>
      <c r="K278" s="64">
        <f>5.3736 * CHOOSE(CONTROL!$C$22, $C$13, 100%, $E$13)</f>
        <v>5.3735999999999997</v>
      </c>
    </row>
    <row r="279" spans="1:11" ht="15">
      <c r="A279" s="13">
        <v>50131</v>
      </c>
      <c r="B279" s="63">
        <f>4.6888 * CHOOSE(CONTROL!$C$22, $C$13, 100%, $E$13)</f>
        <v>4.6887999999999996</v>
      </c>
      <c r="C279" s="63">
        <f>4.6888 * CHOOSE(CONTROL!$C$22, $C$13, 100%, $E$13)</f>
        <v>4.6887999999999996</v>
      </c>
      <c r="D279" s="63">
        <f>4.7017 * CHOOSE(CONTROL!$C$22, $C$13, 100%, $E$13)</f>
        <v>4.7016999999999998</v>
      </c>
      <c r="E279" s="64">
        <f>5.4191 * CHOOSE(CONTROL!$C$22, $C$13, 100%, $E$13)</f>
        <v>5.4191000000000003</v>
      </c>
      <c r="F279" s="64">
        <f>5.4191 * CHOOSE(CONTROL!$C$22, $C$13, 100%, $E$13)</f>
        <v>5.4191000000000003</v>
      </c>
      <c r="G279" s="64">
        <f>5.4192 * CHOOSE(CONTROL!$C$22, $C$13, 100%, $E$13)</f>
        <v>5.4192</v>
      </c>
      <c r="H279" s="64">
        <f>9.7434* CHOOSE(CONTROL!$C$22, $C$13, 100%, $E$13)</f>
        <v>9.7433999999999994</v>
      </c>
      <c r="I279" s="64">
        <f>9.7436 * CHOOSE(CONTROL!$C$22, $C$13, 100%, $E$13)</f>
        <v>9.7436000000000007</v>
      </c>
      <c r="J279" s="64">
        <f>5.4191 * CHOOSE(CONTROL!$C$22, $C$13, 100%, $E$13)</f>
        <v>5.4191000000000003</v>
      </c>
      <c r="K279" s="64">
        <f>5.4192 * CHOOSE(CONTROL!$C$22, $C$13, 100%, $E$13)</f>
        <v>5.4192</v>
      </c>
    </row>
    <row r="280" spans="1:11" ht="15">
      <c r="A280" s="13">
        <v>50161</v>
      </c>
      <c r="B280" s="63">
        <f>4.6888 * CHOOSE(CONTROL!$C$22, $C$13, 100%, $E$13)</f>
        <v>4.6887999999999996</v>
      </c>
      <c r="C280" s="63">
        <f>4.6888 * CHOOSE(CONTROL!$C$22, $C$13, 100%, $E$13)</f>
        <v>4.6887999999999996</v>
      </c>
      <c r="D280" s="63">
        <f>4.7146 * CHOOSE(CONTROL!$C$22, $C$13, 100%, $E$13)</f>
        <v>4.7145999999999999</v>
      </c>
      <c r="E280" s="64">
        <f>5.4378 * CHOOSE(CONTROL!$C$22, $C$13, 100%, $E$13)</f>
        <v>5.4378000000000002</v>
      </c>
      <c r="F280" s="64">
        <f>5.4378 * CHOOSE(CONTROL!$C$22, $C$13, 100%, $E$13)</f>
        <v>5.4378000000000002</v>
      </c>
      <c r="G280" s="64">
        <f>5.4394 * CHOOSE(CONTROL!$C$22, $C$13, 100%, $E$13)</f>
        <v>5.4394</v>
      </c>
      <c r="H280" s="64">
        <f>9.7637* CHOOSE(CONTROL!$C$22, $C$13, 100%, $E$13)</f>
        <v>9.7637</v>
      </c>
      <c r="I280" s="64">
        <f>9.7654 * CHOOSE(CONTROL!$C$22, $C$13, 100%, $E$13)</f>
        <v>9.7653999999999996</v>
      </c>
      <c r="J280" s="64">
        <f>5.4378 * CHOOSE(CONTROL!$C$22, $C$13, 100%, $E$13)</f>
        <v>5.4378000000000002</v>
      </c>
      <c r="K280" s="64">
        <f>5.4394 * CHOOSE(CONTROL!$C$22, $C$13, 100%, $E$13)</f>
        <v>5.4394</v>
      </c>
    </row>
    <row r="281" spans="1:11" ht="15">
      <c r="A281" s="13">
        <v>50192</v>
      </c>
      <c r="B281" s="63">
        <f>4.6949 * CHOOSE(CONTROL!$C$22, $C$13, 100%, $E$13)</f>
        <v>4.6948999999999996</v>
      </c>
      <c r="C281" s="63">
        <f>4.6949 * CHOOSE(CONTROL!$C$22, $C$13, 100%, $E$13)</f>
        <v>4.6948999999999996</v>
      </c>
      <c r="D281" s="63">
        <f>4.7207 * CHOOSE(CONTROL!$C$22, $C$13, 100%, $E$13)</f>
        <v>4.7206999999999999</v>
      </c>
      <c r="E281" s="64">
        <f>5.4233 * CHOOSE(CONTROL!$C$22, $C$13, 100%, $E$13)</f>
        <v>5.4233000000000002</v>
      </c>
      <c r="F281" s="64">
        <f>5.4233 * CHOOSE(CONTROL!$C$22, $C$13, 100%, $E$13)</f>
        <v>5.4233000000000002</v>
      </c>
      <c r="G281" s="64">
        <f>5.4249 * CHOOSE(CONTROL!$C$22, $C$13, 100%, $E$13)</f>
        <v>5.4249000000000001</v>
      </c>
      <c r="H281" s="64">
        <f>9.7841* CHOOSE(CONTROL!$C$22, $C$13, 100%, $E$13)</f>
        <v>9.7841000000000005</v>
      </c>
      <c r="I281" s="64">
        <f>9.7857 * CHOOSE(CONTROL!$C$22, $C$13, 100%, $E$13)</f>
        <v>9.7857000000000003</v>
      </c>
      <c r="J281" s="64">
        <f>5.4233 * CHOOSE(CONTROL!$C$22, $C$13, 100%, $E$13)</f>
        <v>5.4233000000000002</v>
      </c>
      <c r="K281" s="64">
        <f>5.4249 * CHOOSE(CONTROL!$C$22, $C$13, 100%, $E$13)</f>
        <v>5.4249000000000001</v>
      </c>
    </row>
    <row r="282" spans="1:11" ht="15">
      <c r="A282" s="13">
        <v>50222</v>
      </c>
      <c r="B282" s="63">
        <f>4.7758 * CHOOSE(CONTROL!$C$22, $C$13, 100%, $E$13)</f>
        <v>4.7758000000000003</v>
      </c>
      <c r="C282" s="63">
        <f>4.7758 * CHOOSE(CONTROL!$C$22, $C$13, 100%, $E$13)</f>
        <v>4.7758000000000003</v>
      </c>
      <c r="D282" s="63">
        <f>4.8015 * CHOOSE(CONTROL!$C$22, $C$13, 100%, $E$13)</f>
        <v>4.8014999999999999</v>
      </c>
      <c r="E282" s="64">
        <f>5.5312 * CHOOSE(CONTROL!$C$22, $C$13, 100%, $E$13)</f>
        <v>5.5312000000000001</v>
      </c>
      <c r="F282" s="64">
        <f>5.5312 * CHOOSE(CONTROL!$C$22, $C$13, 100%, $E$13)</f>
        <v>5.5312000000000001</v>
      </c>
      <c r="G282" s="64">
        <f>5.5328 * CHOOSE(CONTROL!$C$22, $C$13, 100%, $E$13)</f>
        <v>5.5327999999999999</v>
      </c>
      <c r="H282" s="64">
        <f>9.8045* CHOOSE(CONTROL!$C$22, $C$13, 100%, $E$13)</f>
        <v>9.8045000000000009</v>
      </c>
      <c r="I282" s="64">
        <f>9.8061 * CHOOSE(CONTROL!$C$22, $C$13, 100%, $E$13)</f>
        <v>9.8061000000000007</v>
      </c>
      <c r="J282" s="64">
        <f>5.5312 * CHOOSE(CONTROL!$C$22, $C$13, 100%, $E$13)</f>
        <v>5.5312000000000001</v>
      </c>
      <c r="K282" s="64">
        <f>5.5328 * CHOOSE(CONTROL!$C$22, $C$13, 100%, $E$13)</f>
        <v>5.5327999999999999</v>
      </c>
    </row>
    <row r="283" spans="1:11" ht="15">
      <c r="A283" s="13">
        <v>50253</v>
      </c>
      <c r="B283" s="63">
        <f>4.7825 * CHOOSE(CONTROL!$C$22, $C$13, 100%, $E$13)</f>
        <v>4.7824999999999998</v>
      </c>
      <c r="C283" s="63">
        <f>4.7825 * CHOOSE(CONTROL!$C$22, $C$13, 100%, $E$13)</f>
        <v>4.7824999999999998</v>
      </c>
      <c r="D283" s="63">
        <f>4.8082 * CHOOSE(CONTROL!$C$22, $C$13, 100%, $E$13)</f>
        <v>4.8082000000000003</v>
      </c>
      <c r="E283" s="64">
        <f>5.4797 * CHOOSE(CONTROL!$C$22, $C$13, 100%, $E$13)</f>
        <v>5.4797000000000002</v>
      </c>
      <c r="F283" s="64">
        <f>5.4797 * CHOOSE(CONTROL!$C$22, $C$13, 100%, $E$13)</f>
        <v>5.4797000000000002</v>
      </c>
      <c r="G283" s="64">
        <f>5.4814 * CHOOSE(CONTROL!$C$22, $C$13, 100%, $E$13)</f>
        <v>5.4813999999999998</v>
      </c>
      <c r="H283" s="64">
        <f>9.8249* CHOOSE(CONTROL!$C$22, $C$13, 100%, $E$13)</f>
        <v>9.8248999999999995</v>
      </c>
      <c r="I283" s="64">
        <f>9.8265 * CHOOSE(CONTROL!$C$22, $C$13, 100%, $E$13)</f>
        <v>9.8264999999999993</v>
      </c>
      <c r="J283" s="64">
        <f>5.4797 * CHOOSE(CONTROL!$C$22, $C$13, 100%, $E$13)</f>
        <v>5.4797000000000002</v>
      </c>
      <c r="K283" s="64">
        <f>5.4814 * CHOOSE(CONTROL!$C$22, $C$13, 100%, $E$13)</f>
        <v>5.4813999999999998</v>
      </c>
    </row>
    <row r="284" spans="1:11" ht="15">
      <c r="A284" s="13">
        <v>50284</v>
      </c>
      <c r="B284" s="63">
        <f>4.7794 * CHOOSE(CONTROL!$C$22, $C$13, 100%, $E$13)</f>
        <v>4.7793999999999999</v>
      </c>
      <c r="C284" s="63">
        <f>4.7794 * CHOOSE(CONTROL!$C$22, $C$13, 100%, $E$13)</f>
        <v>4.7793999999999999</v>
      </c>
      <c r="D284" s="63">
        <f>4.8052 * CHOOSE(CONTROL!$C$22, $C$13, 100%, $E$13)</f>
        <v>4.8052000000000001</v>
      </c>
      <c r="E284" s="64">
        <f>5.4714 * CHOOSE(CONTROL!$C$22, $C$13, 100%, $E$13)</f>
        <v>5.4714</v>
      </c>
      <c r="F284" s="64">
        <f>5.4714 * CHOOSE(CONTROL!$C$22, $C$13, 100%, $E$13)</f>
        <v>5.4714</v>
      </c>
      <c r="G284" s="64">
        <f>5.473 * CHOOSE(CONTROL!$C$22, $C$13, 100%, $E$13)</f>
        <v>5.4729999999999999</v>
      </c>
      <c r="H284" s="64">
        <f>9.8454* CHOOSE(CONTROL!$C$22, $C$13, 100%, $E$13)</f>
        <v>9.8453999999999997</v>
      </c>
      <c r="I284" s="64">
        <f>9.847 * CHOOSE(CONTROL!$C$22, $C$13, 100%, $E$13)</f>
        <v>9.8469999999999995</v>
      </c>
      <c r="J284" s="64">
        <f>5.4714 * CHOOSE(CONTROL!$C$22, $C$13, 100%, $E$13)</f>
        <v>5.4714</v>
      </c>
      <c r="K284" s="64">
        <f>5.473 * CHOOSE(CONTROL!$C$22, $C$13, 100%, $E$13)</f>
        <v>5.4729999999999999</v>
      </c>
    </row>
    <row r="285" spans="1:11" ht="15">
      <c r="A285" s="13">
        <v>50314</v>
      </c>
      <c r="B285" s="63">
        <f>4.7773 * CHOOSE(CONTROL!$C$22, $C$13, 100%, $E$13)</f>
        <v>4.7773000000000003</v>
      </c>
      <c r="C285" s="63">
        <f>4.7773 * CHOOSE(CONTROL!$C$22, $C$13, 100%, $E$13)</f>
        <v>4.7773000000000003</v>
      </c>
      <c r="D285" s="63">
        <f>4.7902 * CHOOSE(CONTROL!$C$22, $C$13, 100%, $E$13)</f>
        <v>4.7901999999999996</v>
      </c>
      <c r="E285" s="64">
        <f>5.4829 * CHOOSE(CONTROL!$C$22, $C$13, 100%, $E$13)</f>
        <v>5.4828999999999999</v>
      </c>
      <c r="F285" s="64">
        <f>5.4829 * CHOOSE(CONTROL!$C$22, $C$13, 100%, $E$13)</f>
        <v>5.4828999999999999</v>
      </c>
      <c r="G285" s="64">
        <f>5.4831 * CHOOSE(CONTROL!$C$22, $C$13, 100%, $E$13)</f>
        <v>5.4831000000000003</v>
      </c>
      <c r="H285" s="64">
        <f>9.8659* CHOOSE(CONTROL!$C$22, $C$13, 100%, $E$13)</f>
        <v>9.8658999999999999</v>
      </c>
      <c r="I285" s="64">
        <f>9.866 * CHOOSE(CONTROL!$C$22, $C$13, 100%, $E$13)</f>
        <v>9.8659999999999997</v>
      </c>
      <c r="J285" s="64">
        <f>5.4829 * CHOOSE(CONTROL!$C$22, $C$13, 100%, $E$13)</f>
        <v>5.4828999999999999</v>
      </c>
      <c r="K285" s="64">
        <f>5.4831 * CHOOSE(CONTROL!$C$22, $C$13, 100%, $E$13)</f>
        <v>5.4831000000000003</v>
      </c>
    </row>
    <row r="286" spans="1:11" ht="15">
      <c r="A286" s="13">
        <v>50345</v>
      </c>
      <c r="B286" s="63">
        <f>4.7804 * CHOOSE(CONTROL!$C$22, $C$13, 100%, $E$13)</f>
        <v>4.7804000000000002</v>
      </c>
      <c r="C286" s="63">
        <f>4.7804 * CHOOSE(CONTROL!$C$22, $C$13, 100%, $E$13)</f>
        <v>4.7804000000000002</v>
      </c>
      <c r="D286" s="63">
        <f>4.7932 * CHOOSE(CONTROL!$C$22, $C$13, 100%, $E$13)</f>
        <v>4.7931999999999997</v>
      </c>
      <c r="E286" s="64">
        <f>5.4975 * CHOOSE(CONTROL!$C$22, $C$13, 100%, $E$13)</f>
        <v>5.4974999999999996</v>
      </c>
      <c r="F286" s="64">
        <f>5.4975 * CHOOSE(CONTROL!$C$22, $C$13, 100%, $E$13)</f>
        <v>5.4974999999999996</v>
      </c>
      <c r="G286" s="64">
        <f>5.4977 * CHOOSE(CONTROL!$C$22, $C$13, 100%, $E$13)</f>
        <v>5.4977</v>
      </c>
      <c r="H286" s="64">
        <f>9.8864* CHOOSE(CONTROL!$C$22, $C$13, 100%, $E$13)</f>
        <v>9.8864000000000001</v>
      </c>
      <c r="I286" s="64">
        <f>9.8866 * CHOOSE(CONTROL!$C$22, $C$13, 100%, $E$13)</f>
        <v>9.8865999999999996</v>
      </c>
      <c r="J286" s="64">
        <f>5.4975 * CHOOSE(CONTROL!$C$22, $C$13, 100%, $E$13)</f>
        <v>5.4974999999999996</v>
      </c>
      <c r="K286" s="64">
        <f>5.4977 * CHOOSE(CONTROL!$C$22, $C$13, 100%, $E$13)</f>
        <v>5.4977</v>
      </c>
    </row>
    <row r="287" spans="1:11" ht="15">
      <c r="A287" s="13">
        <v>50375</v>
      </c>
      <c r="B287" s="63">
        <f>4.7804 * CHOOSE(CONTROL!$C$22, $C$13, 100%, $E$13)</f>
        <v>4.7804000000000002</v>
      </c>
      <c r="C287" s="63">
        <f>4.7804 * CHOOSE(CONTROL!$C$22, $C$13, 100%, $E$13)</f>
        <v>4.7804000000000002</v>
      </c>
      <c r="D287" s="63">
        <f>4.7932 * CHOOSE(CONTROL!$C$22, $C$13, 100%, $E$13)</f>
        <v>4.7931999999999997</v>
      </c>
      <c r="E287" s="64">
        <f>5.4663 * CHOOSE(CONTROL!$C$22, $C$13, 100%, $E$13)</f>
        <v>5.4663000000000004</v>
      </c>
      <c r="F287" s="64">
        <f>5.4663 * CHOOSE(CONTROL!$C$22, $C$13, 100%, $E$13)</f>
        <v>5.4663000000000004</v>
      </c>
      <c r="G287" s="64">
        <f>5.4665 * CHOOSE(CONTROL!$C$22, $C$13, 100%, $E$13)</f>
        <v>5.4664999999999999</v>
      </c>
      <c r="H287" s="64">
        <f>9.907* CHOOSE(CONTROL!$C$22, $C$13, 100%, $E$13)</f>
        <v>9.907</v>
      </c>
      <c r="I287" s="64">
        <f>9.9072 * CHOOSE(CONTROL!$C$22, $C$13, 100%, $E$13)</f>
        <v>9.9071999999999996</v>
      </c>
      <c r="J287" s="64">
        <f>5.4663 * CHOOSE(CONTROL!$C$22, $C$13, 100%, $E$13)</f>
        <v>5.4663000000000004</v>
      </c>
      <c r="K287" s="64">
        <f>5.4665 * CHOOSE(CONTROL!$C$22, $C$13, 100%, $E$13)</f>
        <v>5.4664999999999999</v>
      </c>
    </row>
    <row r="288" spans="1:11" ht="15">
      <c r="A288" s="13">
        <v>50406</v>
      </c>
      <c r="B288" s="63">
        <f>4.8249 * CHOOSE(CONTROL!$C$22, $C$13, 100%, $E$13)</f>
        <v>4.8249000000000004</v>
      </c>
      <c r="C288" s="63">
        <f>4.8249 * CHOOSE(CONTROL!$C$22, $C$13, 100%, $E$13)</f>
        <v>4.8249000000000004</v>
      </c>
      <c r="D288" s="63">
        <f>4.8378 * CHOOSE(CONTROL!$C$22, $C$13, 100%, $E$13)</f>
        <v>4.8377999999999997</v>
      </c>
      <c r="E288" s="64">
        <f>5.5383 * CHOOSE(CONTROL!$C$22, $C$13, 100%, $E$13)</f>
        <v>5.5382999999999996</v>
      </c>
      <c r="F288" s="64">
        <f>5.5383 * CHOOSE(CONTROL!$C$22, $C$13, 100%, $E$13)</f>
        <v>5.5382999999999996</v>
      </c>
      <c r="G288" s="64">
        <f>5.5385 * CHOOSE(CONTROL!$C$22, $C$13, 100%, $E$13)</f>
        <v>5.5385</v>
      </c>
      <c r="H288" s="64">
        <f>9.9277* CHOOSE(CONTROL!$C$22, $C$13, 100%, $E$13)</f>
        <v>9.9276999999999997</v>
      </c>
      <c r="I288" s="64">
        <f>9.9278 * CHOOSE(CONTROL!$C$22, $C$13, 100%, $E$13)</f>
        <v>9.9277999999999995</v>
      </c>
      <c r="J288" s="64">
        <f>5.5383 * CHOOSE(CONTROL!$C$22, $C$13, 100%, $E$13)</f>
        <v>5.5382999999999996</v>
      </c>
      <c r="K288" s="64">
        <f>5.5385 * CHOOSE(CONTROL!$C$22, $C$13, 100%, $E$13)</f>
        <v>5.5385</v>
      </c>
    </row>
    <row r="289" spans="1:11" ht="15">
      <c r="A289" s="13">
        <v>50437</v>
      </c>
      <c r="B289" s="63">
        <f>4.8219 * CHOOSE(CONTROL!$C$22, $C$13, 100%, $E$13)</f>
        <v>4.8219000000000003</v>
      </c>
      <c r="C289" s="63">
        <f>4.8219 * CHOOSE(CONTROL!$C$22, $C$13, 100%, $E$13)</f>
        <v>4.8219000000000003</v>
      </c>
      <c r="D289" s="63">
        <f>4.8347 * CHOOSE(CONTROL!$C$22, $C$13, 100%, $E$13)</f>
        <v>4.8346999999999998</v>
      </c>
      <c r="E289" s="64">
        <f>5.4757 * CHOOSE(CONTROL!$C$22, $C$13, 100%, $E$13)</f>
        <v>5.4756999999999998</v>
      </c>
      <c r="F289" s="64">
        <f>5.4757 * CHOOSE(CONTROL!$C$22, $C$13, 100%, $E$13)</f>
        <v>5.4756999999999998</v>
      </c>
      <c r="G289" s="64">
        <f>5.4759 * CHOOSE(CONTROL!$C$22, $C$13, 100%, $E$13)</f>
        <v>5.4759000000000002</v>
      </c>
      <c r="H289" s="64">
        <f>9.9483* CHOOSE(CONTROL!$C$22, $C$13, 100%, $E$13)</f>
        <v>9.9482999999999997</v>
      </c>
      <c r="I289" s="64">
        <f>9.9485 * CHOOSE(CONTROL!$C$22, $C$13, 100%, $E$13)</f>
        <v>9.9484999999999992</v>
      </c>
      <c r="J289" s="64">
        <f>5.4757 * CHOOSE(CONTROL!$C$22, $C$13, 100%, $E$13)</f>
        <v>5.4756999999999998</v>
      </c>
      <c r="K289" s="64">
        <f>5.4759 * CHOOSE(CONTROL!$C$22, $C$13, 100%, $E$13)</f>
        <v>5.4759000000000002</v>
      </c>
    </row>
    <row r="290" spans="1:11" ht="15">
      <c r="A290" s="13">
        <v>50465</v>
      </c>
      <c r="B290" s="63">
        <f>4.8188 * CHOOSE(CONTROL!$C$22, $C$13, 100%, $E$13)</f>
        <v>4.8188000000000004</v>
      </c>
      <c r="C290" s="63">
        <f>4.8188 * CHOOSE(CONTROL!$C$22, $C$13, 100%, $E$13)</f>
        <v>4.8188000000000004</v>
      </c>
      <c r="D290" s="63">
        <f>4.8317 * CHOOSE(CONTROL!$C$22, $C$13, 100%, $E$13)</f>
        <v>4.8316999999999997</v>
      </c>
      <c r="E290" s="64">
        <f>5.5212 * CHOOSE(CONTROL!$C$22, $C$13, 100%, $E$13)</f>
        <v>5.5212000000000003</v>
      </c>
      <c r="F290" s="64">
        <f>5.5212 * CHOOSE(CONTROL!$C$22, $C$13, 100%, $E$13)</f>
        <v>5.5212000000000003</v>
      </c>
      <c r="G290" s="64">
        <f>5.5214 * CHOOSE(CONTROL!$C$22, $C$13, 100%, $E$13)</f>
        <v>5.5213999999999999</v>
      </c>
      <c r="H290" s="64">
        <f>9.9691* CHOOSE(CONTROL!$C$22, $C$13, 100%, $E$13)</f>
        <v>9.9690999999999992</v>
      </c>
      <c r="I290" s="64">
        <f>9.9692 * CHOOSE(CONTROL!$C$22, $C$13, 100%, $E$13)</f>
        <v>9.9692000000000007</v>
      </c>
      <c r="J290" s="64">
        <f>5.5212 * CHOOSE(CONTROL!$C$22, $C$13, 100%, $E$13)</f>
        <v>5.5212000000000003</v>
      </c>
      <c r="K290" s="64">
        <f>5.5214 * CHOOSE(CONTROL!$C$22, $C$13, 100%, $E$13)</f>
        <v>5.5213999999999999</v>
      </c>
    </row>
    <row r="291" spans="1:11" ht="15">
      <c r="A291" s="13">
        <v>50496</v>
      </c>
      <c r="B291" s="63">
        <f>4.8172 * CHOOSE(CONTROL!$C$22, $C$13, 100%, $E$13)</f>
        <v>4.8171999999999997</v>
      </c>
      <c r="C291" s="63">
        <f>4.8172 * CHOOSE(CONTROL!$C$22, $C$13, 100%, $E$13)</f>
        <v>4.8171999999999997</v>
      </c>
      <c r="D291" s="63">
        <f>4.8301 * CHOOSE(CONTROL!$C$22, $C$13, 100%, $E$13)</f>
        <v>4.8300999999999998</v>
      </c>
      <c r="E291" s="64">
        <f>5.5682 * CHOOSE(CONTROL!$C$22, $C$13, 100%, $E$13)</f>
        <v>5.5682</v>
      </c>
      <c r="F291" s="64">
        <f>5.5682 * CHOOSE(CONTROL!$C$22, $C$13, 100%, $E$13)</f>
        <v>5.5682</v>
      </c>
      <c r="G291" s="64">
        <f>5.5684 * CHOOSE(CONTROL!$C$22, $C$13, 100%, $E$13)</f>
        <v>5.5683999999999996</v>
      </c>
      <c r="H291" s="64">
        <f>9.9898* CHOOSE(CONTROL!$C$22, $C$13, 100%, $E$13)</f>
        <v>9.9898000000000007</v>
      </c>
      <c r="I291" s="64">
        <f>9.99 * CHOOSE(CONTROL!$C$22, $C$13, 100%, $E$13)</f>
        <v>9.99</v>
      </c>
      <c r="J291" s="64">
        <f>5.5682 * CHOOSE(CONTROL!$C$22, $C$13, 100%, $E$13)</f>
        <v>5.5682</v>
      </c>
      <c r="K291" s="64">
        <f>5.5684 * CHOOSE(CONTROL!$C$22, $C$13, 100%, $E$13)</f>
        <v>5.5683999999999996</v>
      </c>
    </row>
    <row r="292" spans="1:11" ht="15">
      <c r="A292" s="13">
        <v>50526</v>
      </c>
      <c r="B292" s="63">
        <f>4.8172 * CHOOSE(CONTROL!$C$22, $C$13, 100%, $E$13)</f>
        <v>4.8171999999999997</v>
      </c>
      <c r="C292" s="63">
        <f>4.8172 * CHOOSE(CONTROL!$C$22, $C$13, 100%, $E$13)</f>
        <v>4.8171999999999997</v>
      </c>
      <c r="D292" s="63">
        <f>4.843 * CHOOSE(CONTROL!$C$22, $C$13, 100%, $E$13)</f>
        <v>4.843</v>
      </c>
      <c r="E292" s="64">
        <f>5.5874 * CHOOSE(CONTROL!$C$22, $C$13, 100%, $E$13)</f>
        <v>5.5873999999999997</v>
      </c>
      <c r="F292" s="64">
        <f>5.5874 * CHOOSE(CONTROL!$C$22, $C$13, 100%, $E$13)</f>
        <v>5.5873999999999997</v>
      </c>
      <c r="G292" s="64">
        <f>5.589 * CHOOSE(CONTROL!$C$22, $C$13, 100%, $E$13)</f>
        <v>5.5890000000000004</v>
      </c>
      <c r="H292" s="64">
        <f>10.0107* CHOOSE(CONTROL!$C$22, $C$13, 100%, $E$13)</f>
        <v>10.0107</v>
      </c>
      <c r="I292" s="64">
        <f>10.0123 * CHOOSE(CONTROL!$C$22, $C$13, 100%, $E$13)</f>
        <v>10.0123</v>
      </c>
      <c r="J292" s="64">
        <f>5.5874 * CHOOSE(CONTROL!$C$22, $C$13, 100%, $E$13)</f>
        <v>5.5873999999999997</v>
      </c>
      <c r="K292" s="64">
        <f>5.589 * CHOOSE(CONTROL!$C$22, $C$13, 100%, $E$13)</f>
        <v>5.5890000000000004</v>
      </c>
    </row>
    <row r="293" spans="1:11" ht="15">
      <c r="A293" s="13">
        <v>50557</v>
      </c>
      <c r="B293" s="63">
        <f>4.8233 * CHOOSE(CONTROL!$C$22, $C$13, 100%, $E$13)</f>
        <v>4.8232999999999997</v>
      </c>
      <c r="C293" s="63">
        <f>4.8233 * CHOOSE(CONTROL!$C$22, $C$13, 100%, $E$13)</f>
        <v>4.8232999999999997</v>
      </c>
      <c r="D293" s="63">
        <f>4.8491 * CHOOSE(CONTROL!$C$22, $C$13, 100%, $E$13)</f>
        <v>4.8491</v>
      </c>
      <c r="E293" s="64">
        <f>5.5724 * CHOOSE(CONTROL!$C$22, $C$13, 100%, $E$13)</f>
        <v>5.5724</v>
      </c>
      <c r="F293" s="64">
        <f>5.5724 * CHOOSE(CONTROL!$C$22, $C$13, 100%, $E$13)</f>
        <v>5.5724</v>
      </c>
      <c r="G293" s="64">
        <f>5.5741 * CHOOSE(CONTROL!$C$22, $C$13, 100%, $E$13)</f>
        <v>5.5740999999999996</v>
      </c>
      <c r="H293" s="64">
        <f>10.0315* CHOOSE(CONTROL!$C$22, $C$13, 100%, $E$13)</f>
        <v>10.031499999999999</v>
      </c>
      <c r="I293" s="64">
        <f>10.0331 * CHOOSE(CONTROL!$C$22, $C$13, 100%, $E$13)</f>
        <v>10.033099999999999</v>
      </c>
      <c r="J293" s="64">
        <f>5.5724 * CHOOSE(CONTROL!$C$22, $C$13, 100%, $E$13)</f>
        <v>5.5724</v>
      </c>
      <c r="K293" s="64">
        <f>5.5741 * CHOOSE(CONTROL!$C$22, $C$13, 100%, $E$13)</f>
        <v>5.5740999999999996</v>
      </c>
    </row>
    <row r="294" spans="1:11" ht="15">
      <c r="A294" s="13">
        <v>50587</v>
      </c>
      <c r="B294" s="63">
        <f>4.9066 * CHOOSE(CONTROL!$C$22, $C$13, 100%, $E$13)</f>
        <v>4.9066000000000001</v>
      </c>
      <c r="C294" s="63">
        <f>4.9066 * CHOOSE(CONTROL!$C$22, $C$13, 100%, $E$13)</f>
        <v>4.9066000000000001</v>
      </c>
      <c r="D294" s="63">
        <f>4.9323 * CHOOSE(CONTROL!$C$22, $C$13, 100%, $E$13)</f>
        <v>4.9322999999999997</v>
      </c>
      <c r="E294" s="64">
        <f>5.6862 * CHOOSE(CONTROL!$C$22, $C$13, 100%, $E$13)</f>
        <v>5.6862000000000004</v>
      </c>
      <c r="F294" s="64">
        <f>5.6862 * CHOOSE(CONTROL!$C$22, $C$13, 100%, $E$13)</f>
        <v>5.6862000000000004</v>
      </c>
      <c r="G294" s="64">
        <f>5.6878 * CHOOSE(CONTROL!$C$22, $C$13, 100%, $E$13)</f>
        <v>5.6878000000000002</v>
      </c>
      <c r="H294" s="64">
        <f>10.0524* CHOOSE(CONTROL!$C$22, $C$13, 100%, $E$13)</f>
        <v>10.0524</v>
      </c>
      <c r="I294" s="64">
        <f>10.054 * CHOOSE(CONTROL!$C$22, $C$13, 100%, $E$13)</f>
        <v>10.054</v>
      </c>
      <c r="J294" s="64">
        <f>5.6862 * CHOOSE(CONTROL!$C$22, $C$13, 100%, $E$13)</f>
        <v>5.6862000000000004</v>
      </c>
      <c r="K294" s="64">
        <f>5.6878 * CHOOSE(CONTROL!$C$22, $C$13, 100%, $E$13)</f>
        <v>5.6878000000000002</v>
      </c>
    </row>
    <row r="295" spans="1:11" ht="15">
      <c r="A295" s="13">
        <v>50618</v>
      </c>
      <c r="B295" s="63">
        <f>4.9133 * CHOOSE(CONTROL!$C$22, $C$13, 100%, $E$13)</f>
        <v>4.9132999999999996</v>
      </c>
      <c r="C295" s="63">
        <f>4.9133 * CHOOSE(CONTROL!$C$22, $C$13, 100%, $E$13)</f>
        <v>4.9132999999999996</v>
      </c>
      <c r="D295" s="63">
        <f>4.939 * CHOOSE(CONTROL!$C$22, $C$13, 100%, $E$13)</f>
        <v>4.9390000000000001</v>
      </c>
      <c r="E295" s="64">
        <f>5.6332 * CHOOSE(CONTROL!$C$22, $C$13, 100%, $E$13)</f>
        <v>5.6332000000000004</v>
      </c>
      <c r="F295" s="64">
        <f>5.6332 * CHOOSE(CONTROL!$C$22, $C$13, 100%, $E$13)</f>
        <v>5.6332000000000004</v>
      </c>
      <c r="G295" s="64">
        <f>5.6349 * CHOOSE(CONTROL!$C$22, $C$13, 100%, $E$13)</f>
        <v>5.6349</v>
      </c>
      <c r="H295" s="64">
        <f>10.0733* CHOOSE(CONTROL!$C$22, $C$13, 100%, $E$13)</f>
        <v>10.0733</v>
      </c>
      <c r="I295" s="64">
        <f>10.075 * CHOOSE(CONTROL!$C$22, $C$13, 100%, $E$13)</f>
        <v>10.074999999999999</v>
      </c>
      <c r="J295" s="64">
        <f>5.6332 * CHOOSE(CONTROL!$C$22, $C$13, 100%, $E$13)</f>
        <v>5.6332000000000004</v>
      </c>
      <c r="K295" s="64">
        <f>5.6349 * CHOOSE(CONTROL!$C$22, $C$13, 100%, $E$13)</f>
        <v>5.6349</v>
      </c>
    </row>
    <row r="296" spans="1:11" ht="15">
      <c r="A296" s="13">
        <v>50649</v>
      </c>
      <c r="B296" s="63">
        <f>4.9102 * CHOOSE(CONTROL!$C$22, $C$13, 100%, $E$13)</f>
        <v>4.9101999999999997</v>
      </c>
      <c r="C296" s="63">
        <f>4.9102 * CHOOSE(CONTROL!$C$22, $C$13, 100%, $E$13)</f>
        <v>4.9101999999999997</v>
      </c>
      <c r="D296" s="63">
        <f>4.936 * CHOOSE(CONTROL!$C$22, $C$13, 100%, $E$13)</f>
        <v>4.9359999999999999</v>
      </c>
      <c r="E296" s="64">
        <f>5.6247 * CHOOSE(CONTROL!$C$22, $C$13, 100%, $E$13)</f>
        <v>5.6246999999999998</v>
      </c>
      <c r="F296" s="64">
        <f>5.6247 * CHOOSE(CONTROL!$C$22, $C$13, 100%, $E$13)</f>
        <v>5.6246999999999998</v>
      </c>
      <c r="G296" s="64">
        <f>5.6263 * CHOOSE(CONTROL!$C$22, $C$13, 100%, $E$13)</f>
        <v>5.6262999999999996</v>
      </c>
      <c r="H296" s="64">
        <f>10.0943* CHOOSE(CONTROL!$C$22, $C$13, 100%, $E$13)</f>
        <v>10.0943</v>
      </c>
      <c r="I296" s="64">
        <f>10.096 * CHOOSE(CONTROL!$C$22, $C$13, 100%, $E$13)</f>
        <v>10.096</v>
      </c>
      <c r="J296" s="64">
        <f>5.6247 * CHOOSE(CONTROL!$C$22, $C$13, 100%, $E$13)</f>
        <v>5.6246999999999998</v>
      </c>
      <c r="K296" s="64">
        <f>5.6263 * CHOOSE(CONTROL!$C$22, $C$13, 100%, $E$13)</f>
        <v>5.6262999999999996</v>
      </c>
    </row>
    <row r="297" spans="1:11" ht="15">
      <c r="A297" s="13">
        <v>50679</v>
      </c>
      <c r="B297" s="63">
        <f>4.9086 * CHOOSE(CONTROL!$C$22, $C$13, 100%, $E$13)</f>
        <v>4.9085999999999999</v>
      </c>
      <c r="C297" s="63">
        <f>4.9086 * CHOOSE(CONTROL!$C$22, $C$13, 100%, $E$13)</f>
        <v>4.9085999999999999</v>
      </c>
      <c r="D297" s="63">
        <f>4.9214 * CHOOSE(CONTROL!$C$22, $C$13, 100%, $E$13)</f>
        <v>4.9214000000000002</v>
      </c>
      <c r="E297" s="64">
        <f>5.6369 * CHOOSE(CONTROL!$C$22, $C$13, 100%, $E$13)</f>
        <v>5.6368999999999998</v>
      </c>
      <c r="F297" s="64">
        <f>5.6369 * CHOOSE(CONTROL!$C$22, $C$13, 100%, $E$13)</f>
        <v>5.6368999999999998</v>
      </c>
      <c r="G297" s="64">
        <f>5.6371 * CHOOSE(CONTROL!$C$22, $C$13, 100%, $E$13)</f>
        <v>5.6371000000000002</v>
      </c>
      <c r="H297" s="64">
        <f>10.1154* CHOOSE(CONTROL!$C$22, $C$13, 100%, $E$13)</f>
        <v>10.115399999999999</v>
      </c>
      <c r="I297" s="64">
        <f>10.1155 * CHOOSE(CONTROL!$C$22, $C$13, 100%, $E$13)</f>
        <v>10.115500000000001</v>
      </c>
      <c r="J297" s="64">
        <f>5.6369 * CHOOSE(CONTROL!$C$22, $C$13, 100%, $E$13)</f>
        <v>5.6368999999999998</v>
      </c>
      <c r="K297" s="64">
        <f>5.6371 * CHOOSE(CONTROL!$C$22, $C$13, 100%, $E$13)</f>
        <v>5.6371000000000002</v>
      </c>
    </row>
    <row r="298" spans="1:11" ht="15">
      <c r="A298" s="13">
        <v>50710</v>
      </c>
      <c r="B298" s="63">
        <f>4.9116 * CHOOSE(CONTROL!$C$22, $C$13, 100%, $E$13)</f>
        <v>4.9116</v>
      </c>
      <c r="C298" s="63">
        <f>4.9116 * CHOOSE(CONTROL!$C$22, $C$13, 100%, $E$13)</f>
        <v>4.9116</v>
      </c>
      <c r="D298" s="63">
        <f>4.9245 * CHOOSE(CONTROL!$C$22, $C$13, 100%, $E$13)</f>
        <v>4.9245000000000001</v>
      </c>
      <c r="E298" s="64">
        <f>5.6518 * CHOOSE(CONTROL!$C$22, $C$13, 100%, $E$13)</f>
        <v>5.6517999999999997</v>
      </c>
      <c r="F298" s="64">
        <f>5.6518 * CHOOSE(CONTROL!$C$22, $C$13, 100%, $E$13)</f>
        <v>5.6517999999999997</v>
      </c>
      <c r="G298" s="64">
        <f>5.652 * CHOOSE(CONTROL!$C$22, $C$13, 100%, $E$13)</f>
        <v>5.6520000000000001</v>
      </c>
      <c r="H298" s="64">
        <f>10.1364* CHOOSE(CONTROL!$C$22, $C$13, 100%, $E$13)</f>
        <v>10.1364</v>
      </c>
      <c r="I298" s="64">
        <f>10.1366 * CHOOSE(CONTROL!$C$22, $C$13, 100%, $E$13)</f>
        <v>10.1366</v>
      </c>
      <c r="J298" s="64">
        <f>5.6518 * CHOOSE(CONTROL!$C$22, $C$13, 100%, $E$13)</f>
        <v>5.6517999999999997</v>
      </c>
      <c r="K298" s="64">
        <f>5.652 * CHOOSE(CONTROL!$C$22, $C$13, 100%, $E$13)</f>
        <v>5.6520000000000001</v>
      </c>
    </row>
    <row r="299" spans="1:11" ht="15">
      <c r="A299" s="13">
        <v>50740</v>
      </c>
      <c r="B299" s="63">
        <f>4.9116 * CHOOSE(CONTROL!$C$22, $C$13, 100%, $E$13)</f>
        <v>4.9116</v>
      </c>
      <c r="C299" s="63">
        <f>4.9116 * CHOOSE(CONTROL!$C$22, $C$13, 100%, $E$13)</f>
        <v>4.9116</v>
      </c>
      <c r="D299" s="63">
        <f>4.9245 * CHOOSE(CONTROL!$C$22, $C$13, 100%, $E$13)</f>
        <v>4.9245000000000001</v>
      </c>
      <c r="E299" s="64">
        <f>5.6369 * CHOOSE(CONTROL!$C$22, $C$13, 100%, $E$13)</f>
        <v>5.6368999999999998</v>
      </c>
      <c r="F299" s="64">
        <f>5.6369 * CHOOSE(CONTROL!$C$22, $C$13, 100%, $E$13)</f>
        <v>5.6368999999999998</v>
      </c>
      <c r="G299" s="64">
        <f>5.6371 * CHOOSE(CONTROL!$C$22, $C$13, 100%, $E$13)</f>
        <v>5.6371000000000002</v>
      </c>
      <c r="H299" s="64">
        <f>10.1576* CHOOSE(CONTROL!$C$22, $C$13, 100%, $E$13)</f>
        <v>10.1576</v>
      </c>
      <c r="I299" s="64">
        <f>10.1577 * CHOOSE(CONTROL!$C$22, $C$13, 100%, $E$13)</f>
        <v>10.1577</v>
      </c>
      <c r="J299" s="64">
        <f>5.6369 * CHOOSE(CONTROL!$C$22, $C$13, 100%, $E$13)</f>
        <v>5.6368999999999998</v>
      </c>
      <c r="K299" s="64">
        <f>5.6371 * CHOOSE(CONTROL!$C$22, $C$13, 100%, $E$13)</f>
        <v>5.6371000000000002</v>
      </c>
    </row>
    <row r="300" spans="1:11" ht="15">
      <c r="A300" s="13">
        <v>50771</v>
      </c>
      <c r="B300" s="63">
        <f>4.9579 * CHOOSE(CONTROL!$C$22, $C$13, 100%, $E$13)</f>
        <v>4.9579000000000004</v>
      </c>
      <c r="C300" s="63">
        <f>4.9579 * CHOOSE(CONTROL!$C$22, $C$13, 100%, $E$13)</f>
        <v>4.9579000000000004</v>
      </c>
      <c r="D300" s="63">
        <f>4.9708 * CHOOSE(CONTROL!$C$22, $C$13, 100%, $E$13)</f>
        <v>4.9707999999999997</v>
      </c>
      <c r="E300" s="64">
        <f>5.6938 * CHOOSE(CONTROL!$C$22, $C$13, 100%, $E$13)</f>
        <v>5.6938000000000004</v>
      </c>
      <c r="F300" s="64">
        <f>5.6938 * CHOOSE(CONTROL!$C$22, $C$13, 100%, $E$13)</f>
        <v>5.6938000000000004</v>
      </c>
      <c r="G300" s="64">
        <f>5.6939 * CHOOSE(CONTROL!$C$22, $C$13, 100%, $E$13)</f>
        <v>5.6939000000000002</v>
      </c>
      <c r="H300" s="64">
        <f>10.1787* CHOOSE(CONTROL!$C$22, $C$13, 100%, $E$13)</f>
        <v>10.178699999999999</v>
      </c>
      <c r="I300" s="64">
        <f>10.1789 * CHOOSE(CONTROL!$C$22, $C$13, 100%, $E$13)</f>
        <v>10.178900000000001</v>
      </c>
      <c r="J300" s="64">
        <f>5.6938 * CHOOSE(CONTROL!$C$22, $C$13, 100%, $E$13)</f>
        <v>5.6938000000000004</v>
      </c>
      <c r="K300" s="64">
        <f>5.6939 * CHOOSE(CONTROL!$C$22, $C$13, 100%, $E$13)</f>
        <v>5.6939000000000002</v>
      </c>
    </row>
    <row r="301" spans="1:11" ht="15">
      <c r="A301" s="13">
        <v>50802</v>
      </c>
      <c r="B301" s="63">
        <f>4.9549 * CHOOSE(CONTROL!$C$22, $C$13, 100%, $E$13)</f>
        <v>4.9549000000000003</v>
      </c>
      <c r="C301" s="63">
        <f>4.9549 * CHOOSE(CONTROL!$C$22, $C$13, 100%, $E$13)</f>
        <v>4.9549000000000003</v>
      </c>
      <c r="D301" s="63">
        <f>4.9678 * CHOOSE(CONTROL!$C$22, $C$13, 100%, $E$13)</f>
        <v>4.9678000000000004</v>
      </c>
      <c r="E301" s="64">
        <f>5.6295 * CHOOSE(CONTROL!$C$22, $C$13, 100%, $E$13)</f>
        <v>5.6295000000000002</v>
      </c>
      <c r="F301" s="64">
        <f>5.6295 * CHOOSE(CONTROL!$C$22, $C$13, 100%, $E$13)</f>
        <v>5.6295000000000002</v>
      </c>
      <c r="G301" s="64">
        <f>5.6297 * CHOOSE(CONTROL!$C$22, $C$13, 100%, $E$13)</f>
        <v>5.6296999999999997</v>
      </c>
      <c r="H301" s="64">
        <f>10.1999* CHOOSE(CONTROL!$C$22, $C$13, 100%, $E$13)</f>
        <v>10.1999</v>
      </c>
      <c r="I301" s="64">
        <f>10.2001 * CHOOSE(CONTROL!$C$22, $C$13, 100%, $E$13)</f>
        <v>10.200100000000001</v>
      </c>
      <c r="J301" s="64">
        <f>5.6295 * CHOOSE(CONTROL!$C$22, $C$13, 100%, $E$13)</f>
        <v>5.6295000000000002</v>
      </c>
      <c r="K301" s="64">
        <f>5.6297 * CHOOSE(CONTROL!$C$22, $C$13, 100%, $E$13)</f>
        <v>5.6296999999999997</v>
      </c>
    </row>
    <row r="302" spans="1:11" ht="15">
      <c r="A302" s="13">
        <v>50830</v>
      </c>
      <c r="B302" s="63">
        <f>4.9518 * CHOOSE(CONTROL!$C$22, $C$13, 100%, $E$13)</f>
        <v>4.9518000000000004</v>
      </c>
      <c r="C302" s="63">
        <f>4.9518 * CHOOSE(CONTROL!$C$22, $C$13, 100%, $E$13)</f>
        <v>4.9518000000000004</v>
      </c>
      <c r="D302" s="63">
        <f>4.9647 * CHOOSE(CONTROL!$C$22, $C$13, 100%, $E$13)</f>
        <v>4.9646999999999997</v>
      </c>
      <c r="E302" s="64">
        <f>5.6764 * CHOOSE(CONTROL!$C$22, $C$13, 100%, $E$13)</f>
        <v>5.6764000000000001</v>
      </c>
      <c r="F302" s="64">
        <f>5.6764 * CHOOSE(CONTROL!$C$22, $C$13, 100%, $E$13)</f>
        <v>5.6764000000000001</v>
      </c>
      <c r="G302" s="64">
        <f>5.6766 * CHOOSE(CONTROL!$C$22, $C$13, 100%, $E$13)</f>
        <v>5.6765999999999996</v>
      </c>
      <c r="H302" s="64">
        <f>10.2212* CHOOSE(CONTROL!$C$22, $C$13, 100%, $E$13)</f>
        <v>10.2212</v>
      </c>
      <c r="I302" s="64">
        <f>10.2213 * CHOOSE(CONTROL!$C$22, $C$13, 100%, $E$13)</f>
        <v>10.221299999999999</v>
      </c>
      <c r="J302" s="64">
        <f>5.6764 * CHOOSE(CONTROL!$C$22, $C$13, 100%, $E$13)</f>
        <v>5.6764000000000001</v>
      </c>
      <c r="K302" s="64">
        <f>5.6766 * CHOOSE(CONTROL!$C$22, $C$13, 100%, $E$13)</f>
        <v>5.6765999999999996</v>
      </c>
    </row>
    <row r="303" spans="1:11" ht="15">
      <c r="A303" s="13">
        <v>50861</v>
      </c>
      <c r="B303" s="63">
        <f>4.9504 * CHOOSE(CONTROL!$C$22, $C$13, 100%, $E$13)</f>
        <v>4.9504000000000001</v>
      </c>
      <c r="C303" s="63">
        <f>4.9504 * CHOOSE(CONTROL!$C$22, $C$13, 100%, $E$13)</f>
        <v>4.9504000000000001</v>
      </c>
      <c r="D303" s="63">
        <f>4.9633 * CHOOSE(CONTROL!$C$22, $C$13, 100%, $E$13)</f>
        <v>4.9633000000000003</v>
      </c>
      <c r="E303" s="64">
        <f>5.7247 * CHOOSE(CONTROL!$C$22, $C$13, 100%, $E$13)</f>
        <v>5.7247000000000003</v>
      </c>
      <c r="F303" s="64">
        <f>5.7247 * CHOOSE(CONTROL!$C$22, $C$13, 100%, $E$13)</f>
        <v>5.7247000000000003</v>
      </c>
      <c r="G303" s="64">
        <f>5.7249 * CHOOSE(CONTROL!$C$22, $C$13, 100%, $E$13)</f>
        <v>5.7248999999999999</v>
      </c>
      <c r="H303" s="64">
        <f>10.2425* CHOOSE(CONTROL!$C$22, $C$13, 100%, $E$13)</f>
        <v>10.2425</v>
      </c>
      <c r="I303" s="64">
        <f>10.2426 * CHOOSE(CONTROL!$C$22, $C$13, 100%, $E$13)</f>
        <v>10.242599999999999</v>
      </c>
      <c r="J303" s="64">
        <f>5.7247 * CHOOSE(CONTROL!$C$22, $C$13, 100%, $E$13)</f>
        <v>5.7247000000000003</v>
      </c>
      <c r="K303" s="64">
        <f>5.7249 * CHOOSE(CONTROL!$C$22, $C$13, 100%, $E$13)</f>
        <v>5.7248999999999999</v>
      </c>
    </row>
    <row r="304" spans="1:11" ht="15">
      <c r="A304" s="13">
        <v>50891</v>
      </c>
      <c r="B304" s="63">
        <f>4.9504 * CHOOSE(CONTROL!$C$22, $C$13, 100%, $E$13)</f>
        <v>4.9504000000000001</v>
      </c>
      <c r="C304" s="63">
        <f>4.9504 * CHOOSE(CONTROL!$C$22, $C$13, 100%, $E$13)</f>
        <v>4.9504000000000001</v>
      </c>
      <c r="D304" s="63">
        <f>4.9761 * CHOOSE(CONTROL!$C$22, $C$13, 100%, $E$13)</f>
        <v>4.9760999999999997</v>
      </c>
      <c r="E304" s="64">
        <f>5.7445 * CHOOSE(CONTROL!$C$22, $C$13, 100%, $E$13)</f>
        <v>5.7445000000000004</v>
      </c>
      <c r="F304" s="64">
        <f>5.7445 * CHOOSE(CONTROL!$C$22, $C$13, 100%, $E$13)</f>
        <v>5.7445000000000004</v>
      </c>
      <c r="G304" s="64">
        <f>5.7461 * CHOOSE(CONTROL!$C$22, $C$13, 100%, $E$13)</f>
        <v>5.7461000000000002</v>
      </c>
      <c r="H304" s="64">
        <f>10.2638* CHOOSE(CONTROL!$C$22, $C$13, 100%, $E$13)</f>
        <v>10.2638</v>
      </c>
      <c r="I304" s="64">
        <f>10.2654 * CHOOSE(CONTROL!$C$22, $C$13, 100%, $E$13)</f>
        <v>10.2654</v>
      </c>
      <c r="J304" s="64">
        <f>5.7445 * CHOOSE(CONTROL!$C$22, $C$13, 100%, $E$13)</f>
        <v>5.7445000000000004</v>
      </c>
      <c r="K304" s="64">
        <f>5.7461 * CHOOSE(CONTROL!$C$22, $C$13, 100%, $E$13)</f>
        <v>5.7461000000000002</v>
      </c>
    </row>
    <row r="305" spans="1:11" ht="15">
      <c r="A305" s="13">
        <v>50922</v>
      </c>
      <c r="B305" s="63">
        <f>4.9565 * CHOOSE(CONTROL!$C$22, $C$13, 100%, $E$13)</f>
        <v>4.9565000000000001</v>
      </c>
      <c r="C305" s="63">
        <f>4.9565 * CHOOSE(CONTROL!$C$22, $C$13, 100%, $E$13)</f>
        <v>4.9565000000000001</v>
      </c>
      <c r="D305" s="63">
        <f>4.9822 * CHOOSE(CONTROL!$C$22, $C$13, 100%, $E$13)</f>
        <v>4.9821999999999997</v>
      </c>
      <c r="E305" s="64">
        <f>5.729 * CHOOSE(CONTROL!$C$22, $C$13, 100%, $E$13)</f>
        <v>5.7290000000000001</v>
      </c>
      <c r="F305" s="64">
        <f>5.729 * CHOOSE(CONTROL!$C$22, $C$13, 100%, $E$13)</f>
        <v>5.7290000000000001</v>
      </c>
      <c r="G305" s="64">
        <f>5.7306 * CHOOSE(CONTROL!$C$22, $C$13, 100%, $E$13)</f>
        <v>5.7305999999999999</v>
      </c>
      <c r="H305" s="64">
        <f>10.2852* CHOOSE(CONTROL!$C$22, $C$13, 100%, $E$13)</f>
        <v>10.2852</v>
      </c>
      <c r="I305" s="64">
        <f>10.2868 * CHOOSE(CONTROL!$C$22, $C$13, 100%, $E$13)</f>
        <v>10.286799999999999</v>
      </c>
      <c r="J305" s="64">
        <f>5.729 * CHOOSE(CONTROL!$C$22, $C$13, 100%, $E$13)</f>
        <v>5.7290000000000001</v>
      </c>
      <c r="K305" s="64">
        <f>5.7306 * CHOOSE(CONTROL!$C$22, $C$13, 100%, $E$13)</f>
        <v>5.7305999999999999</v>
      </c>
    </row>
    <row r="306" spans="1:11" ht="15">
      <c r="A306" s="13">
        <v>50952</v>
      </c>
      <c r="B306" s="63">
        <f>5.043 * CHOOSE(CONTROL!$C$22, $C$13, 100%, $E$13)</f>
        <v>5.0430000000000001</v>
      </c>
      <c r="C306" s="63">
        <f>5.043 * CHOOSE(CONTROL!$C$22, $C$13, 100%, $E$13)</f>
        <v>5.0430000000000001</v>
      </c>
      <c r="D306" s="63">
        <f>5.0688 * CHOOSE(CONTROL!$C$22, $C$13, 100%, $E$13)</f>
        <v>5.0688000000000004</v>
      </c>
      <c r="E306" s="64">
        <f>5.8439 * CHOOSE(CONTROL!$C$22, $C$13, 100%, $E$13)</f>
        <v>5.8438999999999997</v>
      </c>
      <c r="F306" s="64">
        <f>5.8439 * CHOOSE(CONTROL!$C$22, $C$13, 100%, $E$13)</f>
        <v>5.8438999999999997</v>
      </c>
      <c r="G306" s="64">
        <f>5.8456 * CHOOSE(CONTROL!$C$22, $C$13, 100%, $E$13)</f>
        <v>5.8456000000000001</v>
      </c>
      <c r="H306" s="64">
        <f>10.3066* CHOOSE(CONTROL!$C$22, $C$13, 100%, $E$13)</f>
        <v>10.3066</v>
      </c>
      <c r="I306" s="64">
        <f>10.3083 * CHOOSE(CONTROL!$C$22, $C$13, 100%, $E$13)</f>
        <v>10.308299999999999</v>
      </c>
      <c r="J306" s="64">
        <f>5.8439 * CHOOSE(CONTROL!$C$22, $C$13, 100%, $E$13)</f>
        <v>5.8438999999999997</v>
      </c>
      <c r="K306" s="64">
        <f>5.8456 * CHOOSE(CONTROL!$C$22, $C$13, 100%, $E$13)</f>
        <v>5.8456000000000001</v>
      </c>
    </row>
    <row r="307" spans="1:11" ht="15">
      <c r="A307" s="13">
        <v>50983</v>
      </c>
      <c r="B307" s="63">
        <f>5.0497 * CHOOSE(CONTROL!$C$22, $C$13, 100%, $E$13)</f>
        <v>5.0496999999999996</v>
      </c>
      <c r="C307" s="63">
        <f>5.0497 * CHOOSE(CONTROL!$C$22, $C$13, 100%, $E$13)</f>
        <v>5.0496999999999996</v>
      </c>
      <c r="D307" s="63">
        <f>5.0755 * CHOOSE(CONTROL!$C$22, $C$13, 100%, $E$13)</f>
        <v>5.0754999999999999</v>
      </c>
      <c r="E307" s="64">
        <f>5.7894 * CHOOSE(CONTROL!$C$22, $C$13, 100%, $E$13)</f>
        <v>5.7893999999999997</v>
      </c>
      <c r="F307" s="64">
        <f>5.7894 * CHOOSE(CONTROL!$C$22, $C$13, 100%, $E$13)</f>
        <v>5.7893999999999997</v>
      </c>
      <c r="G307" s="64">
        <f>5.791 * CHOOSE(CONTROL!$C$22, $C$13, 100%, $E$13)</f>
        <v>5.7910000000000004</v>
      </c>
      <c r="H307" s="64">
        <f>10.3281* CHOOSE(CONTROL!$C$22, $C$13, 100%, $E$13)</f>
        <v>10.328099999999999</v>
      </c>
      <c r="I307" s="64">
        <f>10.3297 * CHOOSE(CONTROL!$C$22, $C$13, 100%, $E$13)</f>
        <v>10.329700000000001</v>
      </c>
      <c r="J307" s="64">
        <f>5.7894 * CHOOSE(CONTROL!$C$22, $C$13, 100%, $E$13)</f>
        <v>5.7893999999999997</v>
      </c>
      <c r="K307" s="64">
        <f>5.791 * CHOOSE(CONTROL!$C$22, $C$13, 100%, $E$13)</f>
        <v>5.7910000000000004</v>
      </c>
    </row>
    <row r="308" spans="1:11" ht="15">
      <c r="A308" s="13">
        <v>51014</v>
      </c>
      <c r="B308" s="63">
        <f>5.0467 * CHOOSE(CONTROL!$C$22, $C$13, 100%, $E$13)</f>
        <v>5.0467000000000004</v>
      </c>
      <c r="C308" s="63">
        <f>5.0467 * CHOOSE(CONTROL!$C$22, $C$13, 100%, $E$13)</f>
        <v>5.0467000000000004</v>
      </c>
      <c r="D308" s="63">
        <f>5.0724 * CHOOSE(CONTROL!$C$22, $C$13, 100%, $E$13)</f>
        <v>5.0724</v>
      </c>
      <c r="E308" s="64">
        <f>5.7807 * CHOOSE(CONTROL!$C$22, $C$13, 100%, $E$13)</f>
        <v>5.7807000000000004</v>
      </c>
      <c r="F308" s="64">
        <f>5.7807 * CHOOSE(CONTROL!$C$22, $C$13, 100%, $E$13)</f>
        <v>5.7807000000000004</v>
      </c>
      <c r="G308" s="64">
        <f>5.7824 * CHOOSE(CONTROL!$C$22, $C$13, 100%, $E$13)</f>
        <v>5.7824</v>
      </c>
      <c r="H308" s="64">
        <f>10.3496* CHOOSE(CONTROL!$C$22, $C$13, 100%, $E$13)</f>
        <v>10.349600000000001</v>
      </c>
      <c r="I308" s="64">
        <f>10.3512 * CHOOSE(CONTROL!$C$22, $C$13, 100%, $E$13)</f>
        <v>10.3512</v>
      </c>
      <c r="J308" s="64">
        <f>5.7807 * CHOOSE(CONTROL!$C$22, $C$13, 100%, $E$13)</f>
        <v>5.7807000000000004</v>
      </c>
      <c r="K308" s="64">
        <f>5.7824 * CHOOSE(CONTROL!$C$22, $C$13, 100%, $E$13)</f>
        <v>5.7824</v>
      </c>
    </row>
    <row r="309" spans="1:11" ht="15">
      <c r="A309" s="13">
        <v>51044</v>
      </c>
      <c r="B309" s="63">
        <f>5.0455 * CHOOSE(CONTROL!$C$22, $C$13, 100%, $E$13)</f>
        <v>5.0454999999999997</v>
      </c>
      <c r="C309" s="63">
        <f>5.0455 * CHOOSE(CONTROL!$C$22, $C$13, 100%, $E$13)</f>
        <v>5.0454999999999997</v>
      </c>
      <c r="D309" s="63">
        <f>5.0583 * CHOOSE(CONTROL!$C$22, $C$13, 100%, $E$13)</f>
        <v>5.0583</v>
      </c>
      <c r="E309" s="64">
        <f>5.7936 * CHOOSE(CONTROL!$C$22, $C$13, 100%, $E$13)</f>
        <v>5.7935999999999996</v>
      </c>
      <c r="F309" s="64">
        <f>5.7936 * CHOOSE(CONTROL!$C$22, $C$13, 100%, $E$13)</f>
        <v>5.7935999999999996</v>
      </c>
      <c r="G309" s="64">
        <f>5.7938 * CHOOSE(CONTROL!$C$22, $C$13, 100%, $E$13)</f>
        <v>5.7938000000000001</v>
      </c>
      <c r="H309" s="64">
        <f>10.3712* CHOOSE(CONTROL!$C$22, $C$13, 100%, $E$13)</f>
        <v>10.3712</v>
      </c>
      <c r="I309" s="64">
        <f>10.3713 * CHOOSE(CONTROL!$C$22, $C$13, 100%, $E$13)</f>
        <v>10.3713</v>
      </c>
      <c r="J309" s="64">
        <f>5.7936 * CHOOSE(CONTROL!$C$22, $C$13, 100%, $E$13)</f>
        <v>5.7935999999999996</v>
      </c>
      <c r="K309" s="64">
        <f>5.7938 * CHOOSE(CONTROL!$C$22, $C$13, 100%, $E$13)</f>
        <v>5.7938000000000001</v>
      </c>
    </row>
    <row r="310" spans="1:11" ht="15">
      <c r="A310" s="13">
        <v>51075</v>
      </c>
      <c r="B310" s="63">
        <f>5.0485 * CHOOSE(CONTROL!$C$22, $C$13, 100%, $E$13)</f>
        <v>5.0484999999999998</v>
      </c>
      <c r="C310" s="63">
        <f>5.0485 * CHOOSE(CONTROL!$C$22, $C$13, 100%, $E$13)</f>
        <v>5.0484999999999998</v>
      </c>
      <c r="D310" s="63">
        <f>5.0614 * CHOOSE(CONTROL!$C$22, $C$13, 100%, $E$13)</f>
        <v>5.0613999999999999</v>
      </c>
      <c r="E310" s="64">
        <f>5.8089 * CHOOSE(CONTROL!$C$22, $C$13, 100%, $E$13)</f>
        <v>5.8089000000000004</v>
      </c>
      <c r="F310" s="64">
        <f>5.8089 * CHOOSE(CONTROL!$C$22, $C$13, 100%, $E$13)</f>
        <v>5.8089000000000004</v>
      </c>
      <c r="G310" s="64">
        <f>5.809 * CHOOSE(CONTROL!$C$22, $C$13, 100%, $E$13)</f>
        <v>5.8090000000000002</v>
      </c>
      <c r="H310" s="64">
        <f>10.3928* CHOOSE(CONTROL!$C$22, $C$13, 100%, $E$13)</f>
        <v>10.392799999999999</v>
      </c>
      <c r="I310" s="64">
        <f>10.3929 * CHOOSE(CONTROL!$C$22, $C$13, 100%, $E$13)</f>
        <v>10.392899999999999</v>
      </c>
      <c r="J310" s="64">
        <f>5.8089 * CHOOSE(CONTROL!$C$22, $C$13, 100%, $E$13)</f>
        <v>5.8089000000000004</v>
      </c>
      <c r="K310" s="64">
        <f>5.809 * CHOOSE(CONTROL!$C$22, $C$13, 100%, $E$13)</f>
        <v>5.8090000000000002</v>
      </c>
    </row>
    <row r="311" spans="1:11" ht="15">
      <c r="A311" s="13">
        <v>51105</v>
      </c>
      <c r="B311" s="63">
        <f>5.0485 * CHOOSE(CONTROL!$C$22, $C$13, 100%, $E$13)</f>
        <v>5.0484999999999998</v>
      </c>
      <c r="C311" s="63">
        <f>5.0485 * CHOOSE(CONTROL!$C$22, $C$13, 100%, $E$13)</f>
        <v>5.0484999999999998</v>
      </c>
      <c r="D311" s="63">
        <f>5.0614 * CHOOSE(CONTROL!$C$22, $C$13, 100%, $E$13)</f>
        <v>5.0613999999999999</v>
      </c>
      <c r="E311" s="64">
        <f>5.776 * CHOOSE(CONTROL!$C$22, $C$13, 100%, $E$13)</f>
        <v>5.7759999999999998</v>
      </c>
      <c r="F311" s="64">
        <f>5.776 * CHOOSE(CONTROL!$C$22, $C$13, 100%, $E$13)</f>
        <v>5.7759999999999998</v>
      </c>
      <c r="G311" s="64">
        <f>5.7762 * CHOOSE(CONTROL!$C$22, $C$13, 100%, $E$13)</f>
        <v>5.7762000000000002</v>
      </c>
      <c r="H311" s="64">
        <f>10.4144* CHOOSE(CONTROL!$C$22, $C$13, 100%, $E$13)</f>
        <v>10.414400000000001</v>
      </c>
      <c r="I311" s="64">
        <f>10.4146 * CHOOSE(CONTROL!$C$22, $C$13, 100%, $E$13)</f>
        <v>10.4146</v>
      </c>
      <c r="J311" s="64">
        <f>5.776 * CHOOSE(CONTROL!$C$22, $C$13, 100%, $E$13)</f>
        <v>5.7759999999999998</v>
      </c>
      <c r="K311" s="64">
        <f>5.7762 * CHOOSE(CONTROL!$C$22, $C$13, 100%, $E$13)</f>
        <v>5.7762000000000002</v>
      </c>
    </row>
    <row r="312" spans="1:11" ht="15">
      <c r="A312" s="13">
        <v>51136</v>
      </c>
      <c r="B312" s="63">
        <f>5.0944 * CHOOSE(CONTROL!$C$22, $C$13, 100%, $E$13)</f>
        <v>5.0944000000000003</v>
      </c>
      <c r="C312" s="63">
        <f>5.0944 * CHOOSE(CONTROL!$C$22, $C$13, 100%, $E$13)</f>
        <v>5.0944000000000003</v>
      </c>
      <c r="D312" s="63">
        <f>5.1072 * CHOOSE(CONTROL!$C$22, $C$13, 100%, $E$13)</f>
        <v>5.1071999999999997</v>
      </c>
      <c r="E312" s="64">
        <f>5.8526 * CHOOSE(CONTROL!$C$22, $C$13, 100%, $E$13)</f>
        <v>5.8525999999999998</v>
      </c>
      <c r="F312" s="64">
        <f>5.8526 * CHOOSE(CONTROL!$C$22, $C$13, 100%, $E$13)</f>
        <v>5.8525999999999998</v>
      </c>
      <c r="G312" s="64">
        <f>5.8528 * CHOOSE(CONTROL!$C$22, $C$13, 100%, $E$13)</f>
        <v>5.8528000000000002</v>
      </c>
      <c r="H312" s="64">
        <f>10.4361* CHOOSE(CONTROL!$C$22, $C$13, 100%, $E$13)</f>
        <v>10.4361</v>
      </c>
      <c r="I312" s="64">
        <f>10.4363 * CHOOSE(CONTROL!$C$22, $C$13, 100%, $E$13)</f>
        <v>10.436299999999999</v>
      </c>
      <c r="J312" s="64">
        <f>5.8526 * CHOOSE(CONTROL!$C$22, $C$13, 100%, $E$13)</f>
        <v>5.8525999999999998</v>
      </c>
      <c r="K312" s="64">
        <f>5.8528 * CHOOSE(CONTROL!$C$22, $C$13, 100%, $E$13)</f>
        <v>5.8528000000000002</v>
      </c>
    </row>
    <row r="313" spans="1:11" ht="15">
      <c r="A313" s="13">
        <v>51167</v>
      </c>
      <c r="B313" s="63">
        <f>5.0913 * CHOOSE(CONTROL!$C$22, $C$13, 100%, $E$13)</f>
        <v>5.0913000000000004</v>
      </c>
      <c r="C313" s="63">
        <f>5.0913 * CHOOSE(CONTROL!$C$22, $C$13, 100%, $E$13)</f>
        <v>5.0913000000000004</v>
      </c>
      <c r="D313" s="63">
        <f>5.1042 * CHOOSE(CONTROL!$C$22, $C$13, 100%, $E$13)</f>
        <v>5.1041999999999996</v>
      </c>
      <c r="E313" s="64">
        <f>5.7866 * CHOOSE(CONTROL!$C$22, $C$13, 100%, $E$13)</f>
        <v>5.7866</v>
      </c>
      <c r="F313" s="64">
        <f>5.7866 * CHOOSE(CONTROL!$C$22, $C$13, 100%, $E$13)</f>
        <v>5.7866</v>
      </c>
      <c r="G313" s="64">
        <f>5.7868 * CHOOSE(CONTROL!$C$22, $C$13, 100%, $E$13)</f>
        <v>5.7868000000000004</v>
      </c>
      <c r="H313" s="64">
        <f>10.4579* CHOOSE(CONTROL!$C$22, $C$13, 100%, $E$13)</f>
        <v>10.4579</v>
      </c>
      <c r="I313" s="64">
        <f>10.458 * CHOOSE(CONTROL!$C$22, $C$13, 100%, $E$13)</f>
        <v>10.458</v>
      </c>
      <c r="J313" s="64">
        <f>5.7866 * CHOOSE(CONTROL!$C$22, $C$13, 100%, $E$13)</f>
        <v>5.7866</v>
      </c>
      <c r="K313" s="64">
        <f>5.7868 * CHOOSE(CONTROL!$C$22, $C$13, 100%, $E$13)</f>
        <v>5.7868000000000004</v>
      </c>
    </row>
    <row r="314" spans="1:11" ht="15">
      <c r="A314" s="13">
        <v>51196</v>
      </c>
      <c r="B314" s="63">
        <f>5.0883 * CHOOSE(CONTROL!$C$22, $C$13, 100%, $E$13)</f>
        <v>5.0883000000000003</v>
      </c>
      <c r="C314" s="63">
        <f>5.0883 * CHOOSE(CONTROL!$C$22, $C$13, 100%, $E$13)</f>
        <v>5.0883000000000003</v>
      </c>
      <c r="D314" s="63">
        <f>5.1012 * CHOOSE(CONTROL!$C$22, $C$13, 100%, $E$13)</f>
        <v>5.1012000000000004</v>
      </c>
      <c r="E314" s="64">
        <f>5.8349 * CHOOSE(CONTROL!$C$22, $C$13, 100%, $E$13)</f>
        <v>5.8349000000000002</v>
      </c>
      <c r="F314" s="64">
        <f>5.8349 * CHOOSE(CONTROL!$C$22, $C$13, 100%, $E$13)</f>
        <v>5.8349000000000002</v>
      </c>
      <c r="G314" s="64">
        <f>5.835 * CHOOSE(CONTROL!$C$22, $C$13, 100%, $E$13)</f>
        <v>5.835</v>
      </c>
      <c r="H314" s="64">
        <f>10.4796* CHOOSE(CONTROL!$C$22, $C$13, 100%, $E$13)</f>
        <v>10.4796</v>
      </c>
      <c r="I314" s="64">
        <f>10.4798 * CHOOSE(CONTROL!$C$22, $C$13, 100%, $E$13)</f>
        <v>10.479799999999999</v>
      </c>
      <c r="J314" s="64">
        <f>5.8349 * CHOOSE(CONTROL!$C$22, $C$13, 100%, $E$13)</f>
        <v>5.8349000000000002</v>
      </c>
      <c r="K314" s="64">
        <f>5.835 * CHOOSE(CONTROL!$C$22, $C$13, 100%, $E$13)</f>
        <v>5.835</v>
      </c>
    </row>
    <row r="315" spans="1:11" ht="15">
      <c r="A315" s="13">
        <v>51227</v>
      </c>
      <c r="B315" s="63">
        <f>5.0869 * CHOOSE(CONTROL!$C$22, $C$13, 100%, $E$13)</f>
        <v>5.0869</v>
      </c>
      <c r="C315" s="63">
        <f>5.0869 * CHOOSE(CONTROL!$C$22, $C$13, 100%, $E$13)</f>
        <v>5.0869</v>
      </c>
      <c r="D315" s="63">
        <f>5.0998 * CHOOSE(CONTROL!$C$22, $C$13, 100%, $E$13)</f>
        <v>5.0998000000000001</v>
      </c>
      <c r="E315" s="64">
        <f>5.8847 * CHOOSE(CONTROL!$C$22, $C$13, 100%, $E$13)</f>
        <v>5.8846999999999996</v>
      </c>
      <c r="F315" s="64">
        <f>5.8847 * CHOOSE(CONTROL!$C$22, $C$13, 100%, $E$13)</f>
        <v>5.8846999999999996</v>
      </c>
      <c r="G315" s="64">
        <f>5.8849 * CHOOSE(CONTROL!$C$22, $C$13, 100%, $E$13)</f>
        <v>5.8849</v>
      </c>
      <c r="H315" s="64">
        <f>10.5015* CHOOSE(CONTROL!$C$22, $C$13, 100%, $E$13)</f>
        <v>10.5015</v>
      </c>
      <c r="I315" s="64">
        <f>10.5017 * CHOOSE(CONTROL!$C$22, $C$13, 100%, $E$13)</f>
        <v>10.5017</v>
      </c>
      <c r="J315" s="64">
        <f>5.8847 * CHOOSE(CONTROL!$C$22, $C$13, 100%, $E$13)</f>
        <v>5.8846999999999996</v>
      </c>
      <c r="K315" s="64">
        <f>5.8849 * CHOOSE(CONTROL!$C$22, $C$13, 100%, $E$13)</f>
        <v>5.8849</v>
      </c>
    </row>
    <row r="316" spans="1:11" ht="15">
      <c r="A316" s="13">
        <v>51257</v>
      </c>
      <c r="B316" s="63">
        <f>5.0869 * CHOOSE(CONTROL!$C$22, $C$13, 100%, $E$13)</f>
        <v>5.0869</v>
      </c>
      <c r="C316" s="63">
        <f>5.0869 * CHOOSE(CONTROL!$C$22, $C$13, 100%, $E$13)</f>
        <v>5.0869</v>
      </c>
      <c r="D316" s="63">
        <f>5.1127 * CHOOSE(CONTROL!$C$22, $C$13, 100%, $E$13)</f>
        <v>5.1127000000000002</v>
      </c>
      <c r="E316" s="64">
        <f>5.905 * CHOOSE(CONTROL!$C$22, $C$13, 100%, $E$13)</f>
        <v>5.9050000000000002</v>
      </c>
      <c r="F316" s="64">
        <f>5.905 * CHOOSE(CONTROL!$C$22, $C$13, 100%, $E$13)</f>
        <v>5.9050000000000002</v>
      </c>
      <c r="G316" s="64">
        <f>5.9066 * CHOOSE(CONTROL!$C$22, $C$13, 100%, $E$13)</f>
        <v>5.9066000000000001</v>
      </c>
      <c r="H316" s="64">
        <f>10.5234* CHOOSE(CONTROL!$C$22, $C$13, 100%, $E$13)</f>
        <v>10.523400000000001</v>
      </c>
      <c r="I316" s="64">
        <f>10.525 * CHOOSE(CONTROL!$C$22, $C$13, 100%, $E$13)</f>
        <v>10.525</v>
      </c>
      <c r="J316" s="64">
        <f>5.905 * CHOOSE(CONTROL!$C$22, $C$13, 100%, $E$13)</f>
        <v>5.9050000000000002</v>
      </c>
      <c r="K316" s="64">
        <f>5.9066 * CHOOSE(CONTROL!$C$22, $C$13, 100%, $E$13)</f>
        <v>5.9066000000000001</v>
      </c>
    </row>
    <row r="317" spans="1:11" ht="15">
      <c r="A317" s="13">
        <v>51288</v>
      </c>
      <c r="B317" s="63">
        <f>5.093 * CHOOSE(CONTROL!$C$22, $C$13, 100%, $E$13)</f>
        <v>5.093</v>
      </c>
      <c r="C317" s="63">
        <f>5.093 * CHOOSE(CONTROL!$C$22, $C$13, 100%, $E$13)</f>
        <v>5.093</v>
      </c>
      <c r="D317" s="63">
        <f>5.1188 * CHOOSE(CONTROL!$C$22, $C$13, 100%, $E$13)</f>
        <v>5.1188000000000002</v>
      </c>
      <c r="E317" s="64">
        <f>5.889 * CHOOSE(CONTROL!$C$22, $C$13, 100%, $E$13)</f>
        <v>5.8890000000000002</v>
      </c>
      <c r="F317" s="64">
        <f>5.889 * CHOOSE(CONTROL!$C$22, $C$13, 100%, $E$13)</f>
        <v>5.8890000000000002</v>
      </c>
      <c r="G317" s="64">
        <f>5.8906 * CHOOSE(CONTROL!$C$22, $C$13, 100%, $E$13)</f>
        <v>5.8906000000000001</v>
      </c>
      <c r="H317" s="64">
        <f>10.5453* CHOOSE(CONTROL!$C$22, $C$13, 100%, $E$13)</f>
        <v>10.545299999999999</v>
      </c>
      <c r="I317" s="64">
        <f>10.5469 * CHOOSE(CONTROL!$C$22, $C$13, 100%, $E$13)</f>
        <v>10.546900000000001</v>
      </c>
      <c r="J317" s="64">
        <f>5.889 * CHOOSE(CONTROL!$C$22, $C$13, 100%, $E$13)</f>
        <v>5.8890000000000002</v>
      </c>
      <c r="K317" s="64">
        <f>5.8906 * CHOOSE(CONTROL!$C$22, $C$13, 100%, $E$13)</f>
        <v>5.8906000000000001</v>
      </c>
    </row>
    <row r="318" spans="1:11" ht="15">
      <c r="A318" s="13">
        <v>51318</v>
      </c>
      <c r="B318" s="63">
        <f>5.1785 * CHOOSE(CONTROL!$C$22, $C$13, 100%, $E$13)</f>
        <v>5.1784999999999997</v>
      </c>
      <c r="C318" s="63">
        <f>5.1785 * CHOOSE(CONTROL!$C$22, $C$13, 100%, $E$13)</f>
        <v>5.1784999999999997</v>
      </c>
      <c r="D318" s="63">
        <f>5.2043 * CHOOSE(CONTROL!$C$22, $C$13, 100%, $E$13)</f>
        <v>5.2042999999999999</v>
      </c>
      <c r="E318" s="64">
        <f>6.0078 * CHOOSE(CONTROL!$C$22, $C$13, 100%, $E$13)</f>
        <v>6.0077999999999996</v>
      </c>
      <c r="F318" s="64">
        <f>6.0078 * CHOOSE(CONTROL!$C$22, $C$13, 100%, $E$13)</f>
        <v>6.0077999999999996</v>
      </c>
      <c r="G318" s="64">
        <f>6.0094 * CHOOSE(CONTROL!$C$22, $C$13, 100%, $E$13)</f>
        <v>6.0094000000000003</v>
      </c>
      <c r="H318" s="64">
        <f>10.5673* CHOOSE(CONTROL!$C$22, $C$13, 100%, $E$13)</f>
        <v>10.567299999999999</v>
      </c>
      <c r="I318" s="64">
        <f>10.5689 * CHOOSE(CONTROL!$C$22, $C$13, 100%, $E$13)</f>
        <v>10.568899999999999</v>
      </c>
      <c r="J318" s="64">
        <f>6.0078 * CHOOSE(CONTROL!$C$22, $C$13, 100%, $E$13)</f>
        <v>6.0077999999999996</v>
      </c>
      <c r="K318" s="64">
        <f>6.0094 * CHOOSE(CONTROL!$C$22, $C$13, 100%, $E$13)</f>
        <v>6.0094000000000003</v>
      </c>
    </row>
    <row r="319" spans="1:11" ht="15">
      <c r="A319" s="13">
        <v>51349</v>
      </c>
      <c r="B319" s="63">
        <f>5.1852 * CHOOSE(CONTROL!$C$22, $C$13, 100%, $E$13)</f>
        <v>5.1852</v>
      </c>
      <c r="C319" s="63">
        <f>5.1852 * CHOOSE(CONTROL!$C$22, $C$13, 100%, $E$13)</f>
        <v>5.1852</v>
      </c>
      <c r="D319" s="63">
        <f>5.211 * CHOOSE(CONTROL!$C$22, $C$13, 100%, $E$13)</f>
        <v>5.2110000000000003</v>
      </c>
      <c r="E319" s="64">
        <f>5.9516 * CHOOSE(CONTROL!$C$22, $C$13, 100%, $E$13)</f>
        <v>5.9516</v>
      </c>
      <c r="F319" s="64">
        <f>5.9516 * CHOOSE(CONTROL!$C$22, $C$13, 100%, $E$13)</f>
        <v>5.9516</v>
      </c>
      <c r="G319" s="64">
        <f>5.9532 * CHOOSE(CONTROL!$C$22, $C$13, 100%, $E$13)</f>
        <v>5.9531999999999998</v>
      </c>
      <c r="H319" s="64">
        <f>10.5893* CHOOSE(CONTROL!$C$22, $C$13, 100%, $E$13)</f>
        <v>10.5893</v>
      </c>
      <c r="I319" s="64">
        <f>10.5909 * CHOOSE(CONTROL!$C$22, $C$13, 100%, $E$13)</f>
        <v>10.5909</v>
      </c>
      <c r="J319" s="64">
        <f>5.9516 * CHOOSE(CONTROL!$C$22, $C$13, 100%, $E$13)</f>
        <v>5.9516</v>
      </c>
      <c r="K319" s="64">
        <f>5.9532 * CHOOSE(CONTROL!$C$22, $C$13, 100%, $E$13)</f>
        <v>5.9531999999999998</v>
      </c>
    </row>
    <row r="320" spans="1:11" ht="15">
      <c r="A320" s="13">
        <v>51380</v>
      </c>
      <c r="B320" s="63">
        <f>5.1822 * CHOOSE(CONTROL!$C$22, $C$13, 100%, $E$13)</f>
        <v>5.1821999999999999</v>
      </c>
      <c r="C320" s="63">
        <f>5.1822 * CHOOSE(CONTROL!$C$22, $C$13, 100%, $E$13)</f>
        <v>5.1821999999999999</v>
      </c>
      <c r="D320" s="63">
        <f>5.2079 * CHOOSE(CONTROL!$C$22, $C$13, 100%, $E$13)</f>
        <v>5.2079000000000004</v>
      </c>
      <c r="E320" s="64">
        <f>5.9427 * CHOOSE(CONTROL!$C$22, $C$13, 100%, $E$13)</f>
        <v>5.9427000000000003</v>
      </c>
      <c r="F320" s="64">
        <f>5.9427 * CHOOSE(CONTROL!$C$22, $C$13, 100%, $E$13)</f>
        <v>5.9427000000000003</v>
      </c>
      <c r="G320" s="64">
        <f>5.9444 * CHOOSE(CONTROL!$C$22, $C$13, 100%, $E$13)</f>
        <v>5.9443999999999999</v>
      </c>
      <c r="H320" s="64">
        <f>10.6113* CHOOSE(CONTROL!$C$22, $C$13, 100%, $E$13)</f>
        <v>10.6113</v>
      </c>
      <c r="I320" s="64">
        <f>10.613 * CHOOSE(CONTROL!$C$22, $C$13, 100%, $E$13)</f>
        <v>10.613</v>
      </c>
      <c r="J320" s="64">
        <f>5.9427 * CHOOSE(CONTROL!$C$22, $C$13, 100%, $E$13)</f>
        <v>5.9427000000000003</v>
      </c>
      <c r="K320" s="64">
        <f>5.9444 * CHOOSE(CONTROL!$C$22, $C$13, 100%, $E$13)</f>
        <v>5.9443999999999999</v>
      </c>
    </row>
    <row r="321" spans="1:11" ht="15">
      <c r="A321" s="13">
        <v>51410</v>
      </c>
      <c r="B321" s="63">
        <f>5.1814 * CHOOSE(CONTROL!$C$22, $C$13, 100%, $E$13)</f>
        <v>5.1814</v>
      </c>
      <c r="C321" s="63">
        <f>5.1814 * CHOOSE(CONTROL!$C$22, $C$13, 100%, $E$13)</f>
        <v>5.1814</v>
      </c>
      <c r="D321" s="63">
        <f>5.1943 * CHOOSE(CONTROL!$C$22, $C$13, 100%, $E$13)</f>
        <v>5.1943000000000001</v>
      </c>
      <c r="E321" s="64">
        <f>5.9563 * CHOOSE(CONTROL!$C$22, $C$13, 100%, $E$13)</f>
        <v>5.9562999999999997</v>
      </c>
      <c r="F321" s="64">
        <f>5.9563 * CHOOSE(CONTROL!$C$22, $C$13, 100%, $E$13)</f>
        <v>5.9562999999999997</v>
      </c>
      <c r="G321" s="64">
        <f>5.9565 * CHOOSE(CONTROL!$C$22, $C$13, 100%, $E$13)</f>
        <v>5.9565000000000001</v>
      </c>
      <c r="H321" s="64">
        <f>10.6334* CHOOSE(CONTROL!$C$22, $C$13, 100%, $E$13)</f>
        <v>10.6334</v>
      </c>
      <c r="I321" s="64">
        <f>10.6336 * CHOOSE(CONTROL!$C$22, $C$13, 100%, $E$13)</f>
        <v>10.633599999999999</v>
      </c>
      <c r="J321" s="64">
        <f>5.9563 * CHOOSE(CONTROL!$C$22, $C$13, 100%, $E$13)</f>
        <v>5.9562999999999997</v>
      </c>
      <c r="K321" s="64">
        <f>5.9565 * CHOOSE(CONTROL!$C$22, $C$13, 100%, $E$13)</f>
        <v>5.9565000000000001</v>
      </c>
    </row>
    <row r="322" spans="1:11" ht="15">
      <c r="A322" s="13">
        <v>51441</v>
      </c>
      <c r="B322" s="63">
        <f>5.1845 * CHOOSE(CONTROL!$C$22, $C$13, 100%, $E$13)</f>
        <v>5.1844999999999999</v>
      </c>
      <c r="C322" s="63">
        <f>5.1845 * CHOOSE(CONTROL!$C$22, $C$13, 100%, $E$13)</f>
        <v>5.1844999999999999</v>
      </c>
      <c r="D322" s="63">
        <f>5.1973 * CHOOSE(CONTROL!$C$22, $C$13, 100%, $E$13)</f>
        <v>5.1973000000000003</v>
      </c>
      <c r="E322" s="64">
        <f>5.972 * CHOOSE(CONTROL!$C$22, $C$13, 100%, $E$13)</f>
        <v>5.9720000000000004</v>
      </c>
      <c r="F322" s="64">
        <f>5.972 * CHOOSE(CONTROL!$C$22, $C$13, 100%, $E$13)</f>
        <v>5.9720000000000004</v>
      </c>
      <c r="G322" s="64">
        <f>5.9722 * CHOOSE(CONTROL!$C$22, $C$13, 100%, $E$13)</f>
        <v>5.9722</v>
      </c>
      <c r="H322" s="64">
        <f>10.6556* CHOOSE(CONTROL!$C$22, $C$13, 100%, $E$13)</f>
        <v>10.6556</v>
      </c>
      <c r="I322" s="64">
        <f>10.6558 * CHOOSE(CONTROL!$C$22, $C$13, 100%, $E$13)</f>
        <v>10.655799999999999</v>
      </c>
      <c r="J322" s="64">
        <f>5.972 * CHOOSE(CONTROL!$C$22, $C$13, 100%, $E$13)</f>
        <v>5.9720000000000004</v>
      </c>
      <c r="K322" s="64">
        <f>5.9722 * CHOOSE(CONTROL!$C$22, $C$13, 100%, $E$13)</f>
        <v>5.9722</v>
      </c>
    </row>
    <row r="323" spans="1:11" ht="15">
      <c r="A323" s="13">
        <v>51471</v>
      </c>
      <c r="B323" s="63">
        <f>5.1845 * CHOOSE(CONTROL!$C$22, $C$13, 100%, $E$13)</f>
        <v>5.1844999999999999</v>
      </c>
      <c r="C323" s="63">
        <f>5.1845 * CHOOSE(CONTROL!$C$22, $C$13, 100%, $E$13)</f>
        <v>5.1844999999999999</v>
      </c>
      <c r="D323" s="63">
        <f>5.1973 * CHOOSE(CONTROL!$C$22, $C$13, 100%, $E$13)</f>
        <v>5.1973000000000003</v>
      </c>
      <c r="E323" s="64">
        <f>5.9382 * CHOOSE(CONTROL!$C$22, $C$13, 100%, $E$13)</f>
        <v>5.9382000000000001</v>
      </c>
      <c r="F323" s="64">
        <f>5.9382 * CHOOSE(CONTROL!$C$22, $C$13, 100%, $E$13)</f>
        <v>5.9382000000000001</v>
      </c>
      <c r="G323" s="64">
        <f>5.9384 * CHOOSE(CONTROL!$C$22, $C$13, 100%, $E$13)</f>
        <v>5.9383999999999997</v>
      </c>
      <c r="H323" s="64">
        <f>10.6778* CHOOSE(CONTROL!$C$22, $C$13, 100%, $E$13)</f>
        <v>10.6778</v>
      </c>
      <c r="I323" s="64">
        <f>10.678 * CHOOSE(CONTROL!$C$22, $C$13, 100%, $E$13)</f>
        <v>10.678000000000001</v>
      </c>
      <c r="J323" s="64">
        <f>5.9382 * CHOOSE(CONTROL!$C$22, $C$13, 100%, $E$13)</f>
        <v>5.9382000000000001</v>
      </c>
      <c r="K323" s="64">
        <f>5.9384 * CHOOSE(CONTROL!$C$22, $C$13, 100%, $E$13)</f>
        <v>5.9383999999999997</v>
      </c>
    </row>
    <row r="324" spans="1:11" ht="15">
      <c r="A324" s="13">
        <v>51502</v>
      </c>
      <c r="B324" s="63">
        <f>5.2322 * CHOOSE(CONTROL!$C$22, $C$13, 100%, $E$13)</f>
        <v>5.2321999999999997</v>
      </c>
      <c r="C324" s="63">
        <f>5.2322 * CHOOSE(CONTROL!$C$22, $C$13, 100%, $E$13)</f>
        <v>5.2321999999999997</v>
      </c>
      <c r="D324" s="63">
        <f>5.2451 * CHOOSE(CONTROL!$C$22, $C$13, 100%, $E$13)</f>
        <v>5.2450999999999999</v>
      </c>
      <c r="E324" s="64">
        <f>6.0167 * CHOOSE(CONTROL!$C$22, $C$13, 100%, $E$13)</f>
        <v>6.0167000000000002</v>
      </c>
      <c r="F324" s="64">
        <f>6.0167 * CHOOSE(CONTROL!$C$22, $C$13, 100%, $E$13)</f>
        <v>6.0167000000000002</v>
      </c>
      <c r="G324" s="64">
        <f>6.0168 * CHOOSE(CONTROL!$C$22, $C$13, 100%, $E$13)</f>
        <v>6.0167999999999999</v>
      </c>
      <c r="H324" s="64">
        <f>10.7* CHOOSE(CONTROL!$C$22, $C$13, 100%, $E$13)</f>
        <v>10.7</v>
      </c>
      <c r="I324" s="64">
        <f>10.7002 * CHOOSE(CONTROL!$C$22, $C$13, 100%, $E$13)</f>
        <v>10.700200000000001</v>
      </c>
      <c r="J324" s="64">
        <f>6.0167 * CHOOSE(CONTROL!$C$22, $C$13, 100%, $E$13)</f>
        <v>6.0167000000000002</v>
      </c>
      <c r="K324" s="64">
        <f>6.0168 * CHOOSE(CONTROL!$C$22, $C$13, 100%, $E$13)</f>
        <v>6.0167999999999999</v>
      </c>
    </row>
    <row r="325" spans="1:11" ht="15">
      <c r="A325" s="13">
        <v>51533</v>
      </c>
      <c r="B325" s="63">
        <f>5.2292 * CHOOSE(CONTROL!$C$22, $C$13, 100%, $E$13)</f>
        <v>5.2291999999999996</v>
      </c>
      <c r="C325" s="63">
        <f>5.2292 * CHOOSE(CONTROL!$C$22, $C$13, 100%, $E$13)</f>
        <v>5.2291999999999996</v>
      </c>
      <c r="D325" s="63">
        <f>5.2421 * CHOOSE(CONTROL!$C$22, $C$13, 100%, $E$13)</f>
        <v>5.2420999999999998</v>
      </c>
      <c r="E325" s="64">
        <f>5.9489 * CHOOSE(CONTROL!$C$22, $C$13, 100%, $E$13)</f>
        <v>5.9489000000000001</v>
      </c>
      <c r="F325" s="64">
        <f>5.9489 * CHOOSE(CONTROL!$C$22, $C$13, 100%, $E$13)</f>
        <v>5.9489000000000001</v>
      </c>
      <c r="G325" s="64">
        <f>5.949 * CHOOSE(CONTROL!$C$22, $C$13, 100%, $E$13)</f>
        <v>5.9489999999999998</v>
      </c>
      <c r="H325" s="64">
        <f>10.7223* CHOOSE(CONTROL!$C$22, $C$13, 100%, $E$13)</f>
        <v>10.722300000000001</v>
      </c>
      <c r="I325" s="64">
        <f>10.7225 * CHOOSE(CONTROL!$C$22, $C$13, 100%, $E$13)</f>
        <v>10.7225</v>
      </c>
      <c r="J325" s="64">
        <f>5.9489 * CHOOSE(CONTROL!$C$22, $C$13, 100%, $E$13)</f>
        <v>5.9489000000000001</v>
      </c>
      <c r="K325" s="64">
        <f>5.949 * CHOOSE(CONTROL!$C$22, $C$13, 100%, $E$13)</f>
        <v>5.9489999999999998</v>
      </c>
    </row>
    <row r="326" spans="1:11" ht="15">
      <c r="A326" s="13">
        <v>51561</v>
      </c>
      <c r="B326" s="63">
        <f>5.2262 * CHOOSE(CONTROL!$C$22, $C$13, 100%, $E$13)</f>
        <v>5.2262000000000004</v>
      </c>
      <c r="C326" s="63">
        <f>5.2262 * CHOOSE(CONTROL!$C$22, $C$13, 100%, $E$13)</f>
        <v>5.2262000000000004</v>
      </c>
      <c r="D326" s="63">
        <f>5.239 * CHOOSE(CONTROL!$C$22, $C$13, 100%, $E$13)</f>
        <v>5.2389999999999999</v>
      </c>
      <c r="E326" s="64">
        <f>5.9985 * CHOOSE(CONTROL!$C$22, $C$13, 100%, $E$13)</f>
        <v>5.9984999999999999</v>
      </c>
      <c r="F326" s="64">
        <f>5.9985 * CHOOSE(CONTROL!$C$22, $C$13, 100%, $E$13)</f>
        <v>5.9984999999999999</v>
      </c>
      <c r="G326" s="64">
        <f>5.9987 * CHOOSE(CONTROL!$C$22, $C$13, 100%, $E$13)</f>
        <v>5.9987000000000004</v>
      </c>
      <c r="H326" s="64">
        <f>10.7447* CHOOSE(CONTROL!$C$22, $C$13, 100%, $E$13)</f>
        <v>10.7447</v>
      </c>
      <c r="I326" s="64">
        <f>10.7448 * CHOOSE(CONTROL!$C$22, $C$13, 100%, $E$13)</f>
        <v>10.7448</v>
      </c>
      <c r="J326" s="64">
        <f>5.9985 * CHOOSE(CONTROL!$C$22, $C$13, 100%, $E$13)</f>
        <v>5.9984999999999999</v>
      </c>
      <c r="K326" s="64">
        <f>5.9987 * CHOOSE(CONTROL!$C$22, $C$13, 100%, $E$13)</f>
        <v>5.9987000000000004</v>
      </c>
    </row>
    <row r="327" spans="1:11" ht="15">
      <c r="A327" s="13">
        <v>51592</v>
      </c>
      <c r="B327" s="63">
        <f>5.2249 * CHOOSE(CONTROL!$C$22, $C$13, 100%, $E$13)</f>
        <v>5.2248999999999999</v>
      </c>
      <c r="C327" s="63">
        <f>5.2249 * CHOOSE(CONTROL!$C$22, $C$13, 100%, $E$13)</f>
        <v>5.2248999999999999</v>
      </c>
      <c r="D327" s="63">
        <f>5.2378 * CHOOSE(CONTROL!$C$22, $C$13, 100%, $E$13)</f>
        <v>5.2378</v>
      </c>
      <c r="E327" s="64">
        <f>6.0499 * CHOOSE(CONTROL!$C$22, $C$13, 100%, $E$13)</f>
        <v>6.0499000000000001</v>
      </c>
      <c r="F327" s="64">
        <f>6.0499 * CHOOSE(CONTROL!$C$22, $C$13, 100%, $E$13)</f>
        <v>6.0499000000000001</v>
      </c>
      <c r="G327" s="64">
        <f>6.0501 * CHOOSE(CONTROL!$C$22, $C$13, 100%, $E$13)</f>
        <v>6.0500999999999996</v>
      </c>
      <c r="H327" s="64">
        <f>10.767* CHOOSE(CONTROL!$C$22, $C$13, 100%, $E$13)</f>
        <v>10.766999999999999</v>
      </c>
      <c r="I327" s="64">
        <f>10.7672 * CHOOSE(CONTROL!$C$22, $C$13, 100%, $E$13)</f>
        <v>10.767200000000001</v>
      </c>
      <c r="J327" s="64">
        <f>6.0499 * CHOOSE(CONTROL!$C$22, $C$13, 100%, $E$13)</f>
        <v>6.0499000000000001</v>
      </c>
      <c r="K327" s="64">
        <f>6.0501 * CHOOSE(CONTROL!$C$22, $C$13, 100%, $E$13)</f>
        <v>6.0500999999999996</v>
      </c>
    </row>
    <row r="328" spans="1:11" ht="15">
      <c r="A328" s="13">
        <v>51622</v>
      </c>
      <c r="B328" s="63">
        <f>5.2249 * CHOOSE(CONTROL!$C$22, $C$13, 100%, $E$13)</f>
        <v>5.2248999999999999</v>
      </c>
      <c r="C328" s="63">
        <f>5.2249 * CHOOSE(CONTROL!$C$22, $C$13, 100%, $E$13)</f>
        <v>5.2248999999999999</v>
      </c>
      <c r="D328" s="63">
        <f>5.2507 * CHOOSE(CONTROL!$C$22, $C$13, 100%, $E$13)</f>
        <v>5.2507000000000001</v>
      </c>
      <c r="E328" s="64">
        <f>6.0707 * CHOOSE(CONTROL!$C$22, $C$13, 100%, $E$13)</f>
        <v>6.0707000000000004</v>
      </c>
      <c r="F328" s="64">
        <f>6.0707 * CHOOSE(CONTROL!$C$22, $C$13, 100%, $E$13)</f>
        <v>6.0707000000000004</v>
      </c>
      <c r="G328" s="64">
        <f>6.0724 * CHOOSE(CONTROL!$C$22, $C$13, 100%, $E$13)</f>
        <v>6.0724</v>
      </c>
      <c r="H328" s="64">
        <f>10.7895* CHOOSE(CONTROL!$C$22, $C$13, 100%, $E$13)</f>
        <v>10.7895</v>
      </c>
      <c r="I328" s="64">
        <f>10.7911 * CHOOSE(CONTROL!$C$22, $C$13, 100%, $E$13)</f>
        <v>10.7911</v>
      </c>
      <c r="J328" s="64">
        <f>6.0707 * CHOOSE(CONTROL!$C$22, $C$13, 100%, $E$13)</f>
        <v>6.0707000000000004</v>
      </c>
      <c r="K328" s="64">
        <f>6.0724 * CHOOSE(CONTROL!$C$22, $C$13, 100%, $E$13)</f>
        <v>6.0724</v>
      </c>
    </row>
    <row r="329" spans="1:11" ht="15">
      <c r="A329" s="13">
        <v>51653</v>
      </c>
      <c r="B329" s="63">
        <f>5.231 * CHOOSE(CONTROL!$C$22, $C$13, 100%, $E$13)</f>
        <v>5.2309999999999999</v>
      </c>
      <c r="C329" s="63">
        <f>5.231 * CHOOSE(CONTROL!$C$22, $C$13, 100%, $E$13)</f>
        <v>5.2309999999999999</v>
      </c>
      <c r="D329" s="63">
        <f>5.2568 * CHOOSE(CONTROL!$C$22, $C$13, 100%, $E$13)</f>
        <v>5.2568000000000001</v>
      </c>
      <c r="E329" s="64">
        <f>6.0541 * CHOOSE(CONTROL!$C$22, $C$13, 100%, $E$13)</f>
        <v>6.0541</v>
      </c>
      <c r="F329" s="64">
        <f>6.0541 * CHOOSE(CONTROL!$C$22, $C$13, 100%, $E$13)</f>
        <v>6.0541</v>
      </c>
      <c r="G329" s="64">
        <f>6.0558 * CHOOSE(CONTROL!$C$22, $C$13, 100%, $E$13)</f>
        <v>6.0557999999999996</v>
      </c>
      <c r="H329" s="64">
        <f>10.812* CHOOSE(CONTROL!$C$22, $C$13, 100%, $E$13)</f>
        <v>10.811999999999999</v>
      </c>
      <c r="I329" s="64">
        <f>10.8136 * CHOOSE(CONTROL!$C$22, $C$13, 100%, $E$13)</f>
        <v>10.813599999999999</v>
      </c>
      <c r="J329" s="64">
        <f>6.0541 * CHOOSE(CONTROL!$C$22, $C$13, 100%, $E$13)</f>
        <v>6.0541</v>
      </c>
      <c r="K329" s="64">
        <f>6.0558 * CHOOSE(CONTROL!$C$22, $C$13, 100%, $E$13)</f>
        <v>6.0557999999999996</v>
      </c>
    </row>
    <row r="330" spans="1:11" ht="15">
      <c r="A330" s="13">
        <v>51683</v>
      </c>
      <c r="B330" s="63">
        <f>5.3201 * CHOOSE(CONTROL!$C$22, $C$13, 100%, $E$13)</f>
        <v>5.3201000000000001</v>
      </c>
      <c r="C330" s="63">
        <f>5.3201 * CHOOSE(CONTROL!$C$22, $C$13, 100%, $E$13)</f>
        <v>5.3201000000000001</v>
      </c>
      <c r="D330" s="63">
        <f>5.3458 * CHOOSE(CONTROL!$C$22, $C$13, 100%, $E$13)</f>
        <v>5.3457999999999997</v>
      </c>
      <c r="E330" s="64">
        <f>6.1755 * CHOOSE(CONTROL!$C$22, $C$13, 100%, $E$13)</f>
        <v>6.1755000000000004</v>
      </c>
      <c r="F330" s="64">
        <f>6.1755 * CHOOSE(CONTROL!$C$22, $C$13, 100%, $E$13)</f>
        <v>6.1755000000000004</v>
      </c>
      <c r="G330" s="64">
        <f>6.1771 * CHOOSE(CONTROL!$C$22, $C$13, 100%, $E$13)</f>
        <v>6.1771000000000003</v>
      </c>
      <c r="H330" s="64">
        <f>10.8345* CHOOSE(CONTROL!$C$22, $C$13, 100%, $E$13)</f>
        <v>10.8345</v>
      </c>
      <c r="I330" s="64">
        <f>10.8361 * CHOOSE(CONTROL!$C$22, $C$13, 100%, $E$13)</f>
        <v>10.8361</v>
      </c>
      <c r="J330" s="64">
        <f>6.1755 * CHOOSE(CONTROL!$C$22, $C$13, 100%, $E$13)</f>
        <v>6.1755000000000004</v>
      </c>
      <c r="K330" s="64">
        <f>6.1771 * CHOOSE(CONTROL!$C$22, $C$13, 100%, $E$13)</f>
        <v>6.1771000000000003</v>
      </c>
    </row>
    <row r="331" spans="1:11" ht="15">
      <c r="A331" s="13">
        <v>51714</v>
      </c>
      <c r="B331" s="63">
        <f>5.3268 * CHOOSE(CONTROL!$C$22, $C$13, 100%, $E$13)</f>
        <v>5.3268000000000004</v>
      </c>
      <c r="C331" s="63">
        <f>5.3268 * CHOOSE(CONTROL!$C$22, $C$13, 100%, $E$13)</f>
        <v>5.3268000000000004</v>
      </c>
      <c r="D331" s="63">
        <f>5.3525 * CHOOSE(CONTROL!$C$22, $C$13, 100%, $E$13)</f>
        <v>5.3525</v>
      </c>
      <c r="E331" s="64">
        <f>6.1176 * CHOOSE(CONTROL!$C$22, $C$13, 100%, $E$13)</f>
        <v>6.1176000000000004</v>
      </c>
      <c r="F331" s="64">
        <f>6.1176 * CHOOSE(CONTROL!$C$22, $C$13, 100%, $E$13)</f>
        <v>6.1176000000000004</v>
      </c>
      <c r="G331" s="64">
        <f>6.1192 * CHOOSE(CONTROL!$C$22, $C$13, 100%, $E$13)</f>
        <v>6.1192000000000002</v>
      </c>
      <c r="H331" s="64">
        <f>10.8571* CHOOSE(CONTROL!$C$22, $C$13, 100%, $E$13)</f>
        <v>10.857100000000001</v>
      </c>
      <c r="I331" s="64">
        <f>10.8587 * CHOOSE(CONTROL!$C$22, $C$13, 100%, $E$13)</f>
        <v>10.858700000000001</v>
      </c>
      <c r="J331" s="64">
        <f>6.1176 * CHOOSE(CONTROL!$C$22, $C$13, 100%, $E$13)</f>
        <v>6.1176000000000004</v>
      </c>
      <c r="K331" s="64">
        <f>6.1192 * CHOOSE(CONTROL!$C$22, $C$13, 100%, $E$13)</f>
        <v>6.1192000000000002</v>
      </c>
    </row>
    <row r="332" spans="1:11" ht="15">
      <c r="A332" s="13">
        <v>51745</v>
      </c>
      <c r="B332" s="63">
        <f>5.3237 * CHOOSE(CONTROL!$C$22, $C$13, 100%, $E$13)</f>
        <v>5.3236999999999997</v>
      </c>
      <c r="C332" s="63">
        <f>5.3237 * CHOOSE(CONTROL!$C$22, $C$13, 100%, $E$13)</f>
        <v>5.3236999999999997</v>
      </c>
      <c r="D332" s="63">
        <f>5.3495 * CHOOSE(CONTROL!$C$22, $C$13, 100%, $E$13)</f>
        <v>5.3494999999999999</v>
      </c>
      <c r="E332" s="64">
        <f>6.1085 * CHOOSE(CONTROL!$C$22, $C$13, 100%, $E$13)</f>
        <v>6.1085000000000003</v>
      </c>
      <c r="F332" s="64">
        <f>6.1085 * CHOOSE(CONTROL!$C$22, $C$13, 100%, $E$13)</f>
        <v>6.1085000000000003</v>
      </c>
      <c r="G332" s="64">
        <f>6.1102 * CHOOSE(CONTROL!$C$22, $C$13, 100%, $E$13)</f>
        <v>6.1101999999999999</v>
      </c>
      <c r="H332" s="64">
        <f>10.8797* CHOOSE(CONTROL!$C$22, $C$13, 100%, $E$13)</f>
        <v>10.8797</v>
      </c>
      <c r="I332" s="64">
        <f>10.8813 * CHOOSE(CONTROL!$C$22, $C$13, 100%, $E$13)</f>
        <v>10.8813</v>
      </c>
      <c r="J332" s="64">
        <f>6.1085 * CHOOSE(CONTROL!$C$22, $C$13, 100%, $E$13)</f>
        <v>6.1085000000000003</v>
      </c>
      <c r="K332" s="64">
        <f>6.1102 * CHOOSE(CONTROL!$C$22, $C$13, 100%, $E$13)</f>
        <v>6.1101999999999999</v>
      </c>
    </row>
    <row r="333" spans="1:11" ht="15">
      <c r="A333" s="13">
        <v>51775</v>
      </c>
      <c r="B333" s="63">
        <f>5.3234 * CHOOSE(CONTROL!$C$22, $C$13, 100%, $E$13)</f>
        <v>5.3234000000000004</v>
      </c>
      <c r="C333" s="63">
        <f>5.3234 * CHOOSE(CONTROL!$C$22, $C$13, 100%, $E$13)</f>
        <v>5.3234000000000004</v>
      </c>
      <c r="D333" s="63">
        <f>5.3363 * CHOOSE(CONTROL!$C$22, $C$13, 100%, $E$13)</f>
        <v>5.3362999999999996</v>
      </c>
      <c r="E333" s="64">
        <f>6.1229 * CHOOSE(CONTROL!$C$22, $C$13, 100%, $E$13)</f>
        <v>6.1228999999999996</v>
      </c>
      <c r="F333" s="64">
        <f>6.1229 * CHOOSE(CONTROL!$C$22, $C$13, 100%, $E$13)</f>
        <v>6.1228999999999996</v>
      </c>
      <c r="G333" s="64">
        <f>6.1231 * CHOOSE(CONTROL!$C$22, $C$13, 100%, $E$13)</f>
        <v>6.1231</v>
      </c>
      <c r="H333" s="64">
        <f>10.9023* CHOOSE(CONTROL!$C$22, $C$13, 100%, $E$13)</f>
        <v>10.9023</v>
      </c>
      <c r="I333" s="64">
        <f>10.9025 * CHOOSE(CONTROL!$C$22, $C$13, 100%, $E$13)</f>
        <v>10.9025</v>
      </c>
      <c r="J333" s="64">
        <f>6.1229 * CHOOSE(CONTROL!$C$22, $C$13, 100%, $E$13)</f>
        <v>6.1228999999999996</v>
      </c>
      <c r="K333" s="64">
        <f>6.1231 * CHOOSE(CONTROL!$C$22, $C$13, 100%, $E$13)</f>
        <v>6.1231</v>
      </c>
    </row>
    <row r="334" spans="1:11" ht="15">
      <c r="A334" s="13">
        <v>51806</v>
      </c>
      <c r="B334" s="63">
        <f>5.3265 * CHOOSE(CONTROL!$C$22, $C$13, 100%, $E$13)</f>
        <v>5.3265000000000002</v>
      </c>
      <c r="C334" s="63">
        <f>5.3265 * CHOOSE(CONTROL!$C$22, $C$13, 100%, $E$13)</f>
        <v>5.3265000000000002</v>
      </c>
      <c r="D334" s="63">
        <f>5.3394 * CHOOSE(CONTROL!$C$22, $C$13, 100%, $E$13)</f>
        <v>5.3394000000000004</v>
      </c>
      <c r="E334" s="64">
        <f>6.1389 * CHOOSE(CONTROL!$C$22, $C$13, 100%, $E$13)</f>
        <v>6.1388999999999996</v>
      </c>
      <c r="F334" s="64">
        <f>6.1389 * CHOOSE(CONTROL!$C$22, $C$13, 100%, $E$13)</f>
        <v>6.1388999999999996</v>
      </c>
      <c r="G334" s="64">
        <f>6.1391 * CHOOSE(CONTROL!$C$22, $C$13, 100%, $E$13)</f>
        <v>6.1391</v>
      </c>
      <c r="H334" s="64">
        <f>10.9251* CHOOSE(CONTROL!$C$22, $C$13, 100%, $E$13)</f>
        <v>10.9251</v>
      </c>
      <c r="I334" s="64">
        <f>10.9252 * CHOOSE(CONTROL!$C$22, $C$13, 100%, $E$13)</f>
        <v>10.9252</v>
      </c>
      <c r="J334" s="64">
        <f>6.1389 * CHOOSE(CONTROL!$C$22, $C$13, 100%, $E$13)</f>
        <v>6.1388999999999996</v>
      </c>
      <c r="K334" s="64">
        <f>6.1391 * CHOOSE(CONTROL!$C$22, $C$13, 100%, $E$13)</f>
        <v>6.1391</v>
      </c>
    </row>
    <row r="335" spans="1:11" ht="15">
      <c r="A335" s="13">
        <v>51836</v>
      </c>
      <c r="B335" s="63">
        <f>5.3265 * CHOOSE(CONTROL!$C$22, $C$13, 100%, $E$13)</f>
        <v>5.3265000000000002</v>
      </c>
      <c r="C335" s="63">
        <f>5.3265 * CHOOSE(CONTROL!$C$22, $C$13, 100%, $E$13)</f>
        <v>5.3265000000000002</v>
      </c>
      <c r="D335" s="63">
        <f>5.3394 * CHOOSE(CONTROL!$C$22, $C$13, 100%, $E$13)</f>
        <v>5.3394000000000004</v>
      </c>
      <c r="E335" s="64">
        <f>6.1042 * CHOOSE(CONTROL!$C$22, $C$13, 100%, $E$13)</f>
        <v>6.1041999999999996</v>
      </c>
      <c r="F335" s="64">
        <f>6.1042 * CHOOSE(CONTROL!$C$22, $C$13, 100%, $E$13)</f>
        <v>6.1041999999999996</v>
      </c>
      <c r="G335" s="64">
        <f>6.1044 * CHOOSE(CONTROL!$C$22, $C$13, 100%, $E$13)</f>
        <v>6.1044</v>
      </c>
      <c r="H335" s="64">
        <f>10.9478* CHOOSE(CONTROL!$C$22, $C$13, 100%, $E$13)</f>
        <v>10.947800000000001</v>
      </c>
      <c r="I335" s="64">
        <f>10.948 * CHOOSE(CONTROL!$C$22, $C$13, 100%, $E$13)</f>
        <v>10.948</v>
      </c>
      <c r="J335" s="64">
        <f>6.1042 * CHOOSE(CONTROL!$C$22, $C$13, 100%, $E$13)</f>
        <v>6.1041999999999996</v>
      </c>
      <c r="K335" s="64">
        <f>6.1044 * CHOOSE(CONTROL!$C$22, $C$13, 100%, $E$13)</f>
        <v>6.1044</v>
      </c>
    </row>
    <row r="336" spans="1:11" ht="15">
      <c r="A336" s="13">
        <v>51867</v>
      </c>
      <c r="B336" s="63">
        <f>5.375 * CHOOSE(CONTROL!$C$22, $C$13, 100%, $E$13)</f>
        <v>5.375</v>
      </c>
      <c r="C336" s="63">
        <f>5.375 * CHOOSE(CONTROL!$C$22, $C$13, 100%, $E$13)</f>
        <v>5.375</v>
      </c>
      <c r="D336" s="63">
        <f>5.3879 * CHOOSE(CONTROL!$C$22, $C$13, 100%, $E$13)</f>
        <v>5.3879000000000001</v>
      </c>
      <c r="E336" s="64">
        <f>6.1849 * CHOOSE(CONTROL!$C$22, $C$13, 100%, $E$13)</f>
        <v>6.1848999999999998</v>
      </c>
      <c r="F336" s="64">
        <f>6.1849 * CHOOSE(CONTROL!$C$22, $C$13, 100%, $E$13)</f>
        <v>6.1848999999999998</v>
      </c>
      <c r="G336" s="64">
        <f>6.1851 * CHOOSE(CONTROL!$C$22, $C$13, 100%, $E$13)</f>
        <v>6.1851000000000003</v>
      </c>
      <c r="H336" s="64">
        <f>10.9706* CHOOSE(CONTROL!$C$22, $C$13, 100%, $E$13)</f>
        <v>10.970599999999999</v>
      </c>
      <c r="I336" s="64">
        <f>10.9708 * CHOOSE(CONTROL!$C$22, $C$13, 100%, $E$13)</f>
        <v>10.970800000000001</v>
      </c>
      <c r="J336" s="64">
        <f>6.1849 * CHOOSE(CONTROL!$C$22, $C$13, 100%, $E$13)</f>
        <v>6.1848999999999998</v>
      </c>
      <c r="K336" s="64">
        <f>6.1851 * CHOOSE(CONTROL!$C$22, $C$13, 100%, $E$13)</f>
        <v>6.1851000000000003</v>
      </c>
    </row>
    <row r="337" spans="1:11" ht="15">
      <c r="A337" s="13">
        <v>51898</v>
      </c>
      <c r="B337" s="63">
        <f>5.372 * CHOOSE(CONTROL!$C$22, $C$13, 100%, $E$13)</f>
        <v>5.3719999999999999</v>
      </c>
      <c r="C337" s="63">
        <f>5.372 * CHOOSE(CONTROL!$C$22, $C$13, 100%, $E$13)</f>
        <v>5.3719999999999999</v>
      </c>
      <c r="D337" s="63">
        <f>5.3849 * CHOOSE(CONTROL!$C$22, $C$13, 100%, $E$13)</f>
        <v>5.3849</v>
      </c>
      <c r="E337" s="64">
        <f>6.1153 * CHOOSE(CONTROL!$C$22, $C$13, 100%, $E$13)</f>
        <v>6.1153000000000004</v>
      </c>
      <c r="F337" s="64">
        <f>6.1153 * CHOOSE(CONTROL!$C$22, $C$13, 100%, $E$13)</f>
        <v>6.1153000000000004</v>
      </c>
      <c r="G337" s="64">
        <f>6.1154 * CHOOSE(CONTROL!$C$22, $C$13, 100%, $E$13)</f>
        <v>6.1154000000000002</v>
      </c>
      <c r="H337" s="64">
        <f>10.9935* CHOOSE(CONTROL!$C$22, $C$13, 100%, $E$13)</f>
        <v>10.993499999999999</v>
      </c>
      <c r="I337" s="64">
        <f>10.9937 * CHOOSE(CONTROL!$C$22, $C$13, 100%, $E$13)</f>
        <v>10.9937</v>
      </c>
      <c r="J337" s="64">
        <f>6.1153 * CHOOSE(CONTROL!$C$22, $C$13, 100%, $E$13)</f>
        <v>6.1153000000000004</v>
      </c>
      <c r="K337" s="64">
        <f>6.1154 * CHOOSE(CONTROL!$C$22, $C$13, 100%, $E$13)</f>
        <v>6.1154000000000002</v>
      </c>
    </row>
    <row r="338" spans="1:11" ht="15">
      <c r="A338" s="13">
        <v>51926</v>
      </c>
      <c r="B338" s="63">
        <f>5.369 * CHOOSE(CONTROL!$C$22, $C$13, 100%, $E$13)</f>
        <v>5.3689999999999998</v>
      </c>
      <c r="C338" s="63">
        <f>5.369 * CHOOSE(CONTROL!$C$22, $C$13, 100%, $E$13)</f>
        <v>5.3689999999999998</v>
      </c>
      <c r="D338" s="63">
        <f>5.3818 * CHOOSE(CONTROL!$C$22, $C$13, 100%, $E$13)</f>
        <v>5.3818000000000001</v>
      </c>
      <c r="E338" s="64">
        <f>6.1664 * CHOOSE(CONTROL!$C$22, $C$13, 100%, $E$13)</f>
        <v>6.1664000000000003</v>
      </c>
      <c r="F338" s="64">
        <f>6.1664 * CHOOSE(CONTROL!$C$22, $C$13, 100%, $E$13)</f>
        <v>6.1664000000000003</v>
      </c>
      <c r="G338" s="64">
        <f>6.1665 * CHOOSE(CONTROL!$C$22, $C$13, 100%, $E$13)</f>
        <v>6.1665000000000001</v>
      </c>
      <c r="H338" s="64">
        <f>11.0164* CHOOSE(CONTROL!$C$22, $C$13, 100%, $E$13)</f>
        <v>11.016400000000001</v>
      </c>
      <c r="I338" s="64">
        <f>11.0166 * CHOOSE(CONTROL!$C$22, $C$13, 100%, $E$13)</f>
        <v>11.0166</v>
      </c>
      <c r="J338" s="64">
        <f>6.1664 * CHOOSE(CONTROL!$C$22, $C$13, 100%, $E$13)</f>
        <v>6.1664000000000003</v>
      </c>
      <c r="K338" s="64">
        <f>6.1665 * CHOOSE(CONTROL!$C$22, $C$13, 100%, $E$13)</f>
        <v>6.1665000000000001</v>
      </c>
    </row>
    <row r="339" spans="1:11" ht="15">
      <c r="A339" s="13">
        <v>51957</v>
      </c>
      <c r="B339" s="63">
        <f>5.3679 * CHOOSE(CONTROL!$C$22, $C$13, 100%, $E$13)</f>
        <v>5.3678999999999997</v>
      </c>
      <c r="C339" s="63">
        <f>5.3679 * CHOOSE(CONTROL!$C$22, $C$13, 100%, $E$13)</f>
        <v>5.3678999999999997</v>
      </c>
      <c r="D339" s="63">
        <f>5.3807 * CHOOSE(CONTROL!$C$22, $C$13, 100%, $E$13)</f>
        <v>5.3807</v>
      </c>
      <c r="E339" s="64">
        <f>6.2193 * CHOOSE(CONTROL!$C$22, $C$13, 100%, $E$13)</f>
        <v>6.2192999999999996</v>
      </c>
      <c r="F339" s="64">
        <f>6.2193 * CHOOSE(CONTROL!$C$22, $C$13, 100%, $E$13)</f>
        <v>6.2192999999999996</v>
      </c>
      <c r="G339" s="64">
        <f>6.2195 * CHOOSE(CONTROL!$C$22, $C$13, 100%, $E$13)</f>
        <v>6.2195</v>
      </c>
      <c r="H339" s="64">
        <f>11.0393* CHOOSE(CONTROL!$C$22, $C$13, 100%, $E$13)</f>
        <v>11.039300000000001</v>
      </c>
      <c r="I339" s="64">
        <f>11.0395 * CHOOSE(CONTROL!$C$22, $C$13, 100%, $E$13)</f>
        <v>11.0395</v>
      </c>
      <c r="J339" s="64">
        <f>6.2193 * CHOOSE(CONTROL!$C$22, $C$13, 100%, $E$13)</f>
        <v>6.2192999999999996</v>
      </c>
      <c r="K339" s="64">
        <f>6.2195 * CHOOSE(CONTROL!$C$22, $C$13, 100%, $E$13)</f>
        <v>6.2195</v>
      </c>
    </row>
    <row r="340" spans="1:11" ht="15">
      <c r="A340" s="13">
        <v>51987</v>
      </c>
      <c r="B340" s="63">
        <f>5.3679 * CHOOSE(CONTROL!$C$22, $C$13, 100%, $E$13)</f>
        <v>5.3678999999999997</v>
      </c>
      <c r="C340" s="63">
        <f>5.3679 * CHOOSE(CONTROL!$C$22, $C$13, 100%, $E$13)</f>
        <v>5.3678999999999997</v>
      </c>
      <c r="D340" s="63">
        <f>5.3936 * CHOOSE(CONTROL!$C$22, $C$13, 100%, $E$13)</f>
        <v>5.3936000000000002</v>
      </c>
      <c r="E340" s="64">
        <f>6.2407 * CHOOSE(CONTROL!$C$22, $C$13, 100%, $E$13)</f>
        <v>6.2407000000000004</v>
      </c>
      <c r="F340" s="64">
        <f>6.2407 * CHOOSE(CONTROL!$C$22, $C$13, 100%, $E$13)</f>
        <v>6.2407000000000004</v>
      </c>
      <c r="G340" s="64">
        <f>6.2424 * CHOOSE(CONTROL!$C$22, $C$13, 100%, $E$13)</f>
        <v>6.2423999999999999</v>
      </c>
      <c r="H340" s="64">
        <f>11.0623* CHOOSE(CONTROL!$C$22, $C$13, 100%, $E$13)</f>
        <v>11.0623</v>
      </c>
      <c r="I340" s="64">
        <f>11.064 * CHOOSE(CONTROL!$C$22, $C$13, 100%, $E$13)</f>
        <v>11.064</v>
      </c>
      <c r="J340" s="64">
        <f>6.2407 * CHOOSE(CONTROL!$C$22, $C$13, 100%, $E$13)</f>
        <v>6.2407000000000004</v>
      </c>
      <c r="K340" s="64">
        <f>6.2424 * CHOOSE(CONTROL!$C$22, $C$13, 100%, $E$13)</f>
        <v>6.2423999999999999</v>
      </c>
    </row>
    <row r="341" spans="1:11" ht="15">
      <c r="A341" s="13">
        <v>52018</v>
      </c>
      <c r="B341" s="63">
        <f>5.3739 * CHOOSE(CONTROL!$C$22, $C$13, 100%, $E$13)</f>
        <v>5.3738999999999999</v>
      </c>
      <c r="C341" s="63">
        <f>5.3739 * CHOOSE(CONTROL!$C$22, $C$13, 100%, $E$13)</f>
        <v>5.3738999999999999</v>
      </c>
      <c r="D341" s="63">
        <f>5.3997 * CHOOSE(CONTROL!$C$22, $C$13, 100%, $E$13)</f>
        <v>5.3997000000000002</v>
      </c>
      <c r="E341" s="64">
        <f>6.2235 * CHOOSE(CONTROL!$C$22, $C$13, 100%, $E$13)</f>
        <v>6.2234999999999996</v>
      </c>
      <c r="F341" s="64">
        <f>6.2235 * CHOOSE(CONTROL!$C$22, $C$13, 100%, $E$13)</f>
        <v>6.2234999999999996</v>
      </c>
      <c r="G341" s="64">
        <f>6.2252 * CHOOSE(CONTROL!$C$22, $C$13, 100%, $E$13)</f>
        <v>6.2252000000000001</v>
      </c>
      <c r="H341" s="64">
        <f>11.0854* CHOOSE(CONTROL!$C$22, $C$13, 100%, $E$13)</f>
        <v>11.0854</v>
      </c>
      <c r="I341" s="64">
        <f>11.087 * CHOOSE(CONTROL!$C$22, $C$13, 100%, $E$13)</f>
        <v>11.087</v>
      </c>
      <c r="J341" s="64">
        <f>6.2235 * CHOOSE(CONTROL!$C$22, $C$13, 100%, $E$13)</f>
        <v>6.2234999999999996</v>
      </c>
      <c r="K341" s="64">
        <f>6.2252 * CHOOSE(CONTROL!$C$22, $C$13, 100%, $E$13)</f>
        <v>6.2252000000000001</v>
      </c>
    </row>
    <row r="342" spans="1:11" ht="15">
      <c r="A342" s="13">
        <v>52048</v>
      </c>
      <c r="B342" s="63">
        <f>5.4644 * CHOOSE(CONTROL!$C$22, $C$13, 100%, $E$13)</f>
        <v>5.4644000000000004</v>
      </c>
      <c r="C342" s="63">
        <f>5.4644 * CHOOSE(CONTROL!$C$22, $C$13, 100%, $E$13)</f>
        <v>5.4644000000000004</v>
      </c>
      <c r="D342" s="63">
        <f>5.4901 * CHOOSE(CONTROL!$C$22, $C$13, 100%, $E$13)</f>
        <v>5.4901</v>
      </c>
      <c r="E342" s="64">
        <f>6.3483 * CHOOSE(CONTROL!$C$22, $C$13, 100%, $E$13)</f>
        <v>6.3483000000000001</v>
      </c>
      <c r="F342" s="64">
        <f>6.3483 * CHOOSE(CONTROL!$C$22, $C$13, 100%, $E$13)</f>
        <v>6.3483000000000001</v>
      </c>
      <c r="G342" s="64">
        <f>6.3499 * CHOOSE(CONTROL!$C$22, $C$13, 100%, $E$13)</f>
        <v>6.3498999999999999</v>
      </c>
      <c r="H342" s="64">
        <f>11.1085* CHOOSE(CONTROL!$C$22, $C$13, 100%, $E$13)</f>
        <v>11.108499999999999</v>
      </c>
      <c r="I342" s="64">
        <f>11.1101 * CHOOSE(CONTROL!$C$22, $C$13, 100%, $E$13)</f>
        <v>11.110099999999999</v>
      </c>
      <c r="J342" s="64">
        <f>6.3483 * CHOOSE(CONTROL!$C$22, $C$13, 100%, $E$13)</f>
        <v>6.3483000000000001</v>
      </c>
      <c r="K342" s="64">
        <f>6.3499 * CHOOSE(CONTROL!$C$22, $C$13, 100%, $E$13)</f>
        <v>6.3498999999999999</v>
      </c>
    </row>
    <row r="343" spans="1:11" ht="15">
      <c r="A343" s="13">
        <v>52079</v>
      </c>
      <c r="B343" s="63">
        <f>5.4711 * CHOOSE(CONTROL!$C$22, $C$13, 100%, $E$13)</f>
        <v>5.4710999999999999</v>
      </c>
      <c r="C343" s="63">
        <f>5.4711 * CHOOSE(CONTROL!$C$22, $C$13, 100%, $E$13)</f>
        <v>5.4710999999999999</v>
      </c>
      <c r="D343" s="63">
        <f>5.4968 * CHOOSE(CONTROL!$C$22, $C$13, 100%, $E$13)</f>
        <v>5.4968000000000004</v>
      </c>
      <c r="E343" s="64">
        <f>6.2886 * CHOOSE(CONTROL!$C$22, $C$13, 100%, $E$13)</f>
        <v>6.2885999999999997</v>
      </c>
      <c r="F343" s="64">
        <f>6.2886 * CHOOSE(CONTROL!$C$22, $C$13, 100%, $E$13)</f>
        <v>6.2885999999999997</v>
      </c>
      <c r="G343" s="64">
        <f>6.2903 * CHOOSE(CONTROL!$C$22, $C$13, 100%, $E$13)</f>
        <v>6.2903000000000002</v>
      </c>
      <c r="H343" s="64">
        <f>11.1316* CHOOSE(CONTROL!$C$22, $C$13, 100%, $E$13)</f>
        <v>11.131600000000001</v>
      </c>
      <c r="I343" s="64">
        <f>11.1333 * CHOOSE(CONTROL!$C$22, $C$13, 100%, $E$13)</f>
        <v>11.1333</v>
      </c>
      <c r="J343" s="64">
        <f>6.2886 * CHOOSE(CONTROL!$C$22, $C$13, 100%, $E$13)</f>
        <v>6.2885999999999997</v>
      </c>
      <c r="K343" s="64">
        <f>6.2903 * CHOOSE(CONTROL!$C$22, $C$13, 100%, $E$13)</f>
        <v>6.2903000000000002</v>
      </c>
    </row>
    <row r="344" spans="1:11" ht="15">
      <c r="A344" s="13">
        <v>52110</v>
      </c>
      <c r="B344" s="63">
        <f>5.468 * CHOOSE(CONTROL!$C$22, $C$13, 100%, $E$13)</f>
        <v>5.468</v>
      </c>
      <c r="C344" s="63">
        <f>5.468 * CHOOSE(CONTROL!$C$22, $C$13, 100%, $E$13)</f>
        <v>5.468</v>
      </c>
      <c r="D344" s="63">
        <f>5.4938 * CHOOSE(CONTROL!$C$22, $C$13, 100%, $E$13)</f>
        <v>5.4938000000000002</v>
      </c>
      <c r="E344" s="64">
        <f>6.2794 * CHOOSE(CONTROL!$C$22, $C$13, 100%, $E$13)</f>
        <v>6.2793999999999999</v>
      </c>
      <c r="F344" s="64">
        <f>6.2794 * CHOOSE(CONTROL!$C$22, $C$13, 100%, $E$13)</f>
        <v>6.2793999999999999</v>
      </c>
      <c r="G344" s="64">
        <f>6.281 * CHOOSE(CONTROL!$C$22, $C$13, 100%, $E$13)</f>
        <v>6.2809999999999997</v>
      </c>
      <c r="H344" s="64">
        <f>11.1548* CHOOSE(CONTROL!$C$22, $C$13, 100%, $E$13)</f>
        <v>11.1548</v>
      </c>
      <c r="I344" s="64">
        <f>11.1564 * CHOOSE(CONTROL!$C$22, $C$13, 100%, $E$13)</f>
        <v>11.1564</v>
      </c>
      <c r="J344" s="64">
        <f>6.2794 * CHOOSE(CONTROL!$C$22, $C$13, 100%, $E$13)</f>
        <v>6.2793999999999999</v>
      </c>
      <c r="K344" s="64">
        <f>6.281 * CHOOSE(CONTROL!$C$22, $C$13, 100%, $E$13)</f>
        <v>6.2809999999999997</v>
      </c>
    </row>
    <row r="345" spans="1:11" ht="15">
      <c r="A345" s="13">
        <v>52140</v>
      </c>
      <c r="B345" s="63">
        <f>5.4682 * CHOOSE(CONTROL!$C$22, $C$13, 100%, $E$13)</f>
        <v>5.4682000000000004</v>
      </c>
      <c r="C345" s="63">
        <f>5.4682 * CHOOSE(CONTROL!$C$22, $C$13, 100%, $E$13)</f>
        <v>5.4682000000000004</v>
      </c>
      <c r="D345" s="63">
        <f>5.4811 * CHOOSE(CONTROL!$C$22, $C$13, 100%, $E$13)</f>
        <v>5.4810999999999996</v>
      </c>
      <c r="E345" s="64">
        <f>6.2945 * CHOOSE(CONTROL!$C$22, $C$13, 100%, $E$13)</f>
        <v>6.2945000000000002</v>
      </c>
      <c r="F345" s="64">
        <f>6.2945 * CHOOSE(CONTROL!$C$22, $C$13, 100%, $E$13)</f>
        <v>6.2945000000000002</v>
      </c>
      <c r="G345" s="64">
        <f>6.2947 * CHOOSE(CONTROL!$C$22, $C$13, 100%, $E$13)</f>
        <v>6.2946999999999997</v>
      </c>
      <c r="H345" s="64">
        <f>11.178* CHOOSE(CONTROL!$C$22, $C$13, 100%, $E$13)</f>
        <v>11.178000000000001</v>
      </c>
      <c r="I345" s="64">
        <f>11.1782 * CHOOSE(CONTROL!$C$22, $C$13, 100%, $E$13)</f>
        <v>11.1782</v>
      </c>
      <c r="J345" s="64">
        <f>6.2945 * CHOOSE(CONTROL!$C$22, $C$13, 100%, $E$13)</f>
        <v>6.2945000000000002</v>
      </c>
      <c r="K345" s="64">
        <f>6.2947 * CHOOSE(CONTROL!$C$22, $C$13, 100%, $E$13)</f>
        <v>6.2946999999999997</v>
      </c>
    </row>
    <row r="346" spans="1:11" ht="15">
      <c r="A346" s="13">
        <v>52171</v>
      </c>
      <c r="B346" s="63">
        <f>5.4713 * CHOOSE(CONTROL!$C$22, $C$13, 100%, $E$13)</f>
        <v>5.4713000000000003</v>
      </c>
      <c r="C346" s="63">
        <f>5.4713 * CHOOSE(CONTROL!$C$22, $C$13, 100%, $E$13)</f>
        <v>5.4713000000000003</v>
      </c>
      <c r="D346" s="63">
        <f>5.4841 * CHOOSE(CONTROL!$C$22, $C$13, 100%, $E$13)</f>
        <v>5.4840999999999998</v>
      </c>
      <c r="E346" s="64">
        <f>6.311 * CHOOSE(CONTROL!$C$22, $C$13, 100%, $E$13)</f>
        <v>6.3109999999999999</v>
      </c>
      <c r="F346" s="64">
        <f>6.311 * CHOOSE(CONTROL!$C$22, $C$13, 100%, $E$13)</f>
        <v>6.3109999999999999</v>
      </c>
      <c r="G346" s="64">
        <f>6.3111 * CHOOSE(CONTROL!$C$22, $C$13, 100%, $E$13)</f>
        <v>6.3110999999999997</v>
      </c>
      <c r="H346" s="64">
        <f>11.2013* CHOOSE(CONTROL!$C$22, $C$13, 100%, $E$13)</f>
        <v>11.2013</v>
      </c>
      <c r="I346" s="64">
        <f>11.2015 * CHOOSE(CONTROL!$C$22, $C$13, 100%, $E$13)</f>
        <v>11.201499999999999</v>
      </c>
      <c r="J346" s="64">
        <f>6.311 * CHOOSE(CONTROL!$C$22, $C$13, 100%, $E$13)</f>
        <v>6.3109999999999999</v>
      </c>
      <c r="K346" s="64">
        <f>6.3111 * CHOOSE(CONTROL!$C$22, $C$13, 100%, $E$13)</f>
        <v>6.3110999999999997</v>
      </c>
    </row>
    <row r="347" spans="1:11" ht="15">
      <c r="A347" s="13">
        <v>52201</v>
      </c>
      <c r="B347" s="63">
        <f>5.4713 * CHOOSE(CONTROL!$C$22, $C$13, 100%, $E$13)</f>
        <v>5.4713000000000003</v>
      </c>
      <c r="C347" s="63">
        <f>5.4713 * CHOOSE(CONTROL!$C$22, $C$13, 100%, $E$13)</f>
        <v>5.4713000000000003</v>
      </c>
      <c r="D347" s="63">
        <f>5.4841 * CHOOSE(CONTROL!$C$22, $C$13, 100%, $E$13)</f>
        <v>5.4840999999999998</v>
      </c>
      <c r="E347" s="64">
        <f>6.2752 * CHOOSE(CONTROL!$C$22, $C$13, 100%, $E$13)</f>
        <v>6.2751999999999999</v>
      </c>
      <c r="F347" s="64">
        <f>6.2752 * CHOOSE(CONTROL!$C$22, $C$13, 100%, $E$13)</f>
        <v>6.2751999999999999</v>
      </c>
      <c r="G347" s="64">
        <f>6.2754 * CHOOSE(CONTROL!$C$22, $C$13, 100%, $E$13)</f>
        <v>6.2754000000000003</v>
      </c>
      <c r="H347" s="64">
        <f>11.2247* CHOOSE(CONTROL!$C$22, $C$13, 100%, $E$13)</f>
        <v>11.2247</v>
      </c>
      <c r="I347" s="64">
        <f>11.2248 * CHOOSE(CONTROL!$C$22, $C$13, 100%, $E$13)</f>
        <v>11.2248</v>
      </c>
      <c r="J347" s="64">
        <f>6.2752 * CHOOSE(CONTROL!$C$22, $C$13, 100%, $E$13)</f>
        <v>6.2751999999999999</v>
      </c>
      <c r="K347" s="64">
        <f>6.2754 * CHOOSE(CONTROL!$C$22, $C$13, 100%, $E$13)</f>
        <v>6.2754000000000003</v>
      </c>
    </row>
    <row r="348" spans="1:11" ht="15">
      <c r="A348" s="13">
        <v>52232</v>
      </c>
      <c r="B348" s="63">
        <f>5.5212 * CHOOSE(CONTROL!$C$22, $C$13, 100%, $E$13)</f>
        <v>5.5212000000000003</v>
      </c>
      <c r="C348" s="63">
        <f>5.5212 * CHOOSE(CONTROL!$C$22, $C$13, 100%, $E$13)</f>
        <v>5.5212000000000003</v>
      </c>
      <c r="D348" s="63">
        <f>5.5341 * CHOOSE(CONTROL!$C$22, $C$13, 100%, $E$13)</f>
        <v>5.5340999999999996</v>
      </c>
      <c r="E348" s="64">
        <f>6.358 * CHOOSE(CONTROL!$C$22, $C$13, 100%, $E$13)</f>
        <v>6.3579999999999997</v>
      </c>
      <c r="F348" s="64">
        <f>6.358 * CHOOSE(CONTROL!$C$22, $C$13, 100%, $E$13)</f>
        <v>6.3579999999999997</v>
      </c>
      <c r="G348" s="64">
        <f>6.3582 * CHOOSE(CONTROL!$C$22, $C$13, 100%, $E$13)</f>
        <v>6.3582000000000001</v>
      </c>
      <c r="H348" s="64">
        <f>11.2481* CHOOSE(CONTROL!$C$22, $C$13, 100%, $E$13)</f>
        <v>11.248100000000001</v>
      </c>
      <c r="I348" s="64">
        <f>11.2482 * CHOOSE(CONTROL!$C$22, $C$13, 100%, $E$13)</f>
        <v>11.248200000000001</v>
      </c>
      <c r="J348" s="64">
        <f>6.358 * CHOOSE(CONTROL!$C$22, $C$13, 100%, $E$13)</f>
        <v>6.3579999999999997</v>
      </c>
      <c r="K348" s="64">
        <f>6.3582 * CHOOSE(CONTROL!$C$22, $C$13, 100%, $E$13)</f>
        <v>6.3582000000000001</v>
      </c>
    </row>
    <row r="349" spans="1:11" ht="15">
      <c r="A349" s="13">
        <v>52263</v>
      </c>
      <c r="B349" s="63">
        <f>5.5182 * CHOOSE(CONTROL!$C$22, $C$13, 100%, $E$13)</f>
        <v>5.5182000000000002</v>
      </c>
      <c r="C349" s="63">
        <f>5.5182 * CHOOSE(CONTROL!$C$22, $C$13, 100%, $E$13)</f>
        <v>5.5182000000000002</v>
      </c>
      <c r="D349" s="63">
        <f>5.531 * CHOOSE(CONTROL!$C$22, $C$13, 100%, $E$13)</f>
        <v>5.5309999999999997</v>
      </c>
      <c r="E349" s="64">
        <f>6.2865 * CHOOSE(CONTROL!$C$22, $C$13, 100%, $E$13)</f>
        <v>6.2865000000000002</v>
      </c>
      <c r="F349" s="64">
        <f>6.2865 * CHOOSE(CONTROL!$C$22, $C$13, 100%, $E$13)</f>
        <v>6.2865000000000002</v>
      </c>
      <c r="G349" s="64">
        <f>6.2867 * CHOOSE(CONTROL!$C$22, $C$13, 100%, $E$13)</f>
        <v>6.2866999999999997</v>
      </c>
      <c r="H349" s="64">
        <f>11.2715* CHOOSE(CONTROL!$C$22, $C$13, 100%, $E$13)</f>
        <v>11.2715</v>
      </c>
      <c r="I349" s="64">
        <f>11.2717 * CHOOSE(CONTROL!$C$22, $C$13, 100%, $E$13)</f>
        <v>11.271699999999999</v>
      </c>
      <c r="J349" s="64">
        <f>6.2865 * CHOOSE(CONTROL!$C$22, $C$13, 100%, $E$13)</f>
        <v>6.2865000000000002</v>
      </c>
      <c r="K349" s="64">
        <f>6.2867 * CHOOSE(CONTROL!$C$22, $C$13, 100%, $E$13)</f>
        <v>6.2866999999999997</v>
      </c>
    </row>
    <row r="350" spans="1:11" ht="15">
      <c r="A350" s="13">
        <v>52291</v>
      </c>
      <c r="B350" s="63">
        <f>5.5151 * CHOOSE(CONTROL!$C$22, $C$13, 100%, $E$13)</f>
        <v>5.5151000000000003</v>
      </c>
      <c r="C350" s="63">
        <f>5.5151 * CHOOSE(CONTROL!$C$22, $C$13, 100%, $E$13)</f>
        <v>5.5151000000000003</v>
      </c>
      <c r="D350" s="63">
        <f>5.528 * CHOOSE(CONTROL!$C$22, $C$13, 100%, $E$13)</f>
        <v>5.5279999999999996</v>
      </c>
      <c r="E350" s="64">
        <f>6.3391 * CHOOSE(CONTROL!$C$22, $C$13, 100%, $E$13)</f>
        <v>6.3391000000000002</v>
      </c>
      <c r="F350" s="64">
        <f>6.3391 * CHOOSE(CONTROL!$C$22, $C$13, 100%, $E$13)</f>
        <v>6.3391000000000002</v>
      </c>
      <c r="G350" s="64">
        <f>6.3393 * CHOOSE(CONTROL!$C$22, $C$13, 100%, $E$13)</f>
        <v>6.3392999999999997</v>
      </c>
      <c r="H350" s="64">
        <f>11.295* CHOOSE(CONTROL!$C$22, $C$13, 100%, $E$13)</f>
        <v>11.295</v>
      </c>
      <c r="I350" s="64">
        <f>11.2951 * CHOOSE(CONTROL!$C$22, $C$13, 100%, $E$13)</f>
        <v>11.2951</v>
      </c>
      <c r="J350" s="64">
        <f>6.3391 * CHOOSE(CONTROL!$C$22, $C$13, 100%, $E$13)</f>
        <v>6.3391000000000002</v>
      </c>
      <c r="K350" s="64">
        <f>6.3393 * CHOOSE(CONTROL!$C$22, $C$13, 100%, $E$13)</f>
        <v>6.3392999999999997</v>
      </c>
    </row>
    <row r="351" spans="1:11" ht="15">
      <c r="A351" s="13">
        <v>52322</v>
      </c>
      <c r="B351" s="63">
        <f>5.5142 * CHOOSE(CONTROL!$C$22, $C$13, 100%, $E$13)</f>
        <v>5.5141999999999998</v>
      </c>
      <c r="C351" s="63">
        <f>5.5142 * CHOOSE(CONTROL!$C$22, $C$13, 100%, $E$13)</f>
        <v>5.5141999999999998</v>
      </c>
      <c r="D351" s="63">
        <f>5.527 * CHOOSE(CONTROL!$C$22, $C$13, 100%, $E$13)</f>
        <v>5.5270000000000001</v>
      </c>
      <c r="E351" s="64">
        <f>6.3936 * CHOOSE(CONTROL!$C$22, $C$13, 100%, $E$13)</f>
        <v>6.3936000000000002</v>
      </c>
      <c r="F351" s="64">
        <f>6.3936 * CHOOSE(CONTROL!$C$22, $C$13, 100%, $E$13)</f>
        <v>6.3936000000000002</v>
      </c>
      <c r="G351" s="64">
        <f>6.3938 * CHOOSE(CONTROL!$C$22, $C$13, 100%, $E$13)</f>
        <v>6.3937999999999997</v>
      </c>
      <c r="H351" s="64">
        <f>11.3185* CHOOSE(CONTROL!$C$22, $C$13, 100%, $E$13)</f>
        <v>11.3185</v>
      </c>
      <c r="I351" s="64">
        <f>11.3187 * CHOOSE(CONTROL!$C$22, $C$13, 100%, $E$13)</f>
        <v>11.3187</v>
      </c>
      <c r="J351" s="64">
        <f>6.3936 * CHOOSE(CONTROL!$C$22, $C$13, 100%, $E$13)</f>
        <v>6.3936000000000002</v>
      </c>
      <c r="K351" s="64">
        <f>6.3938 * CHOOSE(CONTROL!$C$22, $C$13, 100%, $E$13)</f>
        <v>6.3937999999999997</v>
      </c>
    </row>
    <row r="352" spans="1:11" ht="15">
      <c r="A352" s="13">
        <v>52352</v>
      </c>
      <c r="B352" s="63">
        <f>5.5142 * CHOOSE(CONTROL!$C$22, $C$13, 100%, $E$13)</f>
        <v>5.5141999999999998</v>
      </c>
      <c r="C352" s="63">
        <f>5.5142 * CHOOSE(CONTROL!$C$22, $C$13, 100%, $E$13)</f>
        <v>5.5141999999999998</v>
      </c>
      <c r="D352" s="63">
        <f>5.5399 * CHOOSE(CONTROL!$C$22, $C$13, 100%, $E$13)</f>
        <v>5.5399000000000003</v>
      </c>
      <c r="E352" s="64">
        <f>6.4157 * CHOOSE(CONTROL!$C$22, $C$13, 100%, $E$13)</f>
        <v>6.4157000000000002</v>
      </c>
      <c r="F352" s="64">
        <f>6.4157 * CHOOSE(CONTROL!$C$22, $C$13, 100%, $E$13)</f>
        <v>6.4157000000000002</v>
      </c>
      <c r="G352" s="64">
        <f>6.4173 * CHOOSE(CONTROL!$C$22, $C$13, 100%, $E$13)</f>
        <v>6.4173</v>
      </c>
      <c r="H352" s="64">
        <f>11.3421* CHOOSE(CONTROL!$C$22, $C$13, 100%, $E$13)</f>
        <v>11.3421</v>
      </c>
      <c r="I352" s="64">
        <f>11.3437 * CHOOSE(CONTROL!$C$22, $C$13, 100%, $E$13)</f>
        <v>11.3437</v>
      </c>
      <c r="J352" s="64">
        <f>6.4157 * CHOOSE(CONTROL!$C$22, $C$13, 100%, $E$13)</f>
        <v>6.4157000000000002</v>
      </c>
      <c r="K352" s="64">
        <f>6.4173 * CHOOSE(CONTROL!$C$22, $C$13, 100%, $E$13)</f>
        <v>6.4173</v>
      </c>
    </row>
    <row r="353" spans="1:11" ht="15">
      <c r="A353" s="13">
        <v>52383</v>
      </c>
      <c r="B353" s="63">
        <f>5.5202 * CHOOSE(CONTROL!$C$22, $C$13, 100%, $E$13)</f>
        <v>5.5202</v>
      </c>
      <c r="C353" s="63">
        <f>5.5202 * CHOOSE(CONTROL!$C$22, $C$13, 100%, $E$13)</f>
        <v>5.5202</v>
      </c>
      <c r="D353" s="63">
        <f>5.546 * CHOOSE(CONTROL!$C$22, $C$13, 100%, $E$13)</f>
        <v>5.5460000000000003</v>
      </c>
      <c r="E353" s="64">
        <f>6.3979 * CHOOSE(CONTROL!$C$22, $C$13, 100%, $E$13)</f>
        <v>6.3978999999999999</v>
      </c>
      <c r="F353" s="64">
        <f>6.3979 * CHOOSE(CONTROL!$C$22, $C$13, 100%, $E$13)</f>
        <v>6.3978999999999999</v>
      </c>
      <c r="G353" s="64">
        <f>6.3995 * CHOOSE(CONTROL!$C$22, $C$13, 100%, $E$13)</f>
        <v>6.3994999999999997</v>
      </c>
      <c r="H353" s="64">
        <f>11.3657* CHOOSE(CONTROL!$C$22, $C$13, 100%, $E$13)</f>
        <v>11.3657</v>
      </c>
      <c r="I353" s="64">
        <f>11.3673 * CHOOSE(CONTROL!$C$22, $C$13, 100%, $E$13)</f>
        <v>11.3673</v>
      </c>
      <c r="J353" s="64">
        <f>6.3979 * CHOOSE(CONTROL!$C$22, $C$13, 100%, $E$13)</f>
        <v>6.3978999999999999</v>
      </c>
      <c r="K353" s="64">
        <f>6.3995 * CHOOSE(CONTROL!$C$22, $C$13, 100%, $E$13)</f>
        <v>6.3994999999999997</v>
      </c>
    </row>
    <row r="354" spans="1:11" ht="15">
      <c r="A354" s="13">
        <v>52413</v>
      </c>
      <c r="B354" s="63">
        <f>5.6132 * CHOOSE(CONTROL!$C$22, $C$13, 100%, $E$13)</f>
        <v>5.6132</v>
      </c>
      <c r="C354" s="63">
        <f>5.6132 * CHOOSE(CONTROL!$C$22, $C$13, 100%, $E$13)</f>
        <v>5.6132</v>
      </c>
      <c r="D354" s="63">
        <f>5.6389 * CHOOSE(CONTROL!$C$22, $C$13, 100%, $E$13)</f>
        <v>5.6388999999999996</v>
      </c>
      <c r="E354" s="64">
        <f>6.5257 * CHOOSE(CONTROL!$C$22, $C$13, 100%, $E$13)</f>
        <v>6.5256999999999996</v>
      </c>
      <c r="F354" s="64">
        <f>6.5257 * CHOOSE(CONTROL!$C$22, $C$13, 100%, $E$13)</f>
        <v>6.5256999999999996</v>
      </c>
      <c r="G354" s="64">
        <f>6.5274 * CHOOSE(CONTROL!$C$22, $C$13, 100%, $E$13)</f>
        <v>6.5274000000000001</v>
      </c>
      <c r="H354" s="64">
        <f>11.3894* CHOOSE(CONTROL!$C$22, $C$13, 100%, $E$13)</f>
        <v>11.3894</v>
      </c>
      <c r="I354" s="64">
        <f>11.391 * CHOOSE(CONTROL!$C$22, $C$13, 100%, $E$13)</f>
        <v>11.391</v>
      </c>
      <c r="J354" s="64">
        <f>6.5257 * CHOOSE(CONTROL!$C$22, $C$13, 100%, $E$13)</f>
        <v>6.5256999999999996</v>
      </c>
      <c r="K354" s="64">
        <f>6.5274 * CHOOSE(CONTROL!$C$22, $C$13, 100%, $E$13)</f>
        <v>6.5274000000000001</v>
      </c>
    </row>
    <row r="355" spans="1:11" ht="15">
      <c r="A355" s="13">
        <v>52444</v>
      </c>
      <c r="B355" s="63">
        <f>5.6199 * CHOOSE(CONTROL!$C$22, $C$13, 100%, $E$13)</f>
        <v>5.6199000000000003</v>
      </c>
      <c r="C355" s="63">
        <f>5.6199 * CHOOSE(CONTROL!$C$22, $C$13, 100%, $E$13)</f>
        <v>5.6199000000000003</v>
      </c>
      <c r="D355" s="63">
        <f>5.6456 * CHOOSE(CONTROL!$C$22, $C$13, 100%, $E$13)</f>
        <v>5.6456</v>
      </c>
      <c r="E355" s="64">
        <f>6.4643 * CHOOSE(CONTROL!$C$22, $C$13, 100%, $E$13)</f>
        <v>6.4642999999999997</v>
      </c>
      <c r="F355" s="64">
        <f>6.4643 * CHOOSE(CONTROL!$C$22, $C$13, 100%, $E$13)</f>
        <v>6.4642999999999997</v>
      </c>
      <c r="G355" s="64">
        <f>6.4659 * CHOOSE(CONTROL!$C$22, $C$13, 100%, $E$13)</f>
        <v>6.4659000000000004</v>
      </c>
      <c r="H355" s="64">
        <f>11.4131* CHOOSE(CONTROL!$C$22, $C$13, 100%, $E$13)</f>
        <v>11.4131</v>
      </c>
      <c r="I355" s="64">
        <f>11.4148 * CHOOSE(CONTROL!$C$22, $C$13, 100%, $E$13)</f>
        <v>11.4148</v>
      </c>
      <c r="J355" s="64">
        <f>6.4643 * CHOOSE(CONTROL!$C$22, $C$13, 100%, $E$13)</f>
        <v>6.4642999999999997</v>
      </c>
      <c r="K355" s="64">
        <f>6.4659 * CHOOSE(CONTROL!$C$22, $C$13, 100%, $E$13)</f>
        <v>6.4659000000000004</v>
      </c>
    </row>
    <row r="356" spans="1:11" ht="15">
      <c r="A356" s="13">
        <v>52475</v>
      </c>
      <c r="B356" s="63">
        <f>5.6168 * CHOOSE(CONTROL!$C$22, $C$13, 100%, $E$13)</f>
        <v>5.6167999999999996</v>
      </c>
      <c r="C356" s="63">
        <f>5.6168 * CHOOSE(CONTROL!$C$22, $C$13, 100%, $E$13)</f>
        <v>5.6167999999999996</v>
      </c>
      <c r="D356" s="63">
        <f>5.6426 * CHOOSE(CONTROL!$C$22, $C$13, 100%, $E$13)</f>
        <v>5.6425999999999998</v>
      </c>
      <c r="E356" s="64">
        <f>6.4548 * CHOOSE(CONTROL!$C$22, $C$13, 100%, $E$13)</f>
        <v>6.4547999999999996</v>
      </c>
      <c r="F356" s="64">
        <f>6.4548 * CHOOSE(CONTROL!$C$22, $C$13, 100%, $E$13)</f>
        <v>6.4547999999999996</v>
      </c>
      <c r="G356" s="64">
        <f>6.4564 * CHOOSE(CONTROL!$C$22, $C$13, 100%, $E$13)</f>
        <v>6.4564000000000004</v>
      </c>
      <c r="H356" s="64">
        <f>11.4369* CHOOSE(CONTROL!$C$22, $C$13, 100%, $E$13)</f>
        <v>11.4369</v>
      </c>
      <c r="I356" s="64">
        <f>11.4385 * CHOOSE(CONTROL!$C$22, $C$13, 100%, $E$13)</f>
        <v>11.438499999999999</v>
      </c>
      <c r="J356" s="64">
        <f>6.4548 * CHOOSE(CONTROL!$C$22, $C$13, 100%, $E$13)</f>
        <v>6.4547999999999996</v>
      </c>
      <c r="K356" s="64">
        <f>6.4564 * CHOOSE(CONTROL!$C$22, $C$13, 100%, $E$13)</f>
        <v>6.4564000000000004</v>
      </c>
    </row>
    <row r="357" spans="1:11" ht="15">
      <c r="A357" s="13">
        <v>52505</v>
      </c>
      <c r="B357" s="63">
        <f>5.6175 * CHOOSE(CONTROL!$C$22, $C$13, 100%, $E$13)</f>
        <v>5.6174999999999997</v>
      </c>
      <c r="C357" s="63">
        <f>5.6175 * CHOOSE(CONTROL!$C$22, $C$13, 100%, $E$13)</f>
        <v>5.6174999999999997</v>
      </c>
      <c r="D357" s="63">
        <f>5.6304 * CHOOSE(CONTROL!$C$22, $C$13, 100%, $E$13)</f>
        <v>5.6303999999999998</v>
      </c>
      <c r="E357" s="64">
        <f>6.4708 * CHOOSE(CONTROL!$C$22, $C$13, 100%, $E$13)</f>
        <v>6.4707999999999997</v>
      </c>
      <c r="F357" s="64">
        <f>6.4708 * CHOOSE(CONTROL!$C$22, $C$13, 100%, $E$13)</f>
        <v>6.4707999999999997</v>
      </c>
      <c r="G357" s="64">
        <f>6.4709 * CHOOSE(CONTROL!$C$22, $C$13, 100%, $E$13)</f>
        <v>6.4709000000000003</v>
      </c>
      <c r="H357" s="64">
        <f>11.4607* CHOOSE(CONTROL!$C$22, $C$13, 100%, $E$13)</f>
        <v>11.460699999999999</v>
      </c>
      <c r="I357" s="64">
        <f>11.4609 * CHOOSE(CONTROL!$C$22, $C$13, 100%, $E$13)</f>
        <v>11.460900000000001</v>
      </c>
      <c r="J357" s="64">
        <f>6.4708 * CHOOSE(CONTROL!$C$22, $C$13, 100%, $E$13)</f>
        <v>6.4707999999999997</v>
      </c>
      <c r="K357" s="64">
        <f>6.4709 * CHOOSE(CONTROL!$C$22, $C$13, 100%, $E$13)</f>
        <v>6.4709000000000003</v>
      </c>
    </row>
    <row r="358" spans="1:11" ht="15">
      <c r="A358" s="13">
        <v>52536</v>
      </c>
      <c r="B358" s="63">
        <f>5.6206 * CHOOSE(CONTROL!$C$22, $C$13, 100%, $E$13)</f>
        <v>5.6205999999999996</v>
      </c>
      <c r="C358" s="63">
        <f>5.6206 * CHOOSE(CONTROL!$C$22, $C$13, 100%, $E$13)</f>
        <v>5.6205999999999996</v>
      </c>
      <c r="D358" s="63">
        <f>5.6335 * CHOOSE(CONTROL!$C$22, $C$13, 100%, $E$13)</f>
        <v>5.6334999999999997</v>
      </c>
      <c r="E358" s="64">
        <f>6.4876 * CHOOSE(CONTROL!$C$22, $C$13, 100%, $E$13)</f>
        <v>6.4875999999999996</v>
      </c>
      <c r="F358" s="64">
        <f>6.4876 * CHOOSE(CONTROL!$C$22, $C$13, 100%, $E$13)</f>
        <v>6.4875999999999996</v>
      </c>
      <c r="G358" s="64">
        <f>6.4877 * CHOOSE(CONTROL!$C$22, $C$13, 100%, $E$13)</f>
        <v>6.4877000000000002</v>
      </c>
      <c r="H358" s="64">
        <f>11.4846* CHOOSE(CONTROL!$C$22, $C$13, 100%, $E$13)</f>
        <v>11.4846</v>
      </c>
      <c r="I358" s="64">
        <f>11.4848 * CHOOSE(CONTROL!$C$22, $C$13, 100%, $E$13)</f>
        <v>11.4848</v>
      </c>
      <c r="J358" s="64">
        <f>6.4876 * CHOOSE(CONTROL!$C$22, $C$13, 100%, $E$13)</f>
        <v>6.4875999999999996</v>
      </c>
      <c r="K358" s="64">
        <f>6.4877 * CHOOSE(CONTROL!$C$22, $C$13, 100%, $E$13)</f>
        <v>6.4877000000000002</v>
      </c>
    </row>
    <row r="359" spans="1:11" ht="15">
      <c r="A359" s="13">
        <v>52566</v>
      </c>
      <c r="B359" s="63">
        <f>5.6206 * CHOOSE(CONTROL!$C$22, $C$13, 100%, $E$13)</f>
        <v>5.6205999999999996</v>
      </c>
      <c r="C359" s="63">
        <f>5.6206 * CHOOSE(CONTROL!$C$22, $C$13, 100%, $E$13)</f>
        <v>5.6205999999999996</v>
      </c>
      <c r="D359" s="63">
        <f>5.6335 * CHOOSE(CONTROL!$C$22, $C$13, 100%, $E$13)</f>
        <v>5.6334999999999997</v>
      </c>
      <c r="E359" s="64">
        <f>6.4508 * CHOOSE(CONTROL!$C$22, $C$13, 100%, $E$13)</f>
        <v>6.4508000000000001</v>
      </c>
      <c r="F359" s="64">
        <f>6.4508 * CHOOSE(CONTROL!$C$22, $C$13, 100%, $E$13)</f>
        <v>6.4508000000000001</v>
      </c>
      <c r="G359" s="64">
        <f>6.451 * CHOOSE(CONTROL!$C$22, $C$13, 100%, $E$13)</f>
        <v>6.4509999999999996</v>
      </c>
      <c r="H359" s="64">
        <f>11.5085* CHOOSE(CONTROL!$C$22, $C$13, 100%, $E$13)</f>
        <v>11.5085</v>
      </c>
      <c r="I359" s="64">
        <f>11.5087 * CHOOSE(CONTROL!$C$22, $C$13, 100%, $E$13)</f>
        <v>11.508699999999999</v>
      </c>
      <c r="J359" s="64">
        <f>6.4508 * CHOOSE(CONTROL!$C$22, $C$13, 100%, $E$13)</f>
        <v>6.4508000000000001</v>
      </c>
      <c r="K359" s="64">
        <f>6.451 * CHOOSE(CONTROL!$C$22, $C$13, 100%, $E$13)</f>
        <v>6.4509999999999996</v>
      </c>
    </row>
    <row r="360" spans="1:11" ht="15">
      <c r="A360" s="13">
        <v>52597</v>
      </c>
      <c r="B360" s="63">
        <f>5.6717 * CHOOSE(CONTROL!$C$22, $C$13, 100%, $E$13)</f>
        <v>5.6717000000000004</v>
      </c>
      <c r="C360" s="63">
        <f>5.6717 * CHOOSE(CONTROL!$C$22, $C$13, 100%, $E$13)</f>
        <v>5.6717000000000004</v>
      </c>
      <c r="D360" s="63">
        <f>5.6845 * CHOOSE(CONTROL!$C$22, $C$13, 100%, $E$13)</f>
        <v>5.6844999999999999</v>
      </c>
      <c r="E360" s="64">
        <f>6.5359 * CHOOSE(CONTROL!$C$22, $C$13, 100%, $E$13)</f>
        <v>6.5358999999999998</v>
      </c>
      <c r="F360" s="64">
        <f>6.5359 * CHOOSE(CONTROL!$C$22, $C$13, 100%, $E$13)</f>
        <v>6.5358999999999998</v>
      </c>
      <c r="G360" s="64">
        <f>6.5361 * CHOOSE(CONTROL!$C$22, $C$13, 100%, $E$13)</f>
        <v>6.5361000000000002</v>
      </c>
      <c r="H360" s="64">
        <f>11.5325* CHOOSE(CONTROL!$C$22, $C$13, 100%, $E$13)</f>
        <v>11.532500000000001</v>
      </c>
      <c r="I360" s="64">
        <f>11.5327 * CHOOSE(CONTROL!$C$22, $C$13, 100%, $E$13)</f>
        <v>11.5327</v>
      </c>
      <c r="J360" s="64">
        <f>6.5359 * CHOOSE(CONTROL!$C$22, $C$13, 100%, $E$13)</f>
        <v>6.5358999999999998</v>
      </c>
      <c r="K360" s="64">
        <f>6.5361 * CHOOSE(CONTROL!$C$22, $C$13, 100%, $E$13)</f>
        <v>6.5361000000000002</v>
      </c>
    </row>
    <row r="361" spans="1:11" ht="15">
      <c r="A361" s="13">
        <v>52628</v>
      </c>
      <c r="B361" s="63">
        <f>5.6686 * CHOOSE(CONTROL!$C$22, $C$13, 100%, $E$13)</f>
        <v>5.6685999999999996</v>
      </c>
      <c r="C361" s="63">
        <f>5.6686 * CHOOSE(CONTROL!$C$22, $C$13, 100%, $E$13)</f>
        <v>5.6685999999999996</v>
      </c>
      <c r="D361" s="63">
        <f>5.6815 * CHOOSE(CONTROL!$C$22, $C$13, 100%, $E$13)</f>
        <v>5.6814999999999998</v>
      </c>
      <c r="E361" s="64">
        <f>6.4624 * CHOOSE(CONTROL!$C$22, $C$13, 100%, $E$13)</f>
        <v>6.4623999999999997</v>
      </c>
      <c r="F361" s="64">
        <f>6.4624 * CHOOSE(CONTROL!$C$22, $C$13, 100%, $E$13)</f>
        <v>6.4623999999999997</v>
      </c>
      <c r="G361" s="64">
        <f>6.4626 * CHOOSE(CONTROL!$C$22, $C$13, 100%, $E$13)</f>
        <v>6.4626000000000001</v>
      </c>
      <c r="H361" s="64">
        <f>11.5565* CHOOSE(CONTROL!$C$22, $C$13, 100%, $E$13)</f>
        <v>11.5565</v>
      </c>
      <c r="I361" s="64">
        <f>11.5567 * CHOOSE(CONTROL!$C$22, $C$13, 100%, $E$13)</f>
        <v>11.556699999999999</v>
      </c>
      <c r="J361" s="64">
        <f>6.4624 * CHOOSE(CONTROL!$C$22, $C$13, 100%, $E$13)</f>
        <v>6.4623999999999997</v>
      </c>
      <c r="K361" s="64">
        <f>6.4626 * CHOOSE(CONTROL!$C$22, $C$13, 100%, $E$13)</f>
        <v>6.4626000000000001</v>
      </c>
    </row>
    <row r="362" spans="1:11" ht="15">
      <c r="A362" s="13">
        <v>52657</v>
      </c>
      <c r="B362" s="63">
        <f>5.6656 * CHOOSE(CONTROL!$C$22, $C$13, 100%, $E$13)</f>
        <v>5.6656000000000004</v>
      </c>
      <c r="C362" s="63">
        <f>5.6656 * CHOOSE(CONTROL!$C$22, $C$13, 100%, $E$13)</f>
        <v>5.6656000000000004</v>
      </c>
      <c r="D362" s="63">
        <f>5.6785 * CHOOSE(CONTROL!$C$22, $C$13, 100%, $E$13)</f>
        <v>5.6784999999999997</v>
      </c>
      <c r="E362" s="64">
        <f>6.5166 * CHOOSE(CONTROL!$C$22, $C$13, 100%, $E$13)</f>
        <v>6.5166000000000004</v>
      </c>
      <c r="F362" s="64">
        <f>6.5166 * CHOOSE(CONTROL!$C$22, $C$13, 100%, $E$13)</f>
        <v>6.5166000000000004</v>
      </c>
      <c r="G362" s="64">
        <f>6.5167 * CHOOSE(CONTROL!$C$22, $C$13, 100%, $E$13)</f>
        <v>6.5167000000000002</v>
      </c>
      <c r="H362" s="64">
        <f>11.5806* CHOOSE(CONTROL!$C$22, $C$13, 100%, $E$13)</f>
        <v>11.5806</v>
      </c>
      <c r="I362" s="64">
        <f>11.5808 * CHOOSE(CONTROL!$C$22, $C$13, 100%, $E$13)</f>
        <v>11.5808</v>
      </c>
      <c r="J362" s="64">
        <f>6.5166 * CHOOSE(CONTROL!$C$22, $C$13, 100%, $E$13)</f>
        <v>6.5166000000000004</v>
      </c>
      <c r="K362" s="64">
        <f>6.5167 * CHOOSE(CONTROL!$C$22, $C$13, 100%, $E$13)</f>
        <v>6.5167000000000002</v>
      </c>
    </row>
    <row r="363" spans="1:11" ht="15">
      <c r="A363" s="13">
        <v>52688</v>
      </c>
      <c r="B363" s="63">
        <f>5.6648 * CHOOSE(CONTROL!$C$22, $C$13, 100%, $E$13)</f>
        <v>5.6647999999999996</v>
      </c>
      <c r="C363" s="63">
        <f>5.6648 * CHOOSE(CONTROL!$C$22, $C$13, 100%, $E$13)</f>
        <v>5.6647999999999996</v>
      </c>
      <c r="D363" s="63">
        <f>5.6776 * CHOOSE(CONTROL!$C$22, $C$13, 100%, $E$13)</f>
        <v>5.6776</v>
      </c>
      <c r="E363" s="64">
        <f>6.5727 * CHOOSE(CONTROL!$C$22, $C$13, 100%, $E$13)</f>
        <v>6.5727000000000002</v>
      </c>
      <c r="F363" s="64">
        <f>6.5727 * CHOOSE(CONTROL!$C$22, $C$13, 100%, $E$13)</f>
        <v>6.5727000000000002</v>
      </c>
      <c r="G363" s="64">
        <f>6.5729 * CHOOSE(CONTROL!$C$22, $C$13, 100%, $E$13)</f>
        <v>6.5728999999999997</v>
      </c>
      <c r="H363" s="64">
        <f>11.6047* CHOOSE(CONTROL!$C$22, $C$13, 100%, $E$13)</f>
        <v>11.604699999999999</v>
      </c>
      <c r="I363" s="64">
        <f>11.6049 * CHOOSE(CONTROL!$C$22, $C$13, 100%, $E$13)</f>
        <v>11.604900000000001</v>
      </c>
      <c r="J363" s="64">
        <f>6.5727 * CHOOSE(CONTROL!$C$22, $C$13, 100%, $E$13)</f>
        <v>6.5727000000000002</v>
      </c>
      <c r="K363" s="64">
        <f>6.5729 * CHOOSE(CONTROL!$C$22, $C$13, 100%, $E$13)</f>
        <v>6.5728999999999997</v>
      </c>
    </row>
    <row r="364" spans="1:11" ht="15">
      <c r="A364" s="13">
        <v>52718</v>
      </c>
      <c r="B364" s="63">
        <f>5.6648 * CHOOSE(CONTROL!$C$22, $C$13, 100%, $E$13)</f>
        <v>5.6647999999999996</v>
      </c>
      <c r="C364" s="63">
        <f>5.6648 * CHOOSE(CONTROL!$C$22, $C$13, 100%, $E$13)</f>
        <v>5.6647999999999996</v>
      </c>
      <c r="D364" s="63">
        <f>5.6905 * CHOOSE(CONTROL!$C$22, $C$13, 100%, $E$13)</f>
        <v>5.6905000000000001</v>
      </c>
      <c r="E364" s="64">
        <f>6.5954 * CHOOSE(CONTROL!$C$22, $C$13, 100%, $E$13)</f>
        <v>6.5953999999999997</v>
      </c>
      <c r="F364" s="64">
        <f>6.5954 * CHOOSE(CONTROL!$C$22, $C$13, 100%, $E$13)</f>
        <v>6.5953999999999997</v>
      </c>
      <c r="G364" s="64">
        <f>6.597 * CHOOSE(CONTROL!$C$22, $C$13, 100%, $E$13)</f>
        <v>6.5970000000000004</v>
      </c>
      <c r="H364" s="64">
        <f>11.6289* CHOOSE(CONTROL!$C$22, $C$13, 100%, $E$13)</f>
        <v>11.6289</v>
      </c>
      <c r="I364" s="64">
        <f>11.6305 * CHOOSE(CONTROL!$C$22, $C$13, 100%, $E$13)</f>
        <v>11.6305</v>
      </c>
      <c r="J364" s="64">
        <f>6.5954 * CHOOSE(CONTROL!$C$22, $C$13, 100%, $E$13)</f>
        <v>6.5953999999999997</v>
      </c>
      <c r="K364" s="64">
        <f>6.597 * CHOOSE(CONTROL!$C$22, $C$13, 100%, $E$13)</f>
        <v>6.5970000000000004</v>
      </c>
    </row>
    <row r="365" spans="1:11" ht="15">
      <c r="A365" s="13">
        <v>52749</v>
      </c>
      <c r="B365" s="63">
        <f>5.6708 * CHOOSE(CONTROL!$C$22, $C$13, 100%, $E$13)</f>
        <v>5.6707999999999998</v>
      </c>
      <c r="C365" s="63">
        <f>5.6708 * CHOOSE(CONTROL!$C$22, $C$13, 100%, $E$13)</f>
        <v>5.6707999999999998</v>
      </c>
      <c r="D365" s="63">
        <f>5.6966 * CHOOSE(CONTROL!$C$22, $C$13, 100%, $E$13)</f>
        <v>5.6966000000000001</v>
      </c>
      <c r="E365" s="64">
        <f>6.577 * CHOOSE(CONTROL!$C$22, $C$13, 100%, $E$13)</f>
        <v>6.577</v>
      </c>
      <c r="F365" s="64">
        <f>6.577 * CHOOSE(CONTROL!$C$22, $C$13, 100%, $E$13)</f>
        <v>6.577</v>
      </c>
      <c r="G365" s="64">
        <f>6.5786 * CHOOSE(CONTROL!$C$22, $C$13, 100%, $E$13)</f>
        <v>6.5785999999999998</v>
      </c>
      <c r="H365" s="64">
        <f>11.6531* CHOOSE(CONTROL!$C$22, $C$13, 100%, $E$13)</f>
        <v>11.6531</v>
      </c>
      <c r="I365" s="64">
        <f>11.6548 * CHOOSE(CONTROL!$C$22, $C$13, 100%, $E$13)</f>
        <v>11.6548</v>
      </c>
      <c r="J365" s="64">
        <f>6.577 * CHOOSE(CONTROL!$C$22, $C$13, 100%, $E$13)</f>
        <v>6.577</v>
      </c>
      <c r="K365" s="64">
        <f>6.5786 * CHOOSE(CONTROL!$C$22, $C$13, 100%, $E$13)</f>
        <v>6.5785999999999998</v>
      </c>
    </row>
    <row r="366" spans="1:11" ht="15">
      <c r="A366" s="13">
        <v>52779</v>
      </c>
      <c r="B366" s="63">
        <f>5.7658 * CHOOSE(CONTROL!$C$22, $C$13, 100%, $E$13)</f>
        <v>5.7657999999999996</v>
      </c>
      <c r="C366" s="63">
        <f>5.7658 * CHOOSE(CONTROL!$C$22, $C$13, 100%, $E$13)</f>
        <v>5.7657999999999996</v>
      </c>
      <c r="D366" s="63">
        <f>5.7916 * CHOOSE(CONTROL!$C$22, $C$13, 100%, $E$13)</f>
        <v>5.7915999999999999</v>
      </c>
      <c r="E366" s="64">
        <f>6.7082 * CHOOSE(CONTROL!$C$22, $C$13, 100%, $E$13)</f>
        <v>6.7081999999999997</v>
      </c>
      <c r="F366" s="64">
        <f>6.7082 * CHOOSE(CONTROL!$C$22, $C$13, 100%, $E$13)</f>
        <v>6.7081999999999997</v>
      </c>
      <c r="G366" s="64">
        <f>6.7099 * CHOOSE(CONTROL!$C$22, $C$13, 100%, $E$13)</f>
        <v>6.7099000000000002</v>
      </c>
      <c r="H366" s="64">
        <f>11.6774* CHOOSE(CONTROL!$C$22, $C$13, 100%, $E$13)</f>
        <v>11.6774</v>
      </c>
      <c r="I366" s="64">
        <f>11.679 * CHOOSE(CONTROL!$C$22, $C$13, 100%, $E$13)</f>
        <v>11.679</v>
      </c>
      <c r="J366" s="64">
        <f>6.7082 * CHOOSE(CONTROL!$C$22, $C$13, 100%, $E$13)</f>
        <v>6.7081999999999997</v>
      </c>
      <c r="K366" s="64">
        <f>6.7099 * CHOOSE(CONTROL!$C$22, $C$13, 100%, $E$13)</f>
        <v>6.7099000000000002</v>
      </c>
    </row>
    <row r="367" spans="1:11" ht="15">
      <c r="A367" s="13">
        <v>52810</v>
      </c>
      <c r="B367" s="63">
        <f>5.7725 * CHOOSE(CONTROL!$C$22, $C$13, 100%, $E$13)</f>
        <v>5.7725</v>
      </c>
      <c r="C367" s="63">
        <f>5.7725 * CHOOSE(CONTROL!$C$22, $C$13, 100%, $E$13)</f>
        <v>5.7725</v>
      </c>
      <c r="D367" s="63">
        <f>5.7983 * CHOOSE(CONTROL!$C$22, $C$13, 100%, $E$13)</f>
        <v>5.7983000000000002</v>
      </c>
      <c r="E367" s="64">
        <f>6.6449 * CHOOSE(CONTROL!$C$22, $C$13, 100%, $E$13)</f>
        <v>6.6448999999999998</v>
      </c>
      <c r="F367" s="64">
        <f>6.6449 * CHOOSE(CONTROL!$C$22, $C$13, 100%, $E$13)</f>
        <v>6.6448999999999998</v>
      </c>
      <c r="G367" s="64">
        <f>6.6466 * CHOOSE(CONTROL!$C$22, $C$13, 100%, $E$13)</f>
        <v>6.6466000000000003</v>
      </c>
      <c r="H367" s="64">
        <f>11.7017* CHOOSE(CONTROL!$C$22, $C$13, 100%, $E$13)</f>
        <v>11.701700000000001</v>
      </c>
      <c r="I367" s="64">
        <f>11.7034 * CHOOSE(CONTROL!$C$22, $C$13, 100%, $E$13)</f>
        <v>11.7034</v>
      </c>
      <c r="J367" s="64">
        <f>6.6449 * CHOOSE(CONTROL!$C$22, $C$13, 100%, $E$13)</f>
        <v>6.6448999999999998</v>
      </c>
      <c r="K367" s="64">
        <f>6.6466 * CHOOSE(CONTROL!$C$22, $C$13, 100%, $E$13)</f>
        <v>6.6466000000000003</v>
      </c>
    </row>
    <row r="368" spans="1:11" ht="15">
      <c r="A368" s="13">
        <v>52841</v>
      </c>
      <c r="B368" s="63">
        <f>5.7695 * CHOOSE(CONTROL!$C$22, $C$13, 100%, $E$13)</f>
        <v>5.7694999999999999</v>
      </c>
      <c r="C368" s="63">
        <f>5.7695 * CHOOSE(CONTROL!$C$22, $C$13, 100%, $E$13)</f>
        <v>5.7694999999999999</v>
      </c>
      <c r="D368" s="63">
        <f>5.7952 * CHOOSE(CONTROL!$C$22, $C$13, 100%, $E$13)</f>
        <v>5.7952000000000004</v>
      </c>
      <c r="E368" s="64">
        <f>6.6352 * CHOOSE(CONTROL!$C$22, $C$13, 100%, $E$13)</f>
        <v>6.6352000000000002</v>
      </c>
      <c r="F368" s="64">
        <f>6.6352 * CHOOSE(CONTROL!$C$22, $C$13, 100%, $E$13)</f>
        <v>6.6352000000000002</v>
      </c>
      <c r="G368" s="64">
        <f>6.6369 * CHOOSE(CONTROL!$C$22, $C$13, 100%, $E$13)</f>
        <v>6.6368999999999998</v>
      </c>
      <c r="H368" s="64">
        <f>11.7261* CHOOSE(CONTROL!$C$22, $C$13, 100%, $E$13)</f>
        <v>11.726100000000001</v>
      </c>
      <c r="I368" s="64">
        <f>11.7278 * CHOOSE(CONTROL!$C$22, $C$13, 100%, $E$13)</f>
        <v>11.7278</v>
      </c>
      <c r="J368" s="64">
        <f>6.6352 * CHOOSE(CONTROL!$C$22, $C$13, 100%, $E$13)</f>
        <v>6.6352000000000002</v>
      </c>
      <c r="K368" s="64">
        <f>6.6369 * CHOOSE(CONTROL!$C$22, $C$13, 100%, $E$13)</f>
        <v>6.6368999999999998</v>
      </c>
    </row>
    <row r="369" spans="1:11" ht="15">
      <c r="A369" s="13">
        <v>52871</v>
      </c>
      <c r="B369" s="63">
        <f>5.7707 * CHOOSE(CONTROL!$C$22, $C$13, 100%, $E$13)</f>
        <v>5.7706999999999997</v>
      </c>
      <c r="C369" s="63">
        <f>5.7707 * CHOOSE(CONTROL!$C$22, $C$13, 100%, $E$13)</f>
        <v>5.7706999999999997</v>
      </c>
      <c r="D369" s="63">
        <f>5.7836 * CHOOSE(CONTROL!$C$22, $C$13, 100%, $E$13)</f>
        <v>5.7835999999999999</v>
      </c>
      <c r="E369" s="64">
        <f>6.652 * CHOOSE(CONTROL!$C$22, $C$13, 100%, $E$13)</f>
        <v>6.6520000000000001</v>
      </c>
      <c r="F369" s="64">
        <f>6.652 * CHOOSE(CONTROL!$C$22, $C$13, 100%, $E$13)</f>
        <v>6.6520000000000001</v>
      </c>
      <c r="G369" s="64">
        <f>6.6522 * CHOOSE(CONTROL!$C$22, $C$13, 100%, $E$13)</f>
        <v>6.6521999999999997</v>
      </c>
      <c r="H369" s="64">
        <f>11.7505* CHOOSE(CONTROL!$C$22, $C$13, 100%, $E$13)</f>
        <v>11.750500000000001</v>
      </c>
      <c r="I369" s="64">
        <f>11.7507 * CHOOSE(CONTROL!$C$22, $C$13, 100%, $E$13)</f>
        <v>11.7507</v>
      </c>
      <c r="J369" s="64">
        <f>6.652 * CHOOSE(CONTROL!$C$22, $C$13, 100%, $E$13)</f>
        <v>6.6520000000000001</v>
      </c>
      <c r="K369" s="64">
        <f>6.6522 * CHOOSE(CONTROL!$C$22, $C$13, 100%, $E$13)</f>
        <v>6.6521999999999997</v>
      </c>
    </row>
    <row r="370" spans="1:11" ht="15">
      <c r="A370" s="13">
        <v>52902</v>
      </c>
      <c r="B370" s="63">
        <f>5.7737 * CHOOSE(CONTROL!$C$22, $C$13, 100%, $E$13)</f>
        <v>5.7736999999999998</v>
      </c>
      <c r="C370" s="63">
        <f>5.7737 * CHOOSE(CONTROL!$C$22, $C$13, 100%, $E$13)</f>
        <v>5.7736999999999998</v>
      </c>
      <c r="D370" s="63">
        <f>5.7866 * CHOOSE(CONTROL!$C$22, $C$13, 100%, $E$13)</f>
        <v>5.7866</v>
      </c>
      <c r="E370" s="64">
        <f>6.6693 * CHOOSE(CONTROL!$C$22, $C$13, 100%, $E$13)</f>
        <v>6.6692999999999998</v>
      </c>
      <c r="F370" s="64">
        <f>6.6693 * CHOOSE(CONTROL!$C$22, $C$13, 100%, $E$13)</f>
        <v>6.6692999999999998</v>
      </c>
      <c r="G370" s="64">
        <f>6.6694 * CHOOSE(CONTROL!$C$22, $C$13, 100%, $E$13)</f>
        <v>6.6694000000000004</v>
      </c>
      <c r="H370" s="64">
        <f>11.775* CHOOSE(CONTROL!$C$22, $C$13, 100%, $E$13)</f>
        <v>11.775</v>
      </c>
      <c r="I370" s="64">
        <f>11.7752 * CHOOSE(CONTROL!$C$22, $C$13, 100%, $E$13)</f>
        <v>11.7752</v>
      </c>
      <c r="J370" s="64">
        <f>6.6693 * CHOOSE(CONTROL!$C$22, $C$13, 100%, $E$13)</f>
        <v>6.6692999999999998</v>
      </c>
      <c r="K370" s="64">
        <f>6.6694 * CHOOSE(CONTROL!$C$22, $C$13, 100%, $E$13)</f>
        <v>6.6694000000000004</v>
      </c>
    </row>
    <row r="371" spans="1:11" ht="15">
      <c r="A371" s="13">
        <v>52932</v>
      </c>
      <c r="B371" s="63">
        <f>5.7737 * CHOOSE(CONTROL!$C$22, $C$13, 100%, $E$13)</f>
        <v>5.7736999999999998</v>
      </c>
      <c r="C371" s="63">
        <f>5.7737 * CHOOSE(CONTROL!$C$22, $C$13, 100%, $E$13)</f>
        <v>5.7736999999999998</v>
      </c>
      <c r="D371" s="63">
        <f>5.7866 * CHOOSE(CONTROL!$C$22, $C$13, 100%, $E$13)</f>
        <v>5.7866</v>
      </c>
      <c r="E371" s="64">
        <f>6.6315 * CHOOSE(CONTROL!$C$22, $C$13, 100%, $E$13)</f>
        <v>6.6315</v>
      </c>
      <c r="F371" s="64">
        <f>6.6315 * CHOOSE(CONTROL!$C$22, $C$13, 100%, $E$13)</f>
        <v>6.6315</v>
      </c>
      <c r="G371" s="64">
        <f>6.6317 * CHOOSE(CONTROL!$C$22, $C$13, 100%, $E$13)</f>
        <v>6.6317000000000004</v>
      </c>
      <c r="H371" s="64">
        <f>11.7996* CHOOSE(CONTROL!$C$22, $C$13, 100%, $E$13)</f>
        <v>11.7996</v>
      </c>
      <c r="I371" s="64">
        <f>11.7997 * CHOOSE(CONTROL!$C$22, $C$13, 100%, $E$13)</f>
        <v>11.7997</v>
      </c>
      <c r="J371" s="64">
        <f>6.6315 * CHOOSE(CONTROL!$C$22, $C$13, 100%, $E$13)</f>
        <v>6.6315</v>
      </c>
      <c r="K371" s="64">
        <f>6.6317 * CHOOSE(CONTROL!$C$22, $C$13, 100%, $E$13)</f>
        <v>6.6317000000000004</v>
      </c>
    </row>
    <row r="372" spans="1:11" ht="15">
      <c r="A372" s="13">
        <v>52963</v>
      </c>
      <c r="B372" s="63">
        <f>5.8261 * CHOOSE(CONTROL!$C$22, $C$13, 100%, $E$13)</f>
        <v>5.8261000000000003</v>
      </c>
      <c r="C372" s="63">
        <f>5.8261 * CHOOSE(CONTROL!$C$22, $C$13, 100%, $E$13)</f>
        <v>5.8261000000000003</v>
      </c>
      <c r="D372" s="63">
        <f>5.839 * CHOOSE(CONTROL!$C$22, $C$13, 100%, $E$13)</f>
        <v>5.8390000000000004</v>
      </c>
      <c r="E372" s="64">
        <f>6.7188 * CHOOSE(CONTROL!$C$22, $C$13, 100%, $E$13)</f>
        <v>6.7187999999999999</v>
      </c>
      <c r="F372" s="64">
        <f>6.7188 * CHOOSE(CONTROL!$C$22, $C$13, 100%, $E$13)</f>
        <v>6.7187999999999999</v>
      </c>
      <c r="G372" s="64">
        <f>6.719 * CHOOSE(CONTROL!$C$22, $C$13, 100%, $E$13)</f>
        <v>6.7190000000000003</v>
      </c>
      <c r="H372" s="64">
        <f>11.8241* CHOOSE(CONTROL!$C$22, $C$13, 100%, $E$13)</f>
        <v>11.8241</v>
      </c>
      <c r="I372" s="64">
        <f>11.8243 * CHOOSE(CONTROL!$C$22, $C$13, 100%, $E$13)</f>
        <v>11.824299999999999</v>
      </c>
      <c r="J372" s="64">
        <f>6.7188 * CHOOSE(CONTROL!$C$22, $C$13, 100%, $E$13)</f>
        <v>6.7187999999999999</v>
      </c>
      <c r="K372" s="64">
        <f>6.719 * CHOOSE(CONTROL!$C$22, $C$13, 100%, $E$13)</f>
        <v>6.7190000000000003</v>
      </c>
    </row>
    <row r="373" spans="1:11" ht="15">
      <c r="A373" s="13">
        <v>52994</v>
      </c>
      <c r="B373" s="63">
        <f>5.8231 * CHOOSE(CONTROL!$C$22, $C$13, 100%, $E$13)</f>
        <v>5.8231000000000002</v>
      </c>
      <c r="C373" s="63">
        <f>5.8231 * CHOOSE(CONTROL!$C$22, $C$13, 100%, $E$13)</f>
        <v>5.8231000000000002</v>
      </c>
      <c r="D373" s="63">
        <f>5.836 * CHOOSE(CONTROL!$C$22, $C$13, 100%, $E$13)</f>
        <v>5.8360000000000003</v>
      </c>
      <c r="E373" s="64">
        <f>6.6434 * CHOOSE(CONTROL!$C$22, $C$13, 100%, $E$13)</f>
        <v>6.6433999999999997</v>
      </c>
      <c r="F373" s="64">
        <f>6.6434 * CHOOSE(CONTROL!$C$22, $C$13, 100%, $E$13)</f>
        <v>6.6433999999999997</v>
      </c>
      <c r="G373" s="64">
        <f>6.6435 * CHOOSE(CONTROL!$C$22, $C$13, 100%, $E$13)</f>
        <v>6.6435000000000004</v>
      </c>
      <c r="H373" s="64">
        <f>11.8488* CHOOSE(CONTROL!$C$22, $C$13, 100%, $E$13)</f>
        <v>11.848800000000001</v>
      </c>
      <c r="I373" s="64">
        <f>11.8489 * CHOOSE(CONTROL!$C$22, $C$13, 100%, $E$13)</f>
        <v>11.8489</v>
      </c>
      <c r="J373" s="64">
        <f>6.6434 * CHOOSE(CONTROL!$C$22, $C$13, 100%, $E$13)</f>
        <v>6.6433999999999997</v>
      </c>
      <c r="K373" s="64">
        <f>6.6435 * CHOOSE(CONTROL!$C$22, $C$13, 100%, $E$13)</f>
        <v>6.6435000000000004</v>
      </c>
    </row>
    <row r="374" spans="1:11" ht="15">
      <c r="A374" s="13">
        <v>53022</v>
      </c>
      <c r="B374" s="63">
        <f>5.8201 * CHOOSE(CONTROL!$C$22, $C$13, 100%, $E$13)</f>
        <v>5.8201000000000001</v>
      </c>
      <c r="C374" s="63">
        <f>5.8201 * CHOOSE(CONTROL!$C$22, $C$13, 100%, $E$13)</f>
        <v>5.8201000000000001</v>
      </c>
      <c r="D374" s="63">
        <f>5.8329 * CHOOSE(CONTROL!$C$22, $C$13, 100%, $E$13)</f>
        <v>5.8329000000000004</v>
      </c>
      <c r="E374" s="64">
        <f>6.6991 * CHOOSE(CONTROL!$C$22, $C$13, 100%, $E$13)</f>
        <v>6.6990999999999996</v>
      </c>
      <c r="F374" s="64">
        <f>6.6991 * CHOOSE(CONTROL!$C$22, $C$13, 100%, $E$13)</f>
        <v>6.6990999999999996</v>
      </c>
      <c r="G374" s="64">
        <f>6.6992 * CHOOSE(CONTROL!$C$22, $C$13, 100%, $E$13)</f>
        <v>6.6992000000000003</v>
      </c>
      <c r="H374" s="64">
        <f>11.8735* CHOOSE(CONTROL!$C$22, $C$13, 100%, $E$13)</f>
        <v>11.8735</v>
      </c>
      <c r="I374" s="64">
        <f>11.8736 * CHOOSE(CONTROL!$C$22, $C$13, 100%, $E$13)</f>
        <v>11.8736</v>
      </c>
      <c r="J374" s="64">
        <f>6.6991 * CHOOSE(CONTROL!$C$22, $C$13, 100%, $E$13)</f>
        <v>6.6990999999999996</v>
      </c>
      <c r="K374" s="64">
        <f>6.6992 * CHOOSE(CONTROL!$C$22, $C$13, 100%, $E$13)</f>
        <v>6.6992000000000003</v>
      </c>
    </row>
    <row r="375" spans="1:11" ht="15">
      <c r="A375" s="13">
        <v>53053</v>
      </c>
      <c r="B375" s="63">
        <f>5.8194 * CHOOSE(CONTROL!$C$22, $C$13, 100%, $E$13)</f>
        <v>5.8193999999999999</v>
      </c>
      <c r="C375" s="63">
        <f>5.8194 * CHOOSE(CONTROL!$C$22, $C$13, 100%, $E$13)</f>
        <v>5.8193999999999999</v>
      </c>
      <c r="D375" s="63">
        <f>5.8322 * CHOOSE(CONTROL!$C$22, $C$13, 100%, $E$13)</f>
        <v>5.8322000000000003</v>
      </c>
      <c r="E375" s="64">
        <f>6.7569 * CHOOSE(CONTROL!$C$22, $C$13, 100%, $E$13)</f>
        <v>6.7568999999999999</v>
      </c>
      <c r="F375" s="64">
        <f>6.7569 * CHOOSE(CONTROL!$C$22, $C$13, 100%, $E$13)</f>
        <v>6.7568999999999999</v>
      </c>
      <c r="G375" s="64">
        <f>6.7571 * CHOOSE(CONTROL!$C$22, $C$13, 100%, $E$13)</f>
        <v>6.7571000000000003</v>
      </c>
      <c r="H375" s="64">
        <f>11.8982* CHOOSE(CONTROL!$C$22, $C$13, 100%, $E$13)</f>
        <v>11.898199999999999</v>
      </c>
      <c r="I375" s="64">
        <f>11.8984 * CHOOSE(CONTROL!$C$22, $C$13, 100%, $E$13)</f>
        <v>11.898400000000001</v>
      </c>
      <c r="J375" s="64">
        <f>6.7569 * CHOOSE(CONTROL!$C$22, $C$13, 100%, $E$13)</f>
        <v>6.7568999999999999</v>
      </c>
      <c r="K375" s="64">
        <f>6.7571 * CHOOSE(CONTROL!$C$22, $C$13, 100%, $E$13)</f>
        <v>6.7571000000000003</v>
      </c>
    </row>
    <row r="376" spans="1:11" ht="15">
      <c r="A376" s="13">
        <v>53083</v>
      </c>
      <c r="B376" s="63">
        <f>5.8194 * CHOOSE(CONTROL!$C$22, $C$13, 100%, $E$13)</f>
        <v>5.8193999999999999</v>
      </c>
      <c r="C376" s="63">
        <f>5.8194 * CHOOSE(CONTROL!$C$22, $C$13, 100%, $E$13)</f>
        <v>5.8193999999999999</v>
      </c>
      <c r="D376" s="63">
        <f>5.8451 * CHOOSE(CONTROL!$C$22, $C$13, 100%, $E$13)</f>
        <v>5.8451000000000004</v>
      </c>
      <c r="E376" s="64">
        <f>6.7802 * CHOOSE(CONTROL!$C$22, $C$13, 100%, $E$13)</f>
        <v>6.7801999999999998</v>
      </c>
      <c r="F376" s="64">
        <f>6.7802 * CHOOSE(CONTROL!$C$22, $C$13, 100%, $E$13)</f>
        <v>6.7801999999999998</v>
      </c>
      <c r="G376" s="64">
        <f>6.7819 * CHOOSE(CONTROL!$C$22, $C$13, 100%, $E$13)</f>
        <v>6.7819000000000003</v>
      </c>
      <c r="H376" s="64">
        <f>11.923* CHOOSE(CONTROL!$C$22, $C$13, 100%, $E$13)</f>
        <v>11.923</v>
      </c>
      <c r="I376" s="64">
        <f>11.9246 * CHOOSE(CONTROL!$C$22, $C$13, 100%, $E$13)</f>
        <v>11.9246</v>
      </c>
      <c r="J376" s="64">
        <f>6.7802 * CHOOSE(CONTROL!$C$22, $C$13, 100%, $E$13)</f>
        <v>6.7801999999999998</v>
      </c>
      <c r="K376" s="64">
        <f>6.7819 * CHOOSE(CONTROL!$C$22, $C$13, 100%, $E$13)</f>
        <v>6.7819000000000003</v>
      </c>
    </row>
    <row r="377" spans="1:11" ht="15">
      <c r="A377" s="13">
        <v>53114</v>
      </c>
      <c r="B377" s="63">
        <f>5.8254 * CHOOSE(CONTROL!$C$22, $C$13, 100%, $E$13)</f>
        <v>5.8254000000000001</v>
      </c>
      <c r="C377" s="63">
        <f>5.8254 * CHOOSE(CONTROL!$C$22, $C$13, 100%, $E$13)</f>
        <v>5.8254000000000001</v>
      </c>
      <c r="D377" s="63">
        <f>5.8512 * CHOOSE(CONTROL!$C$22, $C$13, 100%, $E$13)</f>
        <v>5.8512000000000004</v>
      </c>
      <c r="E377" s="64">
        <f>6.7612 * CHOOSE(CONTROL!$C$22, $C$13, 100%, $E$13)</f>
        <v>6.7611999999999997</v>
      </c>
      <c r="F377" s="64">
        <f>6.7612 * CHOOSE(CONTROL!$C$22, $C$13, 100%, $E$13)</f>
        <v>6.7611999999999997</v>
      </c>
      <c r="G377" s="64">
        <f>6.7628 * CHOOSE(CONTROL!$C$22, $C$13, 100%, $E$13)</f>
        <v>6.7628000000000004</v>
      </c>
      <c r="H377" s="64">
        <f>11.9478* CHOOSE(CONTROL!$C$22, $C$13, 100%, $E$13)</f>
        <v>11.947800000000001</v>
      </c>
      <c r="I377" s="64">
        <f>11.9495 * CHOOSE(CONTROL!$C$22, $C$13, 100%, $E$13)</f>
        <v>11.9495</v>
      </c>
      <c r="J377" s="64">
        <f>6.7612 * CHOOSE(CONTROL!$C$22, $C$13, 100%, $E$13)</f>
        <v>6.7611999999999997</v>
      </c>
      <c r="K377" s="64">
        <f>6.7628 * CHOOSE(CONTROL!$C$22, $C$13, 100%, $E$13)</f>
        <v>6.7628000000000004</v>
      </c>
    </row>
    <row r="378" spans="1:11" ht="15">
      <c r="A378" s="13">
        <v>53144</v>
      </c>
      <c r="B378" s="63">
        <f>5.9228 * CHOOSE(CONTROL!$C$22, $C$13, 100%, $E$13)</f>
        <v>5.9227999999999996</v>
      </c>
      <c r="C378" s="63">
        <f>5.9228 * CHOOSE(CONTROL!$C$22, $C$13, 100%, $E$13)</f>
        <v>5.9227999999999996</v>
      </c>
      <c r="D378" s="63">
        <f>5.9485 * CHOOSE(CONTROL!$C$22, $C$13, 100%, $E$13)</f>
        <v>5.9485000000000001</v>
      </c>
      <c r="E378" s="64">
        <f>6.8958 * CHOOSE(CONTROL!$C$22, $C$13, 100%, $E$13)</f>
        <v>6.8958000000000004</v>
      </c>
      <c r="F378" s="64">
        <f>6.8958 * CHOOSE(CONTROL!$C$22, $C$13, 100%, $E$13)</f>
        <v>6.8958000000000004</v>
      </c>
      <c r="G378" s="64">
        <f>6.8974 * CHOOSE(CONTROL!$C$22, $C$13, 100%, $E$13)</f>
        <v>6.8974000000000002</v>
      </c>
      <c r="H378" s="64">
        <f>11.9727* CHOOSE(CONTROL!$C$22, $C$13, 100%, $E$13)</f>
        <v>11.9727</v>
      </c>
      <c r="I378" s="64">
        <f>11.9743 * CHOOSE(CONTROL!$C$22, $C$13, 100%, $E$13)</f>
        <v>11.974299999999999</v>
      </c>
      <c r="J378" s="64">
        <f>6.8958 * CHOOSE(CONTROL!$C$22, $C$13, 100%, $E$13)</f>
        <v>6.8958000000000004</v>
      </c>
      <c r="K378" s="64">
        <f>6.8974 * CHOOSE(CONTROL!$C$22, $C$13, 100%, $E$13)</f>
        <v>6.8974000000000002</v>
      </c>
    </row>
    <row r="379" spans="1:11" ht="15">
      <c r="A379" s="13">
        <v>53175</v>
      </c>
      <c r="B379" s="63">
        <f>5.9295 * CHOOSE(CONTROL!$C$22, $C$13, 100%, $E$13)</f>
        <v>5.9295</v>
      </c>
      <c r="C379" s="63">
        <f>5.9295 * CHOOSE(CONTROL!$C$22, $C$13, 100%, $E$13)</f>
        <v>5.9295</v>
      </c>
      <c r="D379" s="63">
        <f>5.9552 * CHOOSE(CONTROL!$C$22, $C$13, 100%, $E$13)</f>
        <v>5.9551999999999996</v>
      </c>
      <c r="E379" s="64">
        <f>6.8306 * CHOOSE(CONTROL!$C$22, $C$13, 100%, $E$13)</f>
        <v>6.8305999999999996</v>
      </c>
      <c r="F379" s="64">
        <f>6.8306 * CHOOSE(CONTROL!$C$22, $C$13, 100%, $E$13)</f>
        <v>6.8305999999999996</v>
      </c>
      <c r="G379" s="64">
        <f>6.8322 * CHOOSE(CONTROL!$C$22, $C$13, 100%, $E$13)</f>
        <v>6.8322000000000003</v>
      </c>
      <c r="H379" s="64">
        <f>11.9977* CHOOSE(CONTROL!$C$22, $C$13, 100%, $E$13)</f>
        <v>11.9977</v>
      </c>
      <c r="I379" s="64">
        <f>11.9993 * CHOOSE(CONTROL!$C$22, $C$13, 100%, $E$13)</f>
        <v>11.9993</v>
      </c>
      <c r="J379" s="64">
        <f>6.8306 * CHOOSE(CONTROL!$C$22, $C$13, 100%, $E$13)</f>
        <v>6.8305999999999996</v>
      </c>
      <c r="K379" s="64">
        <f>6.8322 * CHOOSE(CONTROL!$C$22, $C$13, 100%, $E$13)</f>
        <v>6.8322000000000003</v>
      </c>
    </row>
    <row r="380" spans="1:11" ht="15">
      <c r="A380" s="13">
        <v>53206</v>
      </c>
      <c r="B380" s="63">
        <f>5.9264 * CHOOSE(CONTROL!$C$22, $C$13, 100%, $E$13)</f>
        <v>5.9264000000000001</v>
      </c>
      <c r="C380" s="63">
        <f>5.9264 * CHOOSE(CONTROL!$C$22, $C$13, 100%, $E$13)</f>
        <v>5.9264000000000001</v>
      </c>
      <c r="D380" s="63">
        <f>5.9522 * CHOOSE(CONTROL!$C$22, $C$13, 100%, $E$13)</f>
        <v>5.9522000000000004</v>
      </c>
      <c r="E380" s="64">
        <f>6.8207 * CHOOSE(CONTROL!$C$22, $C$13, 100%, $E$13)</f>
        <v>6.8207000000000004</v>
      </c>
      <c r="F380" s="64">
        <f>6.8207 * CHOOSE(CONTROL!$C$22, $C$13, 100%, $E$13)</f>
        <v>6.8207000000000004</v>
      </c>
      <c r="G380" s="64">
        <f>6.8223 * CHOOSE(CONTROL!$C$22, $C$13, 100%, $E$13)</f>
        <v>6.8223000000000003</v>
      </c>
      <c r="H380" s="64">
        <f>12.0226* CHOOSE(CONTROL!$C$22, $C$13, 100%, $E$13)</f>
        <v>12.022600000000001</v>
      </c>
      <c r="I380" s="64">
        <f>12.0243 * CHOOSE(CONTROL!$C$22, $C$13, 100%, $E$13)</f>
        <v>12.0243</v>
      </c>
      <c r="J380" s="64">
        <f>6.8207 * CHOOSE(CONTROL!$C$22, $C$13, 100%, $E$13)</f>
        <v>6.8207000000000004</v>
      </c>
      <c r="K380" s="64">
        <f>6.8223 * CHOOSE(CONTROL!$C$22, $C$13, 100%, $E$13)</f>
        <v>6.8223000000000003</v>
      </c>
    </row>
    <row r="381" spans="1:11" ht="15">
      <c r="A381" s="13">
        <v>53236</v>
      </c>
      <c r="B381" s="63">
        <f>5.9282 * CHOOSE(CONTROL!$C$22, $C$13, 100%, $E$13)</f>
        <v>5.9282000000000004</v>
      </c>
      <c r="C381" s="63">
        <f>5.9282 * CHOOSE(CONTROL!$C$22, $C$13, 100%, $E$13)</f>
        <v>5.9282000000000004</v>
      </c>
      <c r="D381" s="63">
        <f>5.9411 * CHOOSE(CONTROL!$C$22, $C$13, 100%, $E$13)</f>
        <v>5.9410999999999996</v>
      </c>
      <c r="E381" s="64">
        <f>6.8383 * CHOOSE(CONTROL!$C$22, $C$13, 100%, $E$13)</f>
        <v>6.8383000000000003</v>
      </c>
      <c r="F381" s="64">
        <f>6.8383 * CHOOSE(CONTROL!$C$22, $C$13, 100%, $E$13)</f>
        <v>6.8383000000000003</v>
      </c>
      <c r="G381" s="64">
        <f>6.8385 * CHOOSE(CONTROL!$C$22, $C$13, 100%, $E$13)</f>
        <v>6.8384999999999998</v>
      </c>
      <c r="H381" s="64">
        <f>12.0477* CHOOSE(CONTROL!$C$22, $C$13, 100%, $E$13)</f>
        <v>12.047700000000001</v>
      </c>
      <c r="I381" s="64">
        <f>12.0479 * CHOOSE(CONTROL!$C$22, $C$13, 100%, $E$13)</f>
        <v>12.0479</v>
      </c>
      <c r="J381" s="64">
        <f>6.8383 * CHOOSE(CONTROL!$C$22, $C$13, 100%, $E$13)</f>
        <v>6.8383000000000003</v>
      </c>
      <c r="K381" s="64">
        <f>6.8385 * CHOOSE(CONTROL!$C$22, $C$13, 100%, $E$13)</f>
        <v>6.8384999999999998</v>
      </c>
    </row>
    <row r="382" spans="1:11" ht="15">
      <c r="A382" s="13">
        <v>53267</v>
      </c>
      <c r="B382" s="63">
        <f>5.9312 * CHOOSE(CONTROL!$C$22, $C$13, 100%, $E$13)</f>
        <v>5.9311999999999996</v>
      </c>
      <c r="C382" s="63">
        <f>5.9312 * CHOOSE(CONTROL!$C$22, $C$13, 100%, $E$13)</f>
        <v>5.9311999999999996</v>
      </c>
      <c r="D382" s="63">
        <f>5.9441 * CHOOSE(CONTROL!$C$22, $C$13, 100%, $E$13)</f>
        <v>5.9440999999999997</v>
      </c>
      <c r="E382" s="64">
        <f>6.856 * CHOOSE(CONTROL!$C$22, $C$13, 100%, $E$13)</f>
        <v>6.8559999999999999</v>
      </c>
      <c r="F382" s="64">
        <f>6.856 * CHOOSE(CONTROL!$C$22, $C$13, 100%, $E$13)</f>
        <v>6.8559999999999999</v>
      </c>
      <c r="G382" s="64">
        <f>6.8561 * CHOOSE(CONTROL!$C$22, $C$13, 100%, $E$13)</f>
        <v>6.8560999999999996</v>
      </c>
      <c r="H382" s="64">
        <f>12.0728* CHOOSE(CONTROL!$C$22, $C$13, 100%, $E$13)</f>
        <v>12.072800000000001</v>
      </c>
      <c r="I382" s="64">
        <f>12.073 * CHOOSE(CONTROL!$C$22, $C$13, 100%, $E$13)</f>
        <v>12.073</v>
      </c>
      <c r="J382" s="64">
        <f>6.856 * CHOOSE(CONTROL!$C$22, $C$13, 100%, $E$13)</f>
        <v>6.8559999999999999</v>
      </c>
      <c r="K382" s="64">
        <f>6.8561 * CHOOSE(CONTROL!$C$22, $C$13, 100%, $E$13)</f>
        <v>6.8560999999999996</v>
      </c>
    </row>
    <row r="383" spans="1:11" ht="15">
      <c r="A383" s="13">
        <v>53297</v>
      </c>
      <c r="B383" s="63">
        <f>5.9312 * CHOOSE(CONTROL!$C$22, $C$13, 100%, $E$13)</f>
        <v>5.9311999999999996</v>
      </c>
      <c r="C383" s="63">
        <f>5.9312 * CHOOSE(CONTROL!$C$22, $C$13, 100%, $E$13)</f>
        <v>5.9311999999999996</v>
      </c>
      <c r="D383" s="63">
        <f>5.9441 * CHOOSE(CONTROL!$C$22, $C$13, 100%, $E$13)</f>
        <v>5.9440999999999997</v>
      </c>
      <c r="E383" s="64">
        <f>6.8171 * CHOOSE(CONTROL!$C$22, $C$13, 100%, $E$13)</f>
        <v>6.8170999999999999</v>
      </c>
      <c r="F383" s="64">
        <f>6.8171 * CHOOSE(CONTROL!$C$22, $C$13, 100%, $E$13)</f>
        <v>6.8170999999999999</v>
      </c>
      <c r="G383" s="64">
        <f>6.8173 * CHOOSE(CONTROL!$C$22, $C$13, 100%, $E$13)</f>
        <v>6.8173000000000004</v>
      </c>
      <c r="H383" s="64">
        <f>12.0979* CHOOSE(CONTROL!$C$22, $C$13, 100%, $E$13)</f>
        <v>12.097899999999999</v>
      </c>
      <c r="I383" s="64">
        <f>12.0981 * CHOOSE(CONTROL!$C$22, $C$13, 100%, $E$13)</f>
        <v>12.098100000000001</v>
      </c>
      <c r="J383" s="64">
        <f>6.8171 * CHOOSE(CONTROL!$C$22, $C$13, 100%, $E$13)</f>
        <v>6.8170999999999999</v>
      </c>
      <c r="K383" s="64">
        <f>6.8173 * CHOOSE(CONTROL!$C$22, $C$13, 100%, $E$13)</f>
        <v>6.8173000000000004</v>
      </c>
    </row>
    <row r="384" spans="1:11" ht="15">
      <c r="A384" s="13">
        <v>53328</v>
      </c>
      <c r="B384" s="63">
        <f>5.9849 * CHOOSE(CONTROL!$C$22, $C$13, 100%, $E$13)</f>
        <v>5.9848999999999997</v>
      </c>
      <c r="C384" s="63">
        <f>5.9849 * CHOOSE(CONTROL!$C$22, $C$13, 100%, $E$13)</f>
        <v>5.9848999999999997</v>
      </c>
      <c r="D384" s="63">
        <f>5.9978 * CHOOSE(CONTROL!$C$22, $C$13, 100%, $E$13)</f>
        <v>5.9977999999999998</v>
      </c>
      <c r="E384" s="64">
        <f>6.9068 * CHOOSE(CONTROL!$C$22, $C$13, 100%, $E$13)</f>
        <v>6.9067999999999996</v>
      </c>
      <c r="F384" s="64">
        <f>6.9068 * CHOOSE(CONTROL!$C$22, $C$13, 100%, $E$13)</f>
        <v>6.9067999999999996</v>
      </c>
      <c r="G384" s="64">
        <f>6.907 * CHOOSE(CONTROL!$C$22, $C$13, 100%, $E$13)</f>
        <v>6.907</v>
      </c>
      <c r="H384" s="64">
        <f>12.1231* CHOOSE(CONTROL!$C$22, $C$13, 100%, $E$13)</f>
        <v>12.123100000000001</v>
      </c>
      <c r="I384" s="64">
        <f>12.1233 * CHOOSE(CONTROL!$C$22, $C$13, 100%, $E$13)</f>
        <v>12.1233</v>
      </c>
      <c r="J384" s="64">
        <f>6.9068 * CHOOSE(CONTROL!$C$22, $C$13, 100%, $E$13)</f>
        <v>6.9067999999999996</v>
      </c>
      <c r="K384" s="64">
        <f>6.907 * CHOOSE(CONTROL!$C$22, $C$13, 100%, $E$13)</f>
        <v>6.907</v>
      </c>
    </row>
    <row r="385" spans="1:11" ht="15">
      <c r="A385" s="13">
        <v>53359</v>
      </c>
      <c r="B385" s="63">
        <f>5.9819 * CHOOSE(CONTROL!$C$22, $C$13, 100%, $E$13)</f>
        <v>5.9819000000000004</v>
      </c>
      <c r="C385" s="63">
        <f>5.9819 * CHOOSE(CONTROL!$C$22, $C$13, 100%, $E$13)</f>
        <v>5.9819000000000004</v>
      </c>
      <c r="D385" s="63">
        <f>5.9947 * CHOOSE(CONTROL!$C$22, $C$13, 100%, $E$13)</f>
        <v>5.9946999999999999</v>
      </c>
      <c r="E385" s="64">
        <f>6.8293 * CHOOSE(CONTROL!$C$22, $C$13, 100%, $E$13)</f>
        <v>6.8292999999999999</v>
      </c>
      <c r="F385" s="64">
        <f>6.8293 * CHOOSE(CONTROL!$C$22, $C$13, 100%, $E$13)</f>
        <v>6.8292999999999999</v>
      </c>
      <c r="G385" s="64">
        <f>6.8295 * CHOOSE(CONTROL!$C$22, $C$13, 100%, $E$13)</f>
        <v>6.8295000000000003</v>
      </c>
      <c r="H385" s="64">
        <f>12.1484* CHOOSE(CONTROL!$C$22, $C$13, 100%, $E$13)</f>
        <v>12.148400000000001</v>
      </c>
      <c r="I385" s="64">
        <f>12.1486 * CHOOSE(CONTROL!$C$22, $C$13, 100%, $E$13)</f>
        <v>12.1486</v>
      </c>
      <c r="J385" s="64">
        <f>6.8293 * CHOOSE(CONTROL!$C$22, $C$13, 100%, $E$13)</f>
        <v>6.8292999999999999</v>
      </c>
      <c r="K385" s="64">
        <f>6.8295 * CHOOSE(CONTROL!$C$22, $C$13, 100%, $E$13)</f>
        <v>6.8295000000000003</v>
      </c>
    </row>
    <row r="386" spans="1:11" ht="15">
      <c r="A386" s="13">
        <v>53387</v>
      </c>
      <c r="B386" s="63">
        <f>5.9788 * CHOOSE(CONTROL!$C$22, $C$13, 100%, $E$13)</f>
        <v>5.9787999999999997</v>
      </c>
      <c r="C386" s="63">
        <f>5.9788 * CHOOSE(CONTROL!$C$22, $C$13, 100%, $E$13)</f>
        <v>5.9787999999999997</v>
      </c>
      <c r="D386" s="63">
        <f>5.9917 * CHOOSE(CONTROL!$C$22, $C$13, 100%, $E$13)</f>
        <v>5.9916999999999998</v>
      </c>
      <c r="E386" s="64">
        <f>6.8866 * CHOOSE(CONTROL!$C$22, $C$13, 100%, $E$13)</f>
        <v>6.8865999999999996</v>
      </c>
      <c r="F386" s="64">
        <f>6.8866 * CHOOSE(CONTROL!$C$22, $C$13, 100%, $E$13)</f>
        <v>6.8865999999999996</v>
      </c>
      <c r="G386" s="64">
        <f>6.8868 * CHOOSE(CONTROL!$C$22, $C$13, 100%, $E$13)</f>
        <v>6.8868</v>
      </c>
      <c r="H386" s="64">
        <f>12.1737* CHOOSE(CONTROL!$C$22, $C$13, 100%, $E$13)</f>
        <v>12.1737</v>
      </c>
      <c r="I386" s="64">
        <f>12.1739 * CHOOSE(CONTROL!$C$22, $C$13, 100%, $E$13)</f>
        <v>12.1739</v>
      </c>
      <c r="J386" s="64">
        <f>6.8866 * CHOOSE(CONTROL!$C$22, $C$13, 100%, $E$13)</f>
        <v>6.8865999999999996</v>
      </c>
      <c r="K386" s="64">
        <f>6.8868 * CHOOSE(CONTROL!$C$22, $C$13, 100%, $E$13)</f>
        <v>6.8868</v>
      </c>
    </row>
    <row r="387" spans="1:11" ht="15">
      <c r="A387" s="13">
        <v>53418</v>
      </c>
      <c r="B387" s="63">
        <f>5.9783 * CHOOSE(CONTROL!$C$22, $C$13, 100%, $E$13)</f>
        <v>5.9782999999999999</v>
      </c>
      <c r="C387" s="63">
        <f>5.9783 * CHOOSE(CONTROL!$C$22, $C$13, 100%, $E$13)</f>
        <v>5.9782999999999999</v>
      </c>
      <c r="D387" s="63">
        <f>5.9911 * CHOOSE(CONTROL!$C$22, $C$13, 100%, $E$13)</f>
        <v>5.9911000000000003</v>
      </c>
      <c r="E387" s="64">
        <f>6.9463 * CHOOSE(CONTROL!$C$22, $C$13, 100%, $E$13)</f>
        <v>6.9462999999999999</v>
      </c>
      <c r="F387" s="64">
        <f>6.9463 * CHOOSE(CONTROL!$C$22, $C$13, 100%, $E$13)</f>
        <v>6.9462999999999999</v>
      </c>
      <c r="G387" s="64">
        <f>6.9464 * CHOOSE(CONTROL!$C$22, $C$13, 100%, $E$13)</f>
        <v>6.9463999999999997</v>
      </c>
      <c r="H387" s="64">
        <f>12.1991* CHOOSE(CONTROL!$C$22, $C$13, 100%, $E$13)</f>
        <v>12.1991</v>
      </c>
      <c r="I387" s="64">
        <f>12.1993 * CHOOSE(CONTROL!$C$22, $C$13, 100%, $E$13)</f>
        <v>12.199299999999999</v>
      </c>
      <c r="J387" s="64">
        <f>6.9463 * CHOOSE(CONTROL!$C$22, $C$13, 100%, $E$13)</f>
        <v>6.9462999999999999</v>
      </c>
      <c r="K387" s="64">
        <f>6.9464 * CHOOSE(CONTROL!$C$22, $C$13, 100%, $E$13)</f>
        <v>6.9463999999999997</v>
      </c>
    </row>
    <row r="388" spans="1:11" ht="15">
      <c r="A388" s="13">
        <v>53448</v>
      </c>
      <c r="B388" s="63">
        <f>5.9783 * CHOOSE(CONTROL!$C$22, $C$13, 100%, $E$13)</f>
        <v>5.9782999999999999</v>
      </c>
      <c r="C388" s="63">
        <f>5.9783 * CHOOSE(CONTROL!$C$22, $C$13, 100%, $E$13)</f>
        <v>5.9782999999999999</v>
      </c>
      <c r="D388" s="63">
        <f>6.004 * CHOOSE(CONTROL!$C$22, $C$13, 100%, $E$13)</f>
        <v>6.0039999999999996</v>
      </c>
      <c r="E388" s="64">
        <f>6.9702 * CHOOSE(CONTROL!$C$22, $C$13, 100%, $E$13)</f>
        <v>6.9702000000000002</v>
      </c>
      <c r="F388" s="64">
        <f>6.9702 * CHOOSE(CONTROL!$C$22, $C$13, 100%, $E$13)</f>
        <v>6.9702000000000002</v>
      </c>
      <c r="G388" s="64">
        <f>6.9718 * CHOOSE(CONTROL!$C$22, $C$13, 100%, $E$13)</f>
        <v>6.9718</v>
      </c>
      <c r="H388" s="64">
        <f>12.2245* CHOOSE(CONTROL!$C$22, $C$13, 100%, $E$13)</f>
        <v>12.224500000000001</v>
      </c>
      <c r="I388" s="64">
        <f>12.2261 * CHOOSE(CONTROL!$C$22, $C$13, 100%, $E$13)</f>
        <v>12.226100000000001</v>
      </c>
      <c r="J388" s="64">
        <f>6.9702 * CHOOSE(CONTROL!$C$22, $C$13, 100%, $E$13)</f>
        <v>6.9702000000000002</v>
      </c>
      <c r="K388" s="64">
        <f>6.9718 * CHOOSE(CONTROL!$C$22, $C$13, 100%, $E$13)</f>
        <v>6.9718</v>
      </c>
    </row>
    <row r="389" spans="1:11" ht="15">
      <c r="A389" s="13">
        <v>53479</v>
      </c>
      <c r="B389" s="63">
        <f>5.9843 * CHOOSE(CONTROL!$C$22, $C$13, 100%, $E$13)</f>
        <v>5.9843000000000002</v>
      </c>
      <c r="C389" s="63">
        <f>5.9843 * CHOOSE(CONTROL!$C$22, $C$13, 100%, $E$13)</f>
        <v>5.9843000000000002</v>
      </c>
      <c r="D389" s="63">
        <f>6.0101 * CHOOSE(CONTROL!$C$22, $C$13, 100%, $E$13)</f>
        <v>6.0101000000000004</v>
      </c>
      <c r="E389" s="64">
        <f>6.9505 * CHOOSE(CONTROL!$C$22, $C$13, 100%, $E$13)</f>
        <v>6.9504999999999999</v>
      </c>
      <c r="F389" s="64">
        <f>6.9505 * CHOOSE(CONTROL!$C$22, $C$13, 100%, $E$13)</f>
        <v>6.9504999999999999</v>
      </c>
      <c r="G389" s="64">
        <f>6.9521 * CHOOSE(CONTROL!$C$22, $C$13, 100%, $E$13)</f>
        <v>6.9520999999999997</v>
      </c>
      <c r="H389" s="64">
        <f>12.25* CHOOSE(CONTROL!$C$22, $C$13, 100%, $E$13)</f>
        <v>12.25</v>
      </c>
      <c r="I389" s="64">
        <f>12.2516 * CHOOSE(CONTROL!$C$22, $C$13, 100%, $E$13)</f>
        <v>12.2516</v>
      </c>
      <c r="J389" s="64">
        <f>6.9505 * CHOOSE(CONTROL!$C$22, $C$13, 100%, $E$13)</f>
        <v>6.9504999999999999</v>
      </c>
      <c r="K389" s="64">
        <f>6.9521 * CHOOSE(CONTROL!$C$22, $C$13, 100%, $E$13)</f>
        <v>6.9520999999999997</v>
      </c>
    </row>
    <row r="390" spans="1:11" ht="15">
      <c r="A390" s="13">
        <v>53509</v>
      </c>
      <c r="B390" s="63">
        <f>6.084 * CHOOSE(CONTROL!$C$22, $C$13, 100%, $E$13)</f>
        <v>6.0839999999999996</v>
      </c>
      <c r="C390" s="63">
        <f>6.084 * CHOOSE(CONTROL!$C$22, $C$13, 100%, $E$13)</f>
        <v>6.0839999999999996</v>
      </c>
      <c r="D390" s="63">
        <f>6.1098 * CHOOSE(CONTROL!$C$22, $C$13, 100%, $E$13)</f>
        <v>6.1097999999999999</v>
      </c>
      <c r="E390" s="64">
        <f>7.0886 * CHOOSE(CONTROL!$C$22, $C$13, 100%, $E$13)</f>
        <v>7.0885999999999996</v>
      </c>
      <c r="F390" s="64">
        <f>7.0886 * CHOOSE(CONTROL!$C$22, $C$13, 100%, $E$13)</f>
        <v>7.0885999999999996</v>
      </c>
      <c r="G390" s="64">
        <f>7.0902 * CHOOSE(CONTROL!$C$22, $C$13, 100%, $E$13)</f>
        <v>7.0902000000000003</v>
      </c>
      <c r="H390" s="64">
        <f>12.2755* CHOOSE(CONTROL!$C$22, $C$13, 100%, $E$13)</f>
        <v>12.275499999999999</v>
      </c>
      <c r="I390" s="64">
        <f>12.2771 * CHOOSE(CONTROL!$C$22, $C$13, 100%, $E$13)</f>
        <v>12.277100000000001</v>
      </c>
      <c r="J390" s="64">
        <f>7.0886 * CHOOSE(CONTROL!$C$22, $C$13, 100%, $E$13)</f>
        <v>7.0885999999999996</v>
      </c>
      <c r="K390" s="64">
        <f>7.0902 * CHOOSE(CONTROL!$C$22, $C$13, 100%, $E$13)</f>
        <v>7.0902000000000003</v>
      </c>
    </row>
    <row r="391" spans="1:11" ht="15">
      <c r="A391" s="13">
        <v>53540</v>
      </c>
      <c r="B391" s="63">
        <f>6.0907 * CHOOSE(CONTROL!$C$22, $C$13, 100%, $E$13)</f>
        <v>6.0907</v>
      </c>
      <c r="C391" s="63">
        <f>6.0907 * CHOOSE(CONTROL!$C$22, $C$13, 100%, $E$13)</f>
        <v>6.0907</v>
      </c>
      <c r="D391" s="63">
        <f>6.1165 * CHOOSE(CONTROL!$C$22, $C$13, 100%, $E$13)</f>
        <v>6.1165000000000003</v>
      </c>
      <c r="E391" s="64">
        <f>7.0214 * CHOOSE(CONTROL!$C$22, $C$13, 100%, $E$13)</f>
        <v>7.0213999999999999</v>
      </c>
      <c r="F391" s="64">
        <f>7.0214 * CHOOSE(CONTROL!$C$22, $C$13, 100%, $E$13)</f>
        <v>7.0213999999999999</v>
      </c>
      <c r="G391" s="64">
        <f>7.0231 * CHOOSE(CONTROL!$C$22, $C$13, 100%, $E$13)</f>
        <v>7.0231000000000003</v>
      </c>
      <c r="H391" s="64">
        <f>12.3011* CHOOSE(CONTROL!$C$22, $C$13, 100%, $E$13)</f>
        <v>12.3011</v>
      </c>
      <c r="I391" s="64">
        <f>12.3027 * CHOOSE(CONTROL!$C$22, $C$13, 100%, $E$13)</f>
        <v>12.3027</v>
      </c>
      <c r="J391" s="64">
        <f>7.0214 * CHOOSE(CONTROL!$C$22, $C$13, 100%, $E$13)</f>
        <v>7.0213999999999999</v>
      </c>
      <c r="K391" s="64">
        <f>7.0231 * CHOOSE(CONTROL!$C$22, $C$13, 100%, $E$13)</f>
        <v>7.0231000000000003</v>
      </c>
    </row>
    <row r="392" spans="1:11" ht="15">
      <c r="A392" s="13">
        <v>53571</v>
      </c>
      <c r="B392" s="63">
        <f>6.0877 * CHOOSE(CONTROL!$C$22, $C$13, 100%, $E$13)</f>
        <v>6.0876999999999999</v>
      </c>
      <c r="C392" s="63">
        <f>6.0877 * CHOOSE(CONTROL!$C$22, $C$13, 100%, $E$13)</f>
        <v>6.0876999999999999</v>
      </c>
      <c r="D392" s="63">
        <f>6.1134 * CHOOSE(CONTROL!$C$22, $C$13, 100%, $E$13)</f>
        <v>6.1134000000000004</v>
      </c>
      <c r="E392" s="64">
        <f>7.0113 * CHOOSE(CONTROL!$C$22, $C$13, 100%, $E$13)</f>
        <v>7.0113000000000003</v>
      </c>
      <c r="F392" s="64">
        <f>7.0113 * CHOOSE(CONTROL!$C$22, $C$13, 100%, $E$13)</f>
        <v>7.0113000000000003</v>
      </c>
      <c r="G392" s="64">
        <f>7.013 * CHOOSE(CONTROL!$C$22, $C$13, 100%, $E$13)</f>
        <v>7.0129999999999999</v>
      </c>
      <c r="H392" s="64">
        <f>12.3267* CHOOSE(CONTROL!$C$22, $C$13, 100%, $E$13)</f>
        <v>12.326700000000001</v>
      </c>
      <c r="I392" s="64">
        <f>12.3283 * CHOOSE(CONTROL!$C$22, $C$13, 100%, $E$13)</f>
        <v>12.3283</v>
      </c>
      <c r="J392" s="64">
        <f>7.0113 * CHOOSE(CONTROL!$C$22, $C$13, 100%, $E$13)</f>
        <v>7.0113000000000003</v>
      </c>
      <c r="K392" s="64">
        <f>7.013 * CHOOSE(CONTROL!$C$22, $C$13, 100%, $E$13)</f>
        <v>7.0129999999999999</v>
      </c>
    </row>
    <row r="393" spans="1:11" ht="15">
      <c r="A393" s="13">
        <v>53601</v>
      </c>
      <c r="B393" s="63">
        <f>6.0899 * CHOOSE(CONTROL!$C$22, $C$13, 100%, $E$13)</f>
        <v>6.0899000000000001</v>
      </c>
      <c r="C393" s="63">
        <f>6.0899 * CHOOSE(CONTROL!$C$22, $C$13, 100%, $E$13)</f>
        <v>6.0899000000000001</v>
      </c>
      <c r="D393" s="63">
        <f>6.1028 * CHOOSE(CONTROL!$C$22, $C$13, 100%, $E$13)</f>
        <v>6.1028000000000002</v>
      </c>
      <c r="E393" s="64">
        <f>7.0298 * CHOOSE(CONTROL!$C$22, $C$13, 100%, $E$13)</f>
        <v>7.0297999999999998</v>
      </c>
      <c r="F393" s="64">
        <f>7.0298 * CHOOSE(CONTROL!$C$22, $C$13, 100%, $E$13)</f>
        <v>7.0297999999999998</v>
      </c>
      <c r="G393" s="64">
        <f>7.03 * CHOOSE(CONTROL!$C$22, $C$13, 100%, $E$13)</f>
        <v>7.03</v>
      </c>
      <c r="H393" s="64">
        <f>12.3524* CHOOSE(CONTROL!$C$22, $C$13, 100%, $E$13)</f>
        <v>12.352399999999999</v>
      </c>
      <c r="I393" s="64">
        <f>12.3525 * CHOOSE(CONTROL!$C$22, $C$13, 100%, $E$13)</f>
        <v>12.352499999999999</v>
      </c>
      <c r="J393" s="64">
        <f>7.0298 * CHOOSE(CONTROL!$C$22, $C$13, 100%, $E$13)</f>
        <v>7.0297999999999998</v>
      </c>
      <c r="K393" s="64">
        <f>7.03 * CHOOSE(CONTROL!$C$22, $C$13, 100%, $E$13)</f>
        <v>7.03</v>
      </c>
    </row>
    <row r="394" spans="1:11" ht="15">
      <c r="A394" s="13">
        <v>53632</v>
      </c>
      <c r="B394" s="63">
        <f>6.093 * CHOOSE(CONTROL!$C$22, $C$13, 100%, $E$13)</f>
        <v>6.093</v>
      </c>
      <c r="C394" s="63">
        <f>6.093 * CHOOSE(CONTROL!$C$22, $C$13, 100%, $E$13)</f>
        <v>6.093</v>
      </c>
      <c r="D394" s="63">
        <f>6.1059 * CHOOSE(CONTROL!$C$22, $C$13, 100%, $E$13)</f>
        <v>6.1059000000000001</v>
      </c>
      <c r="E394" s="64">
        <f>7.0479 * CHOOSE(CONTROL!$C$22, $C$13, 100%, $E$13)</f>
        <v>7.0479000000000003</v>
      </c>
      <c r="F394" s="64">
        <f>7.0479 * CHOOSE(CONTROL!$C$22, $C$13, 100%, $E$13)</f>
        <v>7.0479000000000003</v>
      </c>
      <c r="G394" s="64">
        <f>7.0481 * CHOOSE(CONTROL!$C$22, $C$13, 100%, $E$13)</f>
        <v>7.0480999999999998</v>
      </c>
      <c r="H394" s="64">
        <f>12.3781* CHOOSE(CONTROL!$C$22, $C$13, 100%, $E$13)</f>
        <v>12.3781</v>
      </c>
      <c r="I394" s="64">
        <f>12.3783 * CHOOSE(CONTROL!$C$22, $C$13, 100%, $E$13)</f>
        <v>12.378299999999999</v>
      </c>
      <c r="J394" s="64">
        <f>7.0479 * CHOOSE(CONTROL!$C$22, $C$13, 100%, $E$13)</f>
        <v>7.0479000000000003</v>
      </c>
      <c r="K394" s="64">
        <f>7.0481 * CHOOSE(CONTROL!$C$22, $C$13, 100%, $E$13)</f>
        <v>7.0480999999999998</v>
      </c>
    </row>
    <row r="395" spans="1:11" ht="15">
      <c r="A395" s="13">
        <v>53662</v>
      </c>
      <c r="B395" s="63">
        <f>6.093 * CHOOSE(CONTROL!$C$22, $C$13, 100%, $E$13)</f>
        <v>6.093</v>
      </c>
      <c r="C395" s="63">
        <f>6.093 * CHOOSE(CONTROL!$C$22, $C$13, 100%, $E$13)</f>
        <v>6.093</v>
      </c>
      <c r="D395" s="63">
        <f>6.1059 * CHOOSE(CONTROL!$C$22, $C$13, 100%, $E$13)</f>
        <v>6.1059000000000001</v>
      </c>
      <c r="E395" s="64">
        <f>7.008 * CHOOSE(CONTROL!$C$22, $C$13, 100%, $E$13)</f>
        <v>7.008</v>
      </c>
      <c r="F395" s="64">
        <f>7.008 * CHOOSE(CONTROL!$C$22, $C$13, 100%, $E$13)</f>
        <v>7.008</v>
      </c>
      <c r="G395" s="64">
        <f>7.0082 * CHOOSE(CONTROL!$C$22, $C$13, 100%, $E$13)</f>
        <v>7.0082000000000004</v>
      </c>
      <c r="H395" s="64">
        <f>12.4039* CHOOSE(CONTROL!$C$22, $C$13, 100%, $E$13)</f>
        <v>12.4039</v>
      </c>
      <c r="I395" s="64">
        <f>12.4041 * CHOOSE(CONTROL!$C$22, $C$13, 100%, $E$13)</f>
        <v>12.4041</v>
      </c>
      <c r="J395" s="64">
        <f>7.008 * CHOOSE(CONTROL!$C$22, $C$13, 100%, $E$13)</f>
        <v>7.008</v>
      </c>
      <c r="K395" s="64">
        <f>7.0082 * CHOOSE(CONTROL!$C$22, $C$13, 100%, $E$13)</f>
        <v>7.0082000000000004</v>
      </c>
    </row>
    <row r="396" spans="1:11" ht="15">
      <c r="A396" s="13">
        <v>53693</v>
      </c>
      <c r="B396" s="63">
        <f>6.148 * CHOOSE(CONTROL!$C$22, $C$13, 100%, $E$13)</f>
        <v>6.1479999999999997</v>
      </c>
      <c r="C396" s="63">
        <f>6.148 * CHOOSE(CONTROL!$C$22, $C$13, 100%, $E$13)</f>
        <v>6.1479999999999997</v>
      </c>
      <c r="D396" s="63">
        <f>6.1609 * CHOOSE(CONTROL!$C$22, $C$13, 100%, $E$13)</f>
        <v>6.1608999999999998</v>
      </c>
      <c r="E396" s="64">
        <f>7.1001 * CHOOSE(CONTROL!$C$22, $C$13, 100%, $E$13)</f>
        <v>7.1001000000000003</v>
      </c>
      <c r="F396" s="64">
        <f>7.1001 * CHOOSE(CONTROL!$C$22, $C$13, 100%, $E$13)</f>
        <v>7.1001000000000003</v>
      </c>
      <c r="G396" s="64">
        <f>7.1003 * CHOOSE(CONTROL!$C$22, $C$13, 100%, $E$13)</f>
        <v>7.1002999999999998</v>
      </c>
      <c r="H396" s="64">
        <f>12.4297* CHOOSE(CONTROL!$C$22, $C$13, 100%, $E$13)</f>
        <v>12.4297</v>
      </c>
      <c r="I396" s="64">
        <f>12.4299 * CHOOSE(CONTROL!$C$22, $C$13, 100%, $E$13)</f>
        <v>12.4299</v>
      </c>
      <c r="J396" s="64">
        <f>7.1001 * CHOOSE(CONTROL!$C$22, $C$13, 100%, $E$13)</f>
        <v>7.1001000000000003</v>
      </c>
      <c r="K396" s="64">
        <f>7.1003 * CHOOSE(CONTROL!$C$22, $C$13, 100%, $E$13)</f>
        <v>7.1002999999999998</v>
      </c>
    </row>
    <row r="397" spans="1:11" ht="15">
      <c r="A397" s="13">
        <v>53724</v>
      </c>
      <c r="B397" s="63">
        <f>6.145 * CHOOSE(CONTROL!$C$22, $C$13, 100%, $E$13)</f>
        <v>6.1449999999999996</v>
      </c>
      <c r="C397" s="63">
        <f>6.145 * CHOOSE(CONTROL!$C$22, $C$13, 100%, $E$13)</f>
        <v>6.1449999999999996</v>
      </c>
      <c r="D397" s="63">
        <f>6.1579 * CHOOSE(CONTROL!$C$22, $C$13, 100%, $E$13)</f>
        <v>6.1578999999999997</v>
      </c>
      <c r="E397" s="64">
        <f>7.0205 * CHOOSE(CONTROL!$C$22, $C$13, 100%, $E$13)</f>
        <v>7.0205000000000002</v>
      </c>
      <c r="F397" s="64">
        <f>7.0205 * CHOOSE(CONTROL!$C$22, $C$13, 100%, $E$13)</f>
        <v>7.0205000000000002</v>
      </c>
      <c r="G397" s="64">
        <f>7.0206 * CHOOSE(CONTROL!$C$22, $C$13, 100%, $E$13)</f>
        <v>7.0206</v>
      </c>
      <c r="H397" s="64">
        <f>12.4556* CHOOSE(CONTROL!$C$22, $C$13, 100%, $E$13)</f>
        <v>12.4556</v>
      </c>
      <c r="I397" s="64">
        <f>12.4558 * CHOOSE(CONTROL!$C$22, $C$13, 100%, $E$13)</f>
        <v>12.4558</v>
      </c>
      <c r="J397" s="64">
        <f>7.0205 * CHOOSE(CONTROL!$C$22, $C$13, 100%, $E$13)</f>
        <v>7.0205000000000002</v>
      </c>
      <c r="K397" s="64">
        <f>7.0206 * CHOOSE(CONTROL!$C$22, $C$13, 100%, $E$13)</f>
        <v>7.0206</v>
      </c>
    </row>
    <row r="398" spans="1:11" ht="15">
      <c r="A398" s="13">
        <v>53752</v>
      </c>
      <c r="B398" s="63">
        <f>6.1419 * CHOOSE(CONTROL!$C$22, $C$13, 100%, $E$13)</f>
        <v>6.1418999999999997</v>
      </c>
      <c r="C398" s="63">
        <f>6.1419 * CHOOSE(CONTROL!$C$22, $C$13, 100%, $E$13)</f>
        <v>6.1418999999999997</v>
      </c>
      <c r="D398" s="63">
        <f>6.1548 * CHOOSE(CONTROL!$C$22, $C$13, 100%, $E$13)</f>
        <v>6.1547999999999998</v>
      </c>
      <c r="E398" s="64">
        <f>7.0795 * CHOOSE(CONTROL!$C$22, $C$13, 100%, $E$13)</f>
        <v>7.0795000000000003</v>
      </c>
      <c r="F398" s="64">
        <f>7.0795 * CHOOSE(CONTROL!$C$22, $C$13, 100%, $E$13)</f>
        <v>7.0795000000000003</v>
      </c>
      <c r="G398" s="64">
        <f>7.0797 * CHOOSE(CONTROL!$C$22, $C$13, 100%, $E$13)</f>
        <v>7.0796999999999999</v>
      </c>
      <c r="H398" s="64">
        <f>12.4816* CHOOSE(CONTROL!$C$22, $C$13, 100%, $E$13)</f>
        <v>12.4816</v>
      </c>
      <c r="I398" s="64">
        <f>12.4817 * CHOOSE(CONTROL!$C$22, $C$13, 100%, $E$13)</f>
        <v>12.4817</v>
      </c>
      <c r="J398" s="64">
        <f>7.0795 * CHOOSE(CONTROL!$C$22, $C$13, 100%, $E$13)</f>
        <v>7.0795000000000003</v>
      </c>
      <c r="K398" s="64">
        <f>7.0797 * CHOOSE(CONTROL!$C$22, $C$13, 100%, $E$13)</f>
        <v>7.0796999999999999</v>
      </c>
    </row>
    <row r="399" spans="1:11" ht="15">
      <c r="A399" s="13">
        <v>53783</v>
      </c>
      <c r="B399" s="63">
        <f>6.1415 * CHOOSE(CONTROL!$C$22, $C$13, 100%, $E$13)</f>
        <v>6.1414999999999997</v>
      </c>
      <c r="C399" s="63">
        <f>6.1415 * CHOOSE(CONTROL!$C$22, $C$13, 100%, $E$13)</f>
        <v>6.1414999999999997</v>
      </c>
      <c r="D399" s="63">
        <f>6.1544 * CHOOSE(CONTROL!$C$22, $C$13, 100%, $E$13)</f>
        <v>6.1543999999999999</v>
      </c>
      <c r="E399" s="64">
        <f>7.1409 * CHOOSE(CONTROL!$C$22, $C$13, 100%, $E$13)</f>
        <v>7.1409000000000002</v>
      </c>
      <c r="F399" s="64">
        <f>7.1409 * CHOOSE(CONTROL!$C$22, $C$13, 100%, $E$13)</f>
        <v>7.1409000000000002</v>
      </c>
      <c r="G399" s="64">
        <f>7.1411 * CHOOSE(CONTROL!$C$22, $C$13, 100%, $E$13)</f>
        <v>7.1410999999999998</v>
      </c>
      <c r="H399" s="64">
        <f>12.5076* CHOOSE(CONTROL!$C$22, $C$13, 100%, $E$13)</f>
        <v>12.5076</v>
      </c>
      <c r="I399" s="64">
        <f>12.5078 * CHOOSE(CONTROL!$C$22, $C$13, 100%, $E$13)</f>
        <v>12.5078</v>
      </c>
      <c r="J399" s="64">
        <f>7.1409 * CHOOSE(CONTROL!$C$22, $C$13, 100%, $E$13)</f>
        <v>7.1409000000000002</v>
      </c>
      <c r="K399" s="64">
        <f>7.1411 * CHOOSE(CONTROL!$C$22, $C$13, 100%, $E$13)</f>
        <v>7.1410999999999998</v>
      </c>
    </row>
    <row r="400" spans="1:11" ht="15">
      <c r="A400" s="13">
        <v>53813</v>
      </c>
      <c r="B400" s="63">
        <f>6.1415 * CHOOSE(CONTROL!$C$22, $C$13, 100%, $E$13)</f>
        <v>6.1414999999999997</v>
      </c>
      <c r="C400" s="63">
        <f>6.1415 * CHOOSE(CONTROL!$C$22, $C$13, 100%, $E$13)</f>
        <v>6.1414999999999997</v>
      </c>
      <c r="D400" s="63">
        <f>6.1673 * CHOOSE(CONTROL!$C$22, $C$13, 100%, $E$13)</f>
        <v>6.1673</v>
      </c>
      <c r="E400" s="64">
        <f>7.1655 * CHOOSE(CONTROL!$C$22, $C$13, 100%, $E$13)</f>
        <v>7.1654999999999998</v>
      </c>
      <c r="F400" s="64">
        <f>7.1655 * CHOOSE(CONTROL!$C$22, $C$13, 100%, $E$13)</f>
        <v>7.1654999999999998</v>
      </c>
      <c r="G400" s="64">
        <f>7.1671 * CHOOSE(CONTROL!$C$22, $C$13, 100%, $E$13)</f>
        <v>7.1670999999999996</v>
      </c>
      <c r="H400" s="64">
        <f>12.5336* CHOOSE(CONTROL!$C$22, $C$13, 100%, $E$13)</f>
        <v>12.5336</v>
      </c>
      <c r="I400" s="64">
        <f>12.5353 * CHOOSE(CONTROL!$C$22, $C$13, 100%, $E$13)</f>
        <v>12.535299999999999</v>
      </c>
      <c r="J400" s="64">
        <f>7.1655 * CHOOSE(CONTROL!$C$22, $C$13, 100%, $E$13)</f>
        <v>7.1654999999999998</v>
      </c>
      <c r="K400" s="64">
        <f>7.1671 * CHOOSE(CONTROL!$C$22, $C$13, 100%, $E$13)</f>
        <v>7.1670999999999996</v>
      </c>
    </row>
    <row r="401" spans="1:11" ht="15">
      <c r="A401" s="13">
        <v>53844</v>
      </c>
      <c r="B401" s="63">
        <f>6.1476 * CHOOSE(CONTROL!$C$22, $C$13, 100%, $E$13)</f>
        <v>6.1475999999999997</v>
      </c>
      <c r="C401" s="63">
        <f>6.1476 * CHOOSE(CONTROL!$C$22, $C$13, 100%, $E$13)</f>
        <v>6.1475999999999997</v>
      </c>
      <c r="D401" s="63">
        <f>6.1733 * CHOOSE(CONTROL!$C$22, $C$13, 100%, $E$13)</f>
        <v>6.1733000000000002</v>
      </c>
      <c r="E401" s="64">
        <f>7.1451 * CHOOSE(CONTROL!$C$22, $C$13, 100%, $E$13)</f>
        <v>7.1451000000000002</v>
      </c>
      <c r="F401" s="64">
        <f>7.1451 * CHOOSE(CONTROL!$C$22, $C$13, 100%, $E$13)</f>
        <v>7.1451000000000002</v>
      </c>
      <c r="G401" s="64">
        <f>7.1468 * CHOOSE(CONTROL!$C$22, $C$13, 100%, $E$13)</f>
        <v>7.1467999999999998</v>
      </c>
      <c r="H401" s="64">
        <f>12.5597* CHOOSE(CONTROL!$C$22, $C$13, 100%, $E$13)</f>
        <v>12.559699999999999</v>
      </c>
      <c r="I401" s="64">
        <f>12.5614 * CHOOSE(CONTROL!$C$22, $C$13, 100%, $E$13)</f>
        <v>12.561400000000001</v>
      </c>
      <c r="J401" s="64">
        <f>7.1451 * CHOOSE(CONTROL!$C$22, $C$13, 100%, $E$13)</f>
        <v>7.1451000000000002</v>
      </c>
      <c r="K401" s="64">
        <f>7.1468 * CHOOSE(CONTROL!$C$22, $C$13, 100%, $E$13)</f>
        <v>7.1467999999999998</v>
      </c>
    </row>
    <row r="402" spans="1:11" ht="15">
      <c r="A402" s="13">
        <v>53874</v>
      </c>
      <c r="B402" s="63">
        <f>6.2497 * CHOOSE(CONTROL!$C$22, $C$13, 100%, $E$13)</f>
        <v>6.2496999999999998</v>
      </c>
      <c r="C402" s="63">
        <f>6.2497 * CHOOSE(CONTROL!$C$22, $C$13, 100%, $E$13)</f>
        <v>6.2496999999999998</v>
      </c>
      <c r="D402" s="63">
        <f>6.2755 * CHOOSE(CONTROL!$C$22, $C$13, 100%, $E$13)</f>
        <v>6.2755000000000001</v>
      </c>
      <c r="E402" s="64">
        <f>7.2868 * CHOOSE(CONTROL!$C$22, $C$13, 100%, $E$13)</f>
        <v>7.2868000000000004</v>
      </c>
      <c r="F402" s="64">
        <f>7.2868 * CHOOSE(CONTROL!$C$22, $C$13, 100%, $E$13)</f>
        <v>7.2868000000000004</v>
      </c>
      <c r="G402" s="64">
        <f>7.2884 * CHOOSE(CONTROL!$C$22, $C$13, 100%, $E$13)</f>
        <v>7.2884000000000002</v>
      </c>
      <c r="H402" s="64">
        <f>12.5859* CHOOSE(CONTROL!$C$22, $C$13, 100%, $E$13)</f>
        <v>12.585900000000001</v>
      </c>
      <c r="I402" s="64">
        <f>12.5875 * CHOOSE(CONTROL!$C$22, $C$13, 100%, $E$13)</f>
        <v>12.5875</v>
      </c>
      <c r="J402" s="64">
        <f>7.2868 * CHOOSE(CONTROL!$C$22, $C$13, 100%, $E$13)</f>
        <v>7.2868000000000004</v>
      </c>
      <c r="K402" s="64">
        <f>7.2884 * CHOOSE(CONTROL!$C$22, $C$13, 100%, $E$13)</f>
        <v>7.2884000000000002</v>
      </c>
    </row>
    <row r="403" spans="1:11" ht="15">
      <c r="A403" s="13">
        <v>53905</v>
      </c>
      <c r="B403" s="63">
        <f>6.2564 * CHOOSE(CONTROL!$C$22, $C$13, 100%, $E$13)</f>
        <v>6.2564000000000002</v>
      </c>
      <c r="C403" s="63">
        <f>6.2564 * CHOOSE(CONTROL!$C$22, $C$13, 100%, $E$13)</f>
        <v>6.2564000000000002</v>
      </c>
      <c r="D403" s="63">
        <f>6.2821 * CHOOSE(CONTROL!$C$22, $C$13, 100%, $E$13)</f>
        <v>6.2820999999999998</v>
      </c>
      <c r="E403" s="64">
        <f>7.2176 * CHOOSE(CONTROL!$C$22, $C$13, 100%, $E$13)</f>
        <v>7.2176</v>
      </c>
      <c r="F403" s="64">
        <f>7.2176 * CHOOSE(CONTROL!$C$22, $C$13, 100%, $E$13)</f>
        <v>7.2176</v>
      </c>
      <c r="G403" s="64">
        <f>7.2193 * CHOOSE(CONTROL!$C$22, $C$13, 100%, $E$13)</f>
        <v>7.2192999999999996</v>
      </c>
      <c r="H403" s="64">
        <f>12.6121* CHOOSE(CONTROL!$C$22, $C$13, 100%, $E$13)</f>
        <v>12.6121</v>
      </c>
      <c r="I403" s="64">
        <f>12.6138 * CHOOSE(CONTROL!$C$22, $C$13, 100%, $E$13)</f>
        <v>12.613799999999999</v>
      </c>
      <c r="J403" s="64">
        <f>7.2176 * CHOOSE(CONTROL!$C$22, $C$13, 100%, $E$13)</f>
        <v>7.2176</v>
      </c>
      <c r="K403" s="64">
        <f>7.2193 * CHOOSE(CONTROL!$C$22, $C$13, 100%, $E$13)</f>
        <v>7.2192999999999996</v>
      </c>
    </row>
    <row r="404" spans="1:11" ht="15">
      <c r="A404" s="13">
        <v>53936</v>
      </c>
      <c r="B404" s="63">
        <f>6.2534 * CHOOSE(CONTROL!$C$22, $C$13, 100%, $E$13)</f>
        <v>6.2534000000000001</v>
      </c>
      <c r="C404" s="63">
        <f>6.2534 * CHOOSE(CONTROL!$C$22, $C$13, 100%, $E$13)</f>
        <v>6.2534000000000001</v>
      </c>
      <c r="D404" s="63">
        <f>6.2791 * CHOOSE(CONTROL!$C$22, $C$13, 100%, $E$13)</f>
        <v>6.2790999999999997</v>
      </c>
      <c r="E404" s="64">
        <f>7.2073 * CHOOSE(CONTROL!$C$22, $C$13, 100%, $E$13)</f>
        <v>7.2073</v>
      </c>
      <c r="F404" s="64">
        <f>7.2073 * CHOOSE(CONTROL!$C$22, $C$13, 100%, $E$13)</f>
        <v>7.2073</v>
      </c>
      <c r="G404" s="64">
        <f>7.2089 * CHOOSE(CONTROL!$C$22, $C$13, 100%, $E$13)</f>
        <v>7.2088999999999999</v>
      </c>
      <c r="H404" s="64">
        <f>12.6384* CHOOSE(CONTROL!$C$22, $C$13, 100%, $E$13)</f>
        <v>12.638400000000001</v>
      </c>
      <c r="I404" s="64">
        <f>12.64 * CHOOSE(CONTROL!$C$22, $C$13, 100%, $E$13)</f>
        <v>12.64</v>
      </c>
      <c r="J404" s="64">
        <f>7.2073 * CHOOSE(CONTROL!$C$22, $C$13, 100%, $E$13)</f>
        <v>7.2073</v>
      </c>
      <c r="K404" s="64">
        <f>7.2089 * CHOOSE(CONTROL!$C$22, $C$13, 100%, $E$13)</f>
        <v>7.2088999999999999</v>
      </c>
    </row>
    <row r="405" spans="1:11" ht="15">
      <c r="A405" s="13">
        <v>53966</v>
      </c>
      <c r="B405" s="63">
        <f>6.2562 * CHOOSE(CONTROL!$C$22, $C$13, 100%, $E$13)</f>
        <v>6.2561999999999998</v>
      </c>
      <c r="C405" s="63">
        <f>6.2562 * CHOOSE(CONTROL!$C$22, $C$13, 100%, $E$13)</f>
        <v>6.2561999999999998</v>
      </c>
      <c r="D405" s="63">
        <f>6.2691 * CHOOSE(CONTROL!$C$22, $C$13, 100%, $E$13)</f>
        <v>6.2690999999999999</v>
      </c>
      <c r="E405" s="64">
        <f>7.2267 * CHOOSE(CONTROL!$C$22, $C$13, 100%, $E$13)</f>
        <v>7.2267000000000001</v>
      </c>
      <c r="F405" s="64">
        <f>7.2267 * CHOOSE(CONTROL!$C$22, $C$13, 100%, $E$13)</f>
        <v>7.2267000000000001</v>
      </c>
      <c r="G405" s="64">
        <f>7.2269 * CHOOSE(CONTROL!$C$22, $C$13, 100%, $E$13)</f>
        <v>7.2268999999999997</v>
      </c>
      <c r="H405" s="64">
        <f>12.6647* CHOOSE(CONTROL!$C$22, $C$13, 100%, $E$13)</f>
        <v>12.6647</v>
      </c>
      <c r="I405" s="64">
        <f>12.6649 * CHOOSE(CONTROL!$C$22, $C$13, 100%, $E$13)</f>
        <v>12.664899999999999</v>
      </c>
      <c r="J405" s="64">
        <f>7.2267 * CHOOSE(CONTROL!$C$22, $C$13, 100%, $E$13)</f>
        <v>7.2267000000000001</v>
      </c>
      <c r="K405" s="64">
        <f>7.2269 * CHOOSE(CONTROL!$C$22, $C$13, 100%, $E$13)</f>
        <v>7.2268999999999997</v>
      </c>
    </row>
    <row r="406" spans="1:11" ht="15">
      <c r="A406" s="13">
        <v>53997</v>
      </c>
      <c r="B406" s="63">
        <f>6.2592 * CHOOSE(CONTROL!$C$22, $C$13, 100%, $E$13)</f>
        <v>6.2591999999999999</v>
      </c>
      <c r="C406" s="63">
        <f>6.2592 * CHOOSE(CONTROL!$C$22, $C$13, 100%, $E$13)</f>
        <v>6.2591999999999999</v>
      </c>
      <c r="D406" s="63">
        <f>6.2721 * CHOOSE(CONTROL!$C$22, $C$13, 100%, $E$13)</f>
        <v>6.2721</v>
      </c>
      <c r="E406" s="64">
        <f>7.2452 * CHOOSE(CONTROL!$C$22, $C$13, 100%, $E$13)</f>
        <v>7.2451999999999996</v>
      </c>
      <c r="F406" s="64">
        <f>7.2452 * CHOOSE(CONTROL!$C$22, $C$13, 100%, $E$13)</f>
        <v>7.2451999999999996</v>
      </c>
      <c r="G406" s="64">
        <f>7.2454 * CHOOSE(CONTROL!$C$22, $C$13, 100%, $E$13)</f>
        <v>7.2454000000000001</v>
      </c>
      <c r="H406" s="64">
        <f>12.6911* CHOOSE(CONTROL!$C$22, $C$13, 100%, $E$13)</f>
        <v>12.6911</v>
      </c>
      <c r="I406" s="64">
        <f>12.6913 * CHOOSE(CONTROL!$C$22, $C$13, 100%, $E$13)</f>
        <v>12.6913</v>
      </c>
      <c r="J406" s="64">
        <f>7.2452 * CHOOSE(CONTROL!$C$22, $C$13, 100%, $E$13)</f>
        <v>7.2451999999999996</v>
      </c>
      <c r="K406" s="64">
        <f>7.2454 * CHOOSE(CONTROL!$C$22, $C$13, 100%, $E$13)</f>
        <v>7.2454000000000001</v>
      </c>
    </row>
    <row r="407" spans="1:11" ht="15">
      <c r="A407" s="13">
        <v>54027</v>
      </c>
      <c r="B407" s="63">
        <f>6.2592 * CHOOSE(CONTROL!$C$22, $C$13, 100%, $E$13)</f>
        <v>6.2591999999999999</v>
      </c>
      <c r="C407" s="63">
        <f>6.2592 * CHOOSE(CONTROL!$C$22, $C$13, 100%, $E$13)</f>
        <v>6.2591999999999999</v>
      </c>
      <c r="D407" s="63">
        <f>6.2721 * CHOOSE(CONTROL!$C$22, $C$13, 100%, $E$13)</f>
        <v>6.2721</v>
      </c>
      <c r="E407" s="64">
        <f>7.2042 * CHOOSE(CONTROL!$C$22, $C$13, 100%, $E$13)</f>
        <v>7.2042000000000002</v>
      </c>
      <c r="F407" s="64">
        <f>7.2042 * CHOOSE(CONTROL!$C$22, $C$13, 100%, $E$13)</f>
        <v>7.2042000000000002</v>
      </c>
      <c r="G407" s="64">
        <f>7.2044 * CHOOSE(CONTROL!$C$22, $C$13, 100%, $E$13)</f>
        <v>7.2043999999999997</v>
      </c>
      <c r="H407" s="64">
        <f>12.7176* CHOOSE(CONTROL!$C$22, $C$13, 100%, $E$13)</f>
        <v>12.717599999999999</v>
      </c>
      <c r="I407" s="64">
        <f>12.7177 * CHOOSE(CONTROL!$C$22, $C$13, 100%, $E$13)</f>
        <v>12.717700000000001</v>
      </c>
      <c r="J407" s="64">
        <f>7.2042 * CHOOSE(CONTROL!$C$22, $C$13, 100%, $E$13)</f>
        <v>7.2042000000000002</v>
      </c>
      <c r="K407" s="64">
        <f>7.2044 * CHOOSE(CONTROL!$C$22, $C$13, 100%, $E$13)</f>
        <v>7.2043999999999997</v>
      </c>
    </row>
    <row r="408" spans="1:11" ht="15">
      <c r="A408" s="13">
        <v>54058</v>
      </c>
      <c r="B408" s="63">
        <f>6.3156 * CHOOSE(CONTROL!$C$22, $C$13, 100%, $E$13)</f>
        <v>6.3155999999999999</v>
      </c>
      <c r="C408" s="63">
        <f>6.3156 * CHOOSE(CONTROL!$C$22, $C$13, 100%, $E$13)</f>
        <v>6.3155999999999999</v>
      </c>
      <c r="D408" s="63">
        <f>6.3285 * CHOOSE(CONTROL!$C$22, $C$13, 100%, $E$13)</f>
        <v>6.3285</v>
      </c>
      <c r="E408" s="64">
        <f>7.2988 * CHOOSE(CONTROL!$C$22, $C$13, 100%, $E$13)</f>
        <v>7.2988</v>
      </c>
      <c r="F408" s="64">
        <f>7.2988 * CHOOSE(CONTROL!$C$22, $C$13, 100%, $E$13)</f>
        <v>7.2988</v>
      </c>
      <c r="G408" s="64">
        <f>7.299 * CHOOSE(CONTROL!$C$22, $C$13, 100%, $E$13)</f>
        <v>7.2990000000000004</v>
      </c>
      <c r="H408" s="64">
        <f>12.7441* CHOOSE(CONTROL!$C$22, $C$13, 100%, $E$13)</f>
        <v>12.7441</v>
      </c>
      <c r="I408" s="64">
        <f>12.7442 * CHOOSE(CONTROL!$C$22, $C$13, 100%, $E$13)</f>
        <v>12.744199999999999</v>
      </c>
      <c r="J408" s="64">
        <f>7.2988 * CHOOSE(CONTROL!$C$22, $C$13, 100%, $E$13)</f>
        <v>7.2988</v>
      </c>
      <c r="K408" s="64">
        <f>7.299 * CHOOSE(CONTROL!$C$22, $C$13, 100%, $E$13)</f>
        <v>7.2990000000000004</v>
      </c>
    </row>
    <row r="409" spans="1:11" ht="15">
      <c r="A409" s="13">
        <v>54089</v>
      </c>
      <c r="B409" s="63">
        <f>6.3126 * CHOOSE(CONTROL!$C$22, $C$13, 100%, $E$13)</f>
        <v>6.3125999999999998</v>
      </c>
      <c r="C409" s="63">
        <f>6.3126 * CHOOSE(CONTROL!$C$22, $C$13, 100%, $E$13)</f>
        <v>6.3125999999999998</v>
      </c>
      <c r="D409" s="63">
        <f>6.3255 * CHOOSE(CONTROL!$C$22, $C$13, 100%, $E$13)</f>
        <v>6.3254999999999999</v>
      </c>
      <c r="E409" s="64">
        <f>7.217 * CHOOSE(CONTROL!$C$22, $C$13, 100%, $E$13)</f>
        <v>7.2169999999999996</v>
      </c>
      <c r="F409" s="64">
        <f>7.217 * CHOOSE(CONTROL!$C$22, $C$13, 100%, $E$13)</f>
        <v>7.2169999999999996</v>
      </c>
      <c r="G409" s="64">
        <f>7.2172 * CHOOSE(CONTROL!$C$22, $C$13, 100%, $E$13)</f>
        <v>7.2172000000000001</v>
      </c>
      <c r="H409" s="64">
        <f>12.7706* CHOOSE(CONTROL!$C$22, $C$13, 100%, $E$13)</f>
        <v>12.7706</v>
      </c>
      <c r="I409" s="64">
        <f>12.7708 * CHOOSE(CONTROL!$C$22, $C$13, 100%, $E$13)</f>
        <v>12.770799999999999</v>
      </c>
      <c r="J409" s="64">
        <f>7.217 * CHOOSE(CONTROL!$C$22, $C$13, 100%, $E$13)</f>
        <v>7.2169999999999996</v>
      </c>
      <c r="K409" s="64">
        <f>7.2172 * CHOOSE(CONTROL!$C$22, $C$13, 100%, $E$13)</f>
        <v>7.2172000000000001</v>
      </c>
    </row>
    <row r="410" spans="1:11" ht="15">
      <c r="A410" s="13">
        <v>54118</v>
      </c>
      <c r="B410" s="63">
        <f>6.3096 * CHOOSE(CONTROL!$C$22, $C$13, 100%, $E$13)</f>
        <v>6.3095999999999997</v>
      </c>
      <c r="C410" s="63">
        <f>6.3096 * CHOOSE(CONTROL!$C$22, $C$13, 100%, $E$13)</f>
        <v>6.3095999999999997</v>
      </c>
      <c r="D410" s="63">
        <f>6.3224 * CHOOSE(CONTROL!$C$22, $C$13, 100%, $E$13)</f>
        <v>6.3224</v>
      </c>
      <c r="E410" s="64">
        <f>7.2777 * CHOOSE(CONTROL!$C$22, $C$13, 100%, $E$13)</f>
        <v>7.2777000000000003</v>
      </c>
      <c r="F410" s="64">
        <f>7.2777 * CHOOSE(CONTROL!$C$22, $C$13, 100%, $E$13)</f>
        <v>7.2777000000000003</v>
      </c>
      <c r="G410" s="64">
        <f>7.2779 * CHOOSE(CONTROL!$C$22, $C$13, 100%, $E$13)</f>
        <v>7.2778999999999998</v>
      </c>
      <c r="H410" s="64">
        <f>12.7972* CHOOSE(CONTROL!$C$22, $C$13, 100%, $E$13)</f>
        <v>12.7972</v>
      </c>
      <c r="I410" s="64">
        <f>12.7974 * CHOOSE(CONTROL!$C$22, $C$13, 100%, $E$13)</f>
        <v>12.7974</v>
      </c>
      <c r="J410" s="64">
        <f>7.2777 * CHOOSE(CONTROL!$C$22, $C$13, 100%, $E$13)</f>
        <v>7.2777000000000003</v>
      </c>
      <c r="K410" s="64">
        <f>7.2779 * CHOOSE(CONTROL!$C$22, $C$13, 100%, $E$13)</f>
        <v>7.2778999999999998</v>
      </c>
    </row>
    <row r="411" spans="1:11" ht="15">
      <c r="A411" s="13">
        <v>54149</v>
      </c>
      <c r="B411" s="63">
        <f>6.3093 * CHOOSE(CONTROL!$C$22, $C$13, 100%, $E$13)</f>
        <v>6.3093000000000004</v>
      </c>
      <c r="C411" s="63">
        <f>6.3093 * CHOOSE(CONTROL!$C$22, $C$13, 100%, $E$13)</f>
        <v>6.3093000000000004</v>
      </c>
      <c r="D411" s="63">
        <f>6.3222 * CHOOSE(CONTROL!$C$22, $C$13, 100%, $E$13)</f>
        <v>6.3221999999999996</v>
      </c>
      <c r="E411" s="64">
        <f>7.3409 * CHOOSE(CONTROL!$C$22, $C$13, 100%, $E$13)</f>
        <v>7.3409000000000004</v>
      </c>
      <c r="F411" s="64">
        <f>7.3409 * CHOOSE(CONTROL!$C$22, $C$13, 100%, $E$13)</f>
        <v>7.3409000000000004</v>
      </c>
      <c r="G411" s="64">
        <f>7.3411 * CHOOSE(CONTROL!$C$22, $C$13, 100%, $E$13)</f>
        <v>7.3411</v>
      </c>
      <c r="H411" s="64">
        <f>12.8239* CHOOSE(CONTROL!$C$22, $C$13, 100%, $E$13)</f>
        <v>12.8239</v>
      </c>
      <c r="I411" s="64">
        <f>12.824 * CHOOSE(CONTROL!$C$22, $C$13, 100%, $E$13)</f>
        <v>12.824</v>
      </c>
      <c r="J411" s="64">
        <f>7.3409 * CHOOSE(CONTROL!$C$22, $C$13, 100%, $E$13)</f>
        <v>7.3409000000000004</v>
      </c>
      <c r="K411" s="64">
        <f>7.3411 * CHOOSE(CONTROL!$C$22, $C$13, 100%, $E$13)</f>
        <v>7.3411</v>
      </c>
    </row>
    <row r="412" spans="1:11" ht="15">
      <c r="A412" s="13">
        <v>54179</v>
      </c>
      <c r="B412" s="63">
        <f>6.3093 * CHOOSE(CONTROL!$C$22, $C$13, 100%, $E$13)</f>
        <v>6.3093000000000004</v>
      </c>
      <c r="C412" s="63">
        <f>6.3093 * CHOOSE(CONTROL!$C$22, $C$13, 100%, $E$13)</f>
        <v>6.3093000000000004</v>
      </c>
      <c r="D412" s="63">
        <f>6.335 * CHOOSE(CONTROL!$C$22, $C$13, 100%, $E$13)</f>
        <v>6.335</v>
      </c>
      <c r="E412" s="64">
        <f>7.3663 * CHOOSE(CONTROL!$C$22, $C$13, 100%, $E$13)</f>
        <v>7.3662999999999998</v>
      </c>
      <c r="F412" s="64">
        <f>7.3663 * CHOOSE(CONTROL!$C$22, $C$13, 100%, $E$13)</f>
        <v>7.3662999999999998</v>
      </c>
      <c r="G412" s="64">
        <f>7.3679 * CHOOSE(CONTROL!$C$22, $C$13, 100%, $E$13)</f>
        <v>7.3678999999999997</v>
      </c>
      <c r="H412" s="64">
        <f>12.8506* CHOOSE(CONTROL!$C$22, $C$13, 100%, $E$13)</f>
        <v>12.8506</v>
      </c>
      <c r="I412" s="64">
        <f>12.8522 * CHOOSE(CONTROL!$C$22, $C$13, 100%, $E$13)</f>
        <v>12.8522</v>
      </c>
      <c r="J412" s="64">
        <f>7.3663 * CHOOSE(CONTROL!$C$22, $C$13, 100%, $E$13)</f>
        <v>7.3662999999999998</v>
      </c>
      <c r="K412" s="64">
        <f>7.3679 * CHOOSE(CONTROL!$C$22, $C$13, 100%, $E$13)</f>
        <v>7.3678999999999997</v>
      </c>
    </row>
    <row r="413" spans="1:11" ht="15">
      <c r="A413" s="13">
        <v>54210</v>
      </c>
      <c r="B413" s="63">
        <f>6.3154 * CHOOSE(CONTROL!$C$22, $C$13, 100%, $E$13)</f>
        <v>6.3154000000000003</v>
      </c>
      <c r="C413" s="63">
        <f>6.3154 * CHOOSE(CONTROL!$C$22, $C$13, 100%, $E$13)</f>
        <v>6.3154000000000003</v>
      </c>
      <c r="D413" s="63">
        <f>6.3411 * CHOOSE(CONTROL!$C$22, $C$13, 100%, $E$13)</f>
        <v>6.3411</v>
      </c>
      <c r="E413" s="64">
        <f>7.3452 * CHOOSE(CONTROL!$C$22, $C$13, 100%, $E$13)</f>
        <v>7.3452000000000002</v>
      </c>
      <c r="F413" s="64">
        <f>7.3452 * CHOOSE(CONTROL!$C$22, $C$13, 100%, $E$13)</f>
        <v>7.3452000000000002</v>
      </c>
      <c r="G413" s="64">
        <f>7.3468 * CHOOSE(CONTROL!$C$22, $C$13, 100%, $E$13)</f>
        <v>7.3468</v>
      </c>
      <c r="H413" s="64">
        <f>12.8774* CHOOSE(CONTROL!$C$22, $C$13, 100%, $E$13)</f>
        <v>12.8774</v>
      </c>
      <c r="I413" s="64">
        <f>12.879 * CHOOSE(CONTROL!$C$22, $C$13, 100%, $E$13)</f>
        <v>12.879</v>
      </c>
      <c r="J413" s="64">
        <f>7.3452 * CHOOSE(CONTROL!$C$22, $C$13, 100%, $E$13)</f>
        <v>7.3452000000000002</v>
      </c>
      <c r="K413" s="64">
        <f>7.3468 * CHOOSE(CONTROL!$C$22, $C$13, 100%, $E$13)</f>
        <v>7.3468</v>
      </c>
    </row>
    <row r="414" spans="1:11" ht="15">
      <c r="A414" s="13">
        <v>54240</v>
      </c>
      <c r="B414" s="63">
        <f>6.42 * CHOOSE(CONTROL!$C$22, $C$13, 100%, $E$13)</f>
        <v>6.42</v>
      </c>
      <c r="C414" s="63">
        <f>6.42 * CHOOSE(CONTROL!$C$22, $C$13, 100%, $E$13)</f>
        <v>6.42</v>
      </c>
      <c r="D414" s="63">
        <f>6.4457 * CHOOSE(CONTROL!$C$22, $C$13, 100%, $E$13)</f>
        <v>6.4457000000000004</v>
      </c>
      <c r="E414" s="64">
        <f>7.4906 * CHOOSE(CONTROL!$C$22, $C$13, 100%, $E$13)</f>
        <v>7.4905999999999997</v>
      </c>
      <c r="F414" s="64">
        <f>7.4906 * CHOOSE(CONTROL!$C$22, $C$13, 100%, $E$13)</f>
        <v>7.4905999999999997</v>
      </c>
      <c r="G414" s="64">
        <f>7.4922 * CHOOSE(CONTROL!$C$22, $C$13, 100%, $E$13)</f>
        <v>7.4922000000000004</v>
      </c>
      <c r="H414" s="64">
        <f>12.9042* CHOOSE(CONTROL!$C$22, $C$13, 100%, $E$13)</f>
        <v>12.904199999999999</v>
      </c>
      <c r="I414" s="64">
        <f>12.9058 * CHOOSE(CONTROL!$C$22, $C$13, 100%, $E$13)</f>
        <v>12.905799999999999</v>
      </c>
      <c r="J414" s="64">
        <f>7.4906 * CHOOSE(CONTROL!$C$22, $C$13, 100%, $E$13)</f>
        <v>7.4905999999999997</v>
      </c>
      <c r="K414" s="64">
        <f>7.4922 * CHOOSE(CONTROL!$C$22, $C$13, 100%, $E$13)</f>
        <v>7.4922000000000004</v>
      </c>
    </row>
    <row r="415" spans="1:11" ht="15">
      <c r="A415" s="13">
        <v>54271</v>
      </c>
      <c r="B415" s="63">
        <f>6.4266 * CHOOSE(CONTROL!$C$22, $C$13, 100%, $E$13)</f>
        <v>6.4265999999999996</v>
      </c>
      <c r="C415" s="63">
        <f>6.4266 * CHOOSE(CONTROL!$C$22, $C$13, 100%, $E$13)</f>
        <v>6.4265999999999996</v>
      </c>
      <c r="D415" s="63">
        <f>6.4524 * CHOOSE(CONTROL!$C$22, $C$13, 100%, $E$13)</f>
        <v>6.4523999999999999</v>
      </c>
      <c r="E415" s="64">
        <f>7.4193 * CHOOSE(CONTROL!$C$22, $C$13, 100%, $E$13)</f>
        <v>7.4192999999999998</v>
      </c>
      <c r="F415" s="64">
        <f>7.4193 * CHOOSE(CONTROL!$C$22, $C$13, 100%, $E$13)</f>
        <v>7.4192999999999998</v>
      </c>
      <c r="G415" s="64">
        <f>7.421 * CHOOSE(CONTROL!$C$22, $C$13, 100%, $E$13)</f>
        <v>7.4210000000000003</v>
      </c>
      <c r="H415" s="64">
        <f>12.9311* CHOOSE(CONTROL!$C$22, $C$13, 100%, $E$13)</f>
        <v>12.931100000000001</v>
      </c>
      <c r="I415" s="64">
        <f>12.9327 * CHOOSE(CONTROL!$C$22, $C$13, 100%, $E$13)</f>
        <v>12.932700000000001</v>
      </c>
      <c r="J415" s="64">
        <f>7.4193 * CHOOSE(CONTROL!$C$22, $C$13, 100%, $E$13)</f>
        <v>7.4192999999999998</v>
      </c>
      <c r="K415" s="64">
        <f>7.421 * CHOOSE(CONTROL!$C$22, $C$13, 100%, $E$13)</f>
        <v>7.4210000000000003</v>
      </c>
    </row>
    <row r="416" spans="1:11" ht="15">
      <c r="A416" s="13">
        <v>54302</v>
      </c>
      <c r="B416" s="63">
        <f>6.4236 * CHOOSE(CONTROL!$C$22, $C$13, 100%, $E$13)</f>
        <v>6.4236000000000004</v>
      </c>
      <c r="C416" s="63">
        <f>6.4236 * CHOOSE(CONTROL!$C$22, $C$13, 100%, $E$13)</f>
        <v>6.4236000000000004</v>
      </c>
      <c r="D416" s="63">
        <f>6.4494 * CHOOSE(CONTROL!$C$22, $C$13, 100%, $E$13)</f>
        <v>6.4493999999999998</v>
      </c>
      <c r="E416" s="64">
        <f>7.4088 * CHOOSE(CONTROL!$C$22, $C$13, 100%, $E$13)</f>
        <v>7.4088000000000003</v>
      </c>
      <c r="F416" s="64">
        <f>7.4088 * CHOOSE(CONTROL!$C$22, $C$13, 100%, $E$13)</f>
        <v>7.4088000000000003</v>
      </c>
      <c r="G416" s="64">
        <f>7.4104 * CHOOSE(CONTROL!$C$22, $C$13, 100%, $E$13)</f>
        <v>7.4104000000000001</v>
      </c>
      <c r="H416" s="64">
        <f>12.958* CHOOSE(CONTROL!$C$22, $C$13, 100%, $E$13)</f>
        <v>12.958</v>
      </c>
      <c r="I416" s="64">
        <f>12.9596 * CHOOSE(CONTROL!$C$22, $C$13, 100%, $E$13)</f>
        <v>12.9596</v>
      </c>
      <c r="J416" s="64">
        <f>7.4088 * CHOOSE(CONTROL!$C$22, $C$13, 100%, $E$13)</f>
        <v>7.4088000000000003</v>
      </c>
      <c r="K416" s="64">
        <f>7.4104 * CHOOSE(CONTROL!$C$22, $C$13, 100%, $E$13)</f>
        <v>7.4104000000000001</v>
      </c>
    </row>
    <row r="417" spans="1:11" ht="15">
      <c r="A417" s="13">
        <v>54332</v>
      </c>
      <c r="B417" s="63">
        <f>6.427 * CHOOSE(CONTROL!$C$22, $C$13, 100%, $E$13)</f>
        <v>6.4269999999999996</v>
      </c>
      <c r="C417" s="63">
        <f>6.427 * CHOOSE(CONTROL!$C$22, $C$13, 100%, $E$13)</f>
        <v>6.4269999999999996</v>
      </c>
      <c r="D417" s="63">
        <f>6.4399 * CHOOSE(CONTROL!$C$22, $C$13, 100%, $E$13)</f>
        <v>6.4398999999999997</v>
      </c>
      <c r="E417" s="64">
        <f>7.4291 * CHOOSE(CONTROL!$C$22, $C$13, 100%, $E$13)</f>
        <v>7.4291</v>
      </c>
      <c r="F417" s="64">
        <f>7.4291 * CHOOSE(CONTROL!$C$22, $C$13, 100%, $E$13)</f>
        <v>7.4291</v>
      </c>
      <c r="G417" s="64">
        <f>7.4293 * CHOOSE(CONTROL!$C$22, $C$13, 100%, $E$13)</f>
        <v>7.4292999999999996</v>
      </c>
      <c r="H417" s="64">
        <f>12.985* CHOOSE(CONTROL!$C$22, $C$13, 100%, $E$13)</f>
        <v>12.984999999999999</v>
      </c>
      <c r="I417" s="64">
        <f>12.9852 * CHOOSE(CONTROL!$C$22, $C$13, 100%, $E$13)</f>
        <v>12.985200000000001</v>
      </c>
      <c r="J417" s="64">
        <f>7.4291 * CHOOSE(CONTROL!$C$22, $C$13, 100%, $E$13)</f>
        <v>7.4291</v>
      </c>
      <c r="K417" s="64">
        <f>7.4293 * CHOOSE(CONTROL!$C$22, $C$13, 100%, $E$13)</f>
        <v>7.4292999999999996</v>
      </c>
    </row>
    <row r="418" spans="1:11" ht="15">
      <c r="A418" s="13">
        <v>54363</v>
      </c>
      <c r="B418" s="63">
        <f>6.43 * CHOOSE(CONTROL!$C$22, $C$13, 100%, $E$13)</f>
        <v>6.43</v>
      </c>
      <c r="C418" s="63">
        <f>6.43 * CHOOSE(CONTROL!$C$22, $C$13, 100%, $E$13)</f>
        <v>6.43</v>
      </c>
      <c r="D418" s="63">
        <f>6.4429 * CHOOSE(CONTROL!$C$22, $C$13, 100%, $E$13)</f>
        <v>6.4428999999999998</v>
      </c>
      <c r="E418" s="64">
        <f>7.4481 * CHOOSE(CONTROL!$C$22, $C$13, 100%, $E$13)</f>
        <v>7.4481000000000002</v>
      </c>
      <c r="F418" s="64">
        <f>7.4481 * CHOOSE(CONTROL!$C$22, $C$13, 100%, $E$13)</f>
        <v>7.4481000000000002</v>
      </c>
      <c r="G418" s="64">
        <f>7.4483 * CHOOSE(CONTROL!$C$22, $C$13, 100%, $E$13)</f>
        <v>7.4482999999999997</v>
      </c>
      <c r="H418" s="64">
        <f>13.0121* CHOOSE(CONTROL!$C$22, $C$13, 100%, $E$13)</f>
        <v>13.0121</v>
      </c>
      <c r="I418" s="64">
        <f>13.0122 * CHOOSE(CONTROL!$C$22, $C$13, 100%, $E$13)</f>
        <v>13.0122</v>
      </c>
      <c r="J418" s="64">
        <f>7.4481 * CHOOSE(CONTROL!$C$22, $C$13, 100%, $E$13)</f>
        <v>7.4481000000000002</v>
      </c>
      <c r="K418" s="64">
        <f>7.4483 * CHOOSE(CONTROL!$C$22, $C$13, 100%, $E$13)</f>
        <v>7.4482999999999997</v>
      </c>
    </row>
    <row r="419" spans="1:11" ht="15">
      <c r="A419" s="13">
        <v>54393</v>
      </c>
      <c r="B419" s="63">
        <f>6.43 * CHOOSE(CONTROL!$C$22, $C$13, 100%, $E$13)</f>
        <v>6.43</v>
      </c>
      <c r="C419" s="63">
        <f>6.43 * CHOOSE(CONTROL!$C$22, $C$13, 100%, $E$13)</f>
        <v>6.43</v>
      </c>
      <c r="D419" s="63">
        <f>6.4429 * CHOOSE(CONTROL!$C$22, $C$13, 100%, $E$13)</f>
        <v>6.4428999999999998</v>
      </c>
      <c r="E419" s="64">
        <f>7.4059 * CHOOSE(CONTROL!$C$22, $C$13, 100%, $E$13)</f>
        <v>7.4058999999999999</v>
      </c>
      <c r="F419" s="64">
        <f>7.4059 * CHOOSE(CONTROL!$C$22, $C$13, 100%, $E$13)</f>
        <v>7.4058999999999999</v>
      </c>
      <c r="G419" s="64">
        <f>7.4061 * CHOOSE(CONTROL!$C$22, $C$13, 100%, $E$13)</f>
        <v>7.4061000000000003</v>
      </c>
      <c r="H419" s="64">
        <f>13.0392* CHOOSE(CONTROL!$C$22, $C$13, 100%, $E$13)</f>
        <v>13.039199999999999</v>
      </c>
      <c r="I419" s="64">
        <f>13.0393 * CHOOSE(CONTROL!$C$22, $C$13, 100%, $E$13)</f>
        <v>13.039300000000001</v>
      </c>
      <c r="J419" s="64">
        <f>7.4059 * CHOOSE(CONTROL!$C$22, $C$13, 100%, $E$13)</f>
        <v>7.4058999999999999</v>
      </c>
      <c r="K419" s="64">
        <f>7.4061 * CHOOSE(CONTROL!$C$22, $C$13, 100%, $E$13)</f>
        <v>7.4061000000000003</v>
      </c>
    </row>
    <row r="420" spans="1:11" ht="15">
      <c r="A420" s="13">
        <v>54424</v>
      </c>
      <c r="B420" s="63">
        <f>6.4879 * CHOOSE(CONTROL!$C$22, $C$13, 100%, $E$13)</f>
        <v>6.4878999999999998</v>
      </c>
      <c r="C420" s="63">
        <f>6.4879 * CHOOSE(CONTROL!$C$22, $C$13, 100%, $E$13)</f>
        <v>6.4878999999999998</v>
      </c>
      <c r="D420" s="63">
        <f>6.5007 * CHOOSE(CONTROL!$C$22, $C$13, 100%, $E$13)</f>
        <v>6.5007000000000001</v>
      </c>
      <c r="E420" s="64">
        <f>7.5031 * CHOOSE(CONTROL!$C$22, $C$13, 100%, $E$13)</f>
        <v>7.5030999999999999</v>
      </c>
      <c r="F420" s="64">
        <f>7.5031 * CHOOSE(CONTROL!$C$22, $C$13, 100%, $E$13)</f>
        <v>7.5030999999999999</v>
      </c>
      <c r="G420" s="64">
        <f>7.5032 * CHOOSE(CONTROL!$C$22, $C$13, 100%, $E$13)</f>
        <v>7.5031999999999996</v>
      </c>
      <c r="H420" s="64">
        <f>13.0663* CHOOSE(CONTROL!$C$22, $C$13, 100%, $E$13)</f>
        <v>13.0663</v>
      </c>
      <c r="I420" s="64">
        <f>13.0665 * CHOOSE(CONTROL!$C$22, $C$13, 100%, $E$13)</f>
        <v>13.0665</v>
      </c>
      <c r="J420" s="64">
        <f>7.5031 * CHOOSE(CONTROL!$C$22, $C$13, 100%, $E$13)</f>
        <v>7.5030999999999999</v>
      </c>
      <c r="K420" s="64">
        <f>7.5032 * CHOOSE(CONTROL!$C$22, $C$13, 100%, $E$13)</f>
        <v>7.5031999999999996</v>
      </c>
    </row>
    <row r="421" spans="1:11" ht="15">
      <c r="A421" s="13">
        <v>54455</v>
      </c>
      <c r="B421" s="63">
        <f>6.4848 * CHOOSE(CONTROL!$C$22, $C$13, 100%, $E$13)</f>
        <v>6.4847999999999999</v>
      </c>
      <c r="C421" s="63">
        <f>6.4848 * CHOOSE(CONTROL!$C$22, $C$13, 100%, $E$13)</f>
        <v>6.4847999999999999</v>
      </c>
      <c r="D421" s="63">
        <f>6.4977 * CHOOSE(CONTROL!$C$22, $C$13, 100%, $E$13)</f>
        <v>6.4977</v>
      </c>
      <c r="E421" s="64">
        <f>7.419 * CHOOSE(CONTROL!$C$22, $C$13, 100%, $E$13)</f>
        <v>7.4189999999999996</v>
      </c>
      <c r="F421" s="64">
        <f>7.419 * CHOOSE(CONTROL!$C$22, $C$13, 100%, $E$13)</f>
        <v>7.4189999999999996</v>
      </c>
      <c r="G421" s="64">
        <f>7.4192 * CHOOSE(CONTROL!$C$22, $C$13, 100%, $E$13)</f>
        <v>7.4192</v>
      </c>
      <c r="H421" s="64">
        <f>13.0936* CHOOSE(CONTROL!$C$22, $C$13, 100%, $E$13)</f>
        <v>13.0936</v>
      </c>
      <c r="I421" s="64">
        <f>13.0937 * CHOOSE(CONTROL!$C$22, $C$13, 100%, $E$13)</f>
        <v>13.0937</v>
      </c>
      <c r="J421" s="64">
        <f>7.419 * CHOOSE(CONTROL!$C$22, $C$13, 100%, $E$13)</f>
        <v>7.4189999999999996</v>
      </c>
      <c r="K421" s="64">
        <f>7.4192 * CHOOSE(CONTROL!$C$22, $C$13, 100%, $E$13)</f>
        <v>7.4192</v>
      </c>
    </row>
    <row r="422" spans="1:11" ht="15">
      <c r="A422" s="13">
        <v>54483</v>
      </c>
      <c r="B422" s="63">
        <f>6.4818 * CHOOSE(CONTROL!$C$22, $C$13, 100%, $E$13)</f>
        <v>6.4817999999999998</v>
      </c>
      <c r="C422" s="63">
        <f>6.4818 * CHOOSE(CONTROL!$C$22, $C$13, 100%, $E$13)</f>
        <v>6.4817999999999998</v>
      </c>
      <c r="D422" s="63">
        <f>6.4947 * CHOOSE(CONTROL!$C$22, $C$13, 100%, $E$13)</f>
        <v>6.4946999999999999</v>
      </c>
      <c r="E422" s="64">
        <f>7.4815 * CHOOSE(CONTROL!$C$22, $C$13, 100%, $E$13)</f>
        <v>7.4814999999999996</v>
      </c>
      <c r="F422" s="64">
        <f>7.4815 * CHOOSE(CONTROL!$C$22, $C$13, 100%, $E$13)</f>
        <v>7.4814999999999996</v>
      </c>
      <c r="G422" s="64">
        <f>7.4817 * CHOOSE(CONTROL!$C$22, $C$13, 100%, $E$13)</f>
        <v>7.4817</v>
      </c>
      <c r="H422" s="64">
        <f>13.1208* CHOOSE(CONTROL!$C$22, $C$13, 100%, $E$13)</f>
        <v>13.120799999999999</v>
      </c>
      <c r="I422" s="64">
        <f>13.121 * CHOOSE(CONTROL!$C$22, $C$13, 100%, $E$13)</f>
        <v>13.121</v>
      </c>
      <c r="J422" s="64">
        <f>7.4815 * CHOOSE(CONTROL!$C$22, $C$13, 100%, $E$13)</f>
        <v>7.4814999999999996</v>
      </c>
      <c r="K422" s="64">
        <f>7.4817 * CHOOSE(CONTROL!$C$22, $C$13, 100%, $E$13)</f>
        <v>7.4817</v>
      </c>
    </row>
    <row r="423" spans="1:11" ht="15">
      <c r="A423" s="13">
        <v>54514</v>
      </c>
      <c r="B423" s="63">
        <f>6.4817 * CHOOSE(CONTROL!$C$22, $C$13, 100%, $E$13)</f>
        <v>6.4817</v>
      </c>
      <c r="C423" s="63">
        <f>6.4817 * CHOOSE(CONTROL!$C$22, $C$13, 100%, $E$13)</f>
        <v>6.4817</v>
      </c>
      <c r="D423" s="63">
        <f>6.4945 * CHOOSE(CONTROL!$C$22, $C$13, 100%, $E$13)</f>
        <v>6.4945000000000004</v>
      </c>
      <c r="E423" s="64">
        <f>7.5466 * CHOOSE(CONTROL!$C$22, $C$13, 100%, $E$13)</f>
        <v>7.5465999999999998</v>
      </c>
      <c r="F423" s="64">
        <f>7.5466 * CHOOSE(CONTROL!$C$22, $C$13, 100%, $E$13)</f>
        <v>7.5465999999999998</v>
      </c>
      <c r="G423" s="64">
        <f>7.5468 * CHOOSE(CONTROL!$C$22, $C$13, 100%, $E$13)</f>
        <v>7.5468000000000002</v>
      </c>
      <c r="H423" s="64">
        <f>13.1482* CHOOSE(CONTROL!$C$22, $C$13, 100%, $E$13)</f>
        <v>13.148199999999999</v>
      </c>
      <c r="I423" s="64">
        <f>13.1483 * CHOOSE(CONTROL!$C$22, $C$13, 100%, $E$13)</f>
        <v>13.148300000000001</v>
      </c>
      <c r="J423" s="64">
        <f>7.5466 * CHOOSE(CONTROL!$C$22, $C$13, 100%, $E$13)</f>
        <v>7.5465999999999998</v>
      </c>
      <c r="K423" s="64">
        <f>7.5468 * CHOOSE(CONTROL!$C$22, $C$13, 100%, $E$13)</f>
        <v>7.5468000000000002</v>
      </c>
    </row>
    <row r="424" spans="1:11" ht="15">
      <c r="A424" s="13">
        <v>54544</v>
      </c>
      <c r="B424" s="63">
        <f>6.4817 * CHOOSE(CONTROL!$C$22, $C$13, 100%, $E$13)</f>
        <v>6.4817</v>
      </c>
      <c r="C424" s="63">
        <f>6.4817 * CHOOSE(CONTROL!$C$22, $C$13, 100%, $E$13)</f>
        <v>6.4817</v>
      </c>
      <c r="D424" s="63">
        <f>6.5074 * CHOOSE(CONTROL!$C$22, $C$13, 100%, $E$13)</f>
        <v>6.5073999999999996</v>
      </c>
      <c r="E424" s="64">
        <f>7.5726 * CHOOSE(CONTROL!$C$22, $C$13, 100%, $E$13)</f>
        <v>7.5726000000000004</v>
      </c>
      <c r="F424" s="64">
        <f>7.5726 * CHOOSE(CONTROL!$C$22, $C$13, 100%, $E$13)</f>
        <v>7.5726000000000004</v>
      </c>
      <c r="G424" s="64">
        <f>7.5743 * CHOOSE(CONTROL!$C$22, $C$13, 100%, $E$13)</f>
        <v>7.5743</v>
      </c>
      <c r="H424" s="64">
        <f>13.1756* CHOOSE(CONTROL!$C$22, $C$13, 100%, $E$13)</f>
        <v>13.175599999999999</v>
      </c>
      <c r="I424" s="64">
        <f>13.1772 * CHOOSE(CONTROL!$C$22, $C$13, 100%, $E$13)</f>
        <v>13.177199999999999</v>
      </c>
      <c r="J424" s="64">
        <f>7.5726 * CHOOSE(CONTROL!$C$22, $C$13, 100%, $E$13)</f>
        <v>7.5726000000000004</v>
      </c>
      <c r="K424" s="64">
        <f>7.5743 * CHOOSE(CONTROL!$C$22, $C$13, 100%, $E$13)</f>
        <v>7.5743</v>
      </c>
    </row>
    <row r="425" spans="1:11" ht="15">
      <c r="A425" s="13">
        <v>54575</v>
      </c>
      <c r="B425" s="63">
        <f>6.4877 * CHOOSE(CONTROL!$C$22, $C$13, 100%, $E$13)</f>
        <v>6.4877000000000002</v>
      </c>
      <c r="C425" s="63">
        <f>6.4877 * CHOOSE(CONTROL!$C$22, $C$13, 100%, $E$13)</f>
        <v>6.4877000000000002</v>
      </c>
      <c r="D425" s="63">
        <f>6.5135 * CHOOSE(CONTROL!$C$22, $C$13, 100%, $E$13)</f>
        <v>6.5134999999999996</v>
      </c>
      <c r="E425" s="64">
        <f>7.5509 * CHOOSE(CONTROL!$C$22, $C$13, 100%, $E$13)</f>
        <v>7.5509000000000004</v>
      </c>
      <c r="F425" s="64">
        <f>7.5509 * CHOOSE(CONTROL!$C$22, $C$13, 100%, $E$13)</f>
        <v>7.5509000000000004</v>
      </c>
      <c r="G425" s="64">
        <f>7.5525 * CHOOSE(CONTROL!$C$22, $C$13, 100%, $E$13)</f>
        <v>7.5525000000000002</v>
      </c>
      <c r="H425" s="64">
        <f>13.203* CHOOSE(CONTROL!$C$22, $C$13, 100%, $E$13)</f>
        <v>13.202999999999999</v>
      </c>
      <c r="I425" s="64">
        <f>13.2046 * CHOOSE(CONTROL!$C$22, $C$13, 100%, $E$13)</f>
        <v>13.204599999999999</v>
      </c>
      <c r="J425" s="64">
        <f>7.5509 * CHOOSE(CONTROL!$C$22, $C$13, 100%, $E$13)</f>
        <v>7.5509000000000004</v>
      </c>
      <c r="K425" s="64">
        <f>7.5525 * CHOOSE(CONTROL!$C$22, $C$13, 100%, $E$13)</f>
        <v>7.5525000000000002</v>
      </c>
    </row>
    <row r="426" spans="1:11" ht="15">
      <c r="A426" s="13">
        <v>54605</v>
      </c>
      <c r="B426" s="63">
        <f>6.5949 * CHOOSE(CONTROL!$C$22, $C$13, 100%, $E$13)</f>
        <v>6.5949</v>
      </c>
      <c r="C426" s="63">
        <f>6.5949 * CHOOSE(CONTROL!$C$22, $C$13, 100%, $E$13)</f>
        <v>6.5949</v>
      </c>
      <c r="D426" s="63">
        <f>6.6206 * CHOOSE(CONTROL!$C$22, $C$13, 100%, $E$13)</f>
        <v>6.6205999999999996</v>
      </c>
      <c r="E426" s="64">
        <f>7.7 * CHOOSE(CONTROL!$C$22, $C$13, 100%, $E$13)</f>
        <v>7.7</v>
      </c>
      <c r="F426" s="64">
        <f>7.7 * CHOOSE(CONTROL!$C$22, $C$13, 100%, $E$13)</f>
        <v>7.7</v>
      </c>
      <c r="G426" s="64">
        <f>7.7017 * CHOOSE(CONTROL!$C$22, $C$13, 100%, $E$13)</f>
        <v>7.7016999999999998</v>
      </c>
      <c r="H426" s="64">
        <f>13.2305* CHOOSE(CONTROL!$C$22, $C$13, 100%, $E$13)</f>
        <v>13.230499999999999</v>
      </c>
      <c r="I426" s="64">
        <f>13.2322 * CHOOSE(CONTROL!$C$22, $C$13, 100%, $E$13)</f>
        <v>13.232200000000001</v>
      </c>
      <c r="J426" s="64">
        <f>7.7 * CHOOSE(CONTROL!$C$22, $C$13, 100%, $E$13)</f>
        <v>7.7</v>
      </c>
      <c r="K426" s="64">
        <f>7.7017 * CHOOSE(CONTROL!$C$22, $C$13, 100%, $E$13)</f>
        <v>7.7016999999999998</v>
      </c>
    </row>
    <row r="427" spans="1:11" ht="15">
      <c r="A427" s="13">
        <v>54636</v>
      </c>
      <c r="B427" s="63">
        <f>6.6016 * CHOOSE(CONTROL!$C$22, $C$13, 100%, $E$13)</f>
        <v>6.6016000000000004</v>
      </c>
      <c r="C427" s="63">
        <f>6.6016 * CHOOSE(CONTROL!$C$22, $C$13, 100%, $E$13)</f>
        <v>6.6016000000000004</v>
      </c>
      <c r="D427" s="63">
        <f>6.6273 * CHOOSE(CONTROL!$C$22, $C$13, 100%, $E$13)</f>
        <v>6.6273</v>
      </c>
      <c r="E427" s="64">
        <f>7.6266 * CHOOSE(CONTROL!$C$22, $C$13, 100%, $E$13)</f>
        <v>7.6265999999999998</v>
      </c>
      <c r="F427" s="64">
        <f>7.6266 * CHOOSE(CONTROL!$C$22, $C$13, 100%, $E$13)</f>
        <v>7.6265999999999998</v>
      </c>
      <c r="G427" s="64">
        <f>7.6283 * CHOOSE(CONTROL!$C$22, $C$13, 100%, $E$13)</f>
        <v>7.6283000000000003</v>
      </c>
      <c r="H427" s="64">
        <f>13.2581* CHOOSE(CONTROL!$C$22, $C$13, 100%, $E$13)</f>
        <v>13.258100000000001</v>
      </c>
      <c r="I427" s="64">
        <f>13.2597 * CHOOSE(CONTROL!$C$22, $C$13, 100%, $E$13)</f>
        <v>13.2597</v>
      </c>
      <c r="J427" s="64">
        <f>7.6266 * CHOOSE(CONTROL!$C$22, $C$13, 100%, $E$13)</f>
        <v>7.6265999999999998</v>
      </c>
      <c r="K427" s="64">
        <f>7.6283 * CHOOSE(CONTROL!$C$22, $C$13, 100%, $E$13)</f>
        <v>7.6283000000000003</v>
      </c>
    </row>
    <row r="428" spans="1:11" ht="15">
      <c r="A428" s="13">
        <v>54667</v>
      </c>
      <c r="B428" s="63">
        <f>6.5985 * CHOOSE(CONTROL!$C$22, $C$13, 100%, $E$13)</f>
        <v>6.5984999999999996</v>
      </c>
      <c r="C428" s="63">
        <f>6.5985 * CHOOSE(CONTROL!$C$22, $C$13, 100%, $E$13)</f>
        <v>6.5984999999999996</v>
      </c>
      <c r="D428" s="63">
        <f>6.6243 * CHOOSE(CONTROL!$C$22, $C$13, 100%, $E$13)</f>
        <v>6.6242999999999999</v>
      </c>
      <c r="E428" s="64">
        <f>7.6159 * CHOOSE(CONTROL!$C$22, $C$13, 100%, $E$13)</f>
        <v>7.6158999999999999</v>
      </c>
      <c r="F428" s="64">
        <f>7.6159 * CHOOSE(CONTROL!$C$22, $C$13, 100%, $E$13)</f>
        <v>7.6158999999999999</v>
      </c>
      <c r="G428" s="64">
        <f>7.6175 * CHOOSE(CONTROL!$C$22, $C$13, 100%, $E$13)</f>
        <v>7.6174999999999997</v>
      </c>
      <c r="H428" s="64">
        <f>13.2857* CHOOSE(CONTROL!$C$22, $C$13, 100%, $E$13)</f>
        <v>13.2857</v>
      </c>
      <c r="I428" s="64">
        <f>13.2873 * CHOOSE(CONTROL!$C$22, $C$13, 100%, $E$13)</f>
        <v>13.2873</v>
      </c>
      <c r="J428" s="64">
        <f>7.6159 * CHOOSE(CONTROL!$C$22, $C$13, 100%, $E$13)</f>
        <v>7.6158999999999999</v>
      </c>
      <c r="K428" s="64">
        <f>7.6175 * CHOOSE(CONTROL!$C$22, $C$13, 100%, $E$13)</f>
        <v>7.6174999999999997</v>
      </c>
    </row>
    <row r="429" spans="1:11" ht="15">
      <c r="A429" s="13">
        <v>54697</v>
      </c>
      <c r="B429" s="63">
        <f>6.6025 * CHOOSE(CONTROL!$C$22, $C$13, 100%, $E$13)</f>
        <v>6.6025</v>
      </c>
      <c r="C429" s="63">
        <f>6.6025 * CHOOSE(CONTROL!$C$22, $C$13, 100%, $E$13)</f>
        <v>6.6025</v>
      </c>
      <c r="D429" s="63">
        <f>6.6154 * CHOOSE(CONTROL!$C$22, $C$13, 100%, $E$13)</f>
        <v>6.6154000000000002</v>
      </c>
      <c r="E429" s="64">
        <f>7.6371 * CHOOSE(CONTROL!$C$22, $C$13, 100%, $E$13)</f>
        <v>7.6371000000000002</v>
      </c>
      <c r="F429" s="64">
        <f>7.6371 * CHOOSE(CONTROL!$C$22, $C$13, 100%, $E$13)</f>
        <v>7.6371000000000002</v>
      </c>
      <c r="G429" s="64">
        <f>7.6373 * CHOOSE(CONTROL!$C$22, $C$13, 100%, $E$13)</f>
        <v>7.6372999999999998</v>
      </c>
      <c r="H429" s="64">
        <f>13.3134* CHOOSE(CONTROL!$C$22, $C$13, 100%, $E$13)</f>
        <v>13.3134</v>
      </c>
      <c r="I429" s="64">
        <f>13.3136 * CHOOSE(CONTROL!$C$22, $C$13, 100%, $E$13)</f>
        <v>13.313599999999999</v>
      </c>
      <c r="J429" s="64">
        <f>7.6371 * CHOOSE(CONTROL!$C$22, $C$13, 100%, $E$13)</f>
        <v>7.6371000000000002</v>
      </c>
      <c r="K429" s="64">
        <f>7.6373 * CHOOSE(CONTROL!$C$22, $C$13, 100%, $E$13)</f>
        <v>7.6372999999999998</v>
      </c>
    </row>
    <row r="430" spans="1:11" ht="15">
      <c r="A430" s="13">
        <v>54728</v>
      </c>
      <c r="B430" s="63">
        <f>6.6056 * CHOOSE(CONTROL!$C$22, $C$13, 100%, $E$13)</f>
        <v>6.6055999999999999</v>
      </c>
      <c r="C430" s="63">
        <f>6.6056 * CHOOSE(CONTROL!$C$22, $C$13, 100%, $E$13)</f>
        <v>6.6055999999999999</v>
      </c>
      <c r="D430" s="63">
        <f>6.6184 * CHOOSE(CONTROL!$C$22, $C$13, 100%, $E$13)</f>
        <v>6.6184000000000003</v>
      </c>
      <c r="E430" s="64">
        <f>7.6566 * CHOOSE(CONTROL!$C$22, $C$13, 100%, $E$13)</f>
        <v>7.6566000000000001</v>
      </c>
      <c r="F430" s="64">
        <f>7.6566 * CHOOSE(CONTROL!$C$22, $C$13, 100%, $E$13)</f>
        <v>7.6566000000000001</v>
      </c>
      <c r="G430" s="64">
        <f>7.6568 * CHOOSE(CONTROL!$C$22, $C$13, 100%, $E$13)</f>
        <v>7.6567999999999996</v>
      </c>
      <c r="H430" s="64">
        <f>13.3411* CHOOSE(CONTROL!$C$22, $C$13, 100%, $E$13)</f>
        <v>13.341100000000001</v>
      </c>
      <c r="I430" s="64">
        <f>13.3413 * CHOOSE(CONTROL!$C$22, $C$13, 100%, $E$13)</f>
        <v>13.3413</v>
      </c>
      <c r="J430" s="64">
        <f>7.6566 * CHOOSE(CONTROL!$C$22, $C$13, 100%, $E$13)</f>
        <v>7.6566000000000001</v>
      </c>
      <c r="K430" s="64">
        <f>7.6568 * CHOOSE(CONTROL!$C$22, $C$13, 100%, $E$13)</f>
        <v>7.6567999999999996</v>
      </c>
    </row>
    <row r="431" spans="1:11" ht="15">
      <c r="A431" s="13">
        <v>54758</v>
      </c>
      <c r="B431" s="63">
        <f>6.6056 * CHOOSE(CONTROL!$C$22, $C$13, 100%, $E$13)</f>
        <v>6.6055999999999999</v>
      </c>
      <c r="C431" s="63">
        <f>6.6056 * CHOOSE(CONTROL!$C$22, $C$13, 100%, $E$13)</f>
        <v>6.6055999999999999</v>
      </c>
      <c r="D431" s="63">
        <f>6.6184 * CHOOSE(CONTROL!$C$22, $C$13, 100%, $E$13)</f>
        <v>6.6184000000000003</v>
      </c>
      <c r="E431" s="64">
        <f>7.6132 * CHOOSE(CONTROL!$C$22, $C$13, 100%, $E$13)</f>
        <v>7.6132</v>
      </c>
      <c r="F431" s="64">
        <f>7.6132 * CHOOSE(CONTROL!$C$22, $C$13, 100%, $E$13)</f>
        <v>7.6132</v>
      </c>
      <c r="G431" s="64">
        <f>7.6134 * CHOOSE(CONTROL!$C$22, $C$13, 100%, $E$13)</f>
        <v>7.6134000000000004</v>
      </c>
      <c r="H431" s="64">
        <f>13.3689* CHOOSE(CONTROL!$C$22, $C$13, 100%, $E$13)</f>
        <v>13.3689</v>
      </c>
      <c r="I431" s="64">
        <f>13.3691 * CHOOSE(CONTROL!$C$22, $C$13, 100%, $E$13)</f>
        <v>13.3691</v>
      </c>
      <c r="J431" s="64">
        <f>7.6132 * CHOOSE(CONTROL!$C$22, $C$13, 100%, $E$13)</f>
        <v>7.6132</v>
      </c>
      <c r="K431" s="64">
        <f>7.6134 * CHOOSE(CONTROL!$C$22, $C$13, 100%, $E$13)</f>
        <v>7.6134000000000004</v>
      </c>
    </row>
    <row r="432" spans="1:11" ht="15">
      <c r="A432" s="13">
        <v>54789</v>
      </c>
      <c r="B432" s="63">
        <f>6.6648 * CHOOSE(CONTROL!$C$22, $C$13, 100%, $E$13)</f>
        <v>6.6647999999999996</v>
      </c>
      <c r="C432" s="63">
        <f>6.6648 * CHOOSE(CONTROL!$C$22, $C$13, 100%, $E$13)</f>
        <v>6.6647999999999996</v>
      </c>
      <c r="D432" s="63">
        <f>6.6777 * CHOOSE(CONTROL!$C$22, $C$13, 100%, $E$13)</f>
        <v>6.6776999999999997</v>
      </c>
      <c r="E432" s="64">
        <f>7.713 * CHOOSE(CONTROL!$C$22, $C$13, 100%, $E$13)</f>
        <v>7.7130000000000001</v>
      </c>
      <c r="F432" s="64">
        <f>7.713 * CHOOSE(CONTROL!$C$22, $C$13, 100%, $E$13)</f>
        <v>7.7130000000000001</v>
      </c>
      <c r="G432" s="64">
        <f>7.7132 * CHOOSE(CONTROL!$C$22, $C$13, 100%, $E$13)</f>
        <v>7.7131999999999996</v>
      </c>
      <c r="H432" s="64">
        <f>13.3968* CHOOSE(CONTROL!$C$22, $C$13, 100%, $E$13)</f>
        <v>13.396800000000001</v>
      </c>
      <c r="I432" s="64">
        <f>13.3969 * CHOOSE(CONTROL!$C$22, $C$13, 100%, $E$13)</f>
        <v>13.3969</v>
      </c>
      <c r="J432" s="64">
        <f>7.713 * CHOOSE(CONTROL!$C$22, $C$13, 100%, $E$13)</f>
        <v>7.7130000000000001</v>
      </c>
      <c r="K432" s="64">
        <f>7.7132 * CHOOSE(CONTROL!$C$22, $C$13, 100%, $E$13)</f>
        <v>7.7131999999999996</v>
      </c>
    </row>
    <row r="433" spans="1:11" ht="15">
      <c r="A433" s="13">
        <v>54820</v>
      </c>
      <c r="B433" s="63">
        <f>6.6618 * CHOOSE(CONTROL!$C$22, $C$13, 100%, $E$13)</f>
        <v>6.6618000000000004</v>
      </c>
      <c r="C433" s="63">
        <f>6.6618 * CHOOSE(CONTROL!$C$22, $C$13, 100%, $E$13)</f>
        <v>6.6618000000000004</v>
      </c>
      <c r="D433" s="63">
        <f>6.6747 * CHOOSE(CONTROL!$C$22, $C$13, 100%, $E$13)</f>
        <v>6.6746999999999996</v>
      </c>
      <c r="E433" s="64">
        <f>7.6267 * CHOOSE(CONTROL!$C$22, $C$13, 100%, $E$13)</f>
        <v>7.6266999999999996</v>
      </c>
      <c r="F433" s="64">
        <f>7.6267 * CHOOSE(CONTROL!$C$22, $C$13, 100%, $E$13)</f>
        <v>7.6266999999999996</v>
      </c>
      <c r="G433" s="64">
        <f>7.6268 * CHOOSE(CONTROL!$C$22, $C$13, 100%, $E$13)</f>
        <v>7.6268000000000002</v>
      </c>
      <c r="H433" s="64">
        <f>13.4247* CHOOSE(CONTROL!$C$22, $C$13, 100%, $E$13)</f>
        <v>13.4247</v>
      </c>
      <c r="I433" s="64">
        <f>13.4248 * CHOOSE(CONTROL!$C$22, $C$13, 100%, $E$13)</f>
        <v>13.424799999999999</v>
      </c>
      <c r="J433" s="64">
        <f>7.6267 * CHOOSE(CONTROL!$C$22, $C$13, 100%, $E$13)</f>
        <v>7.6266999999999996</v>
      </c>
      <c r="K433" s="64">
        <f>7.6268 * CHOOSE(CONTROL!$C$22, $C$13, 100%, $E$13)</f>
        <v>7.6268000000000002</v>
      </c>
    </row>
    <row r="434" spans="1:11" ht="15">
      <c r="A434" s="13">
        <v>54848</v>
      </c>
      <c r="B434" s="63">
        <f>6.6588 * CHOOSE(CONTROL!$C$22, $C$13, 100%, $E$13)</f>
        <v>6.6588000000000003</v>
      </c>
      <c r="C434" s="63">
        <f>6.6588 * CHOOSE(CONTROL!$C$22, $C$13, 100%, $E$13)</f>
        <v>6.6588000000000003</v>
      </c>
      <c r="D434" s="63">
        <f>6.6716 * CHOOSE(CONTROL!$C$22, $C$13, 100%, $E$13)</f>
        <v>6.6715999999999998</v>
      </c>
      <c r="E434" s="64">
        <f>7.691 * CHOOSE(CONTROL!$C$22, $C$13, 100%, $E$13)</f>
        <v>7.6909999999999998</v>
      </c>
      <c r="F434" s="64">
        <f>7.691 * CHOOSE(CONTROL!$C$22, $C$13, 100%, $E$13)</f>
        <v>7.6909999999999998</v>
      </c>
      <c r="G434" s="64">
        <f>7.6911 * CHOOSE(CONTROL!$C$22, $C$13, 100%, $E$13)</f>
        <v>7.6910999999999996</v>
      </c>
      <c r="H434" s="64">
        <f>13.4526* CHOOSE(CONTROL!$C$22, $C$13, 100%, $E$13)</f>
        <v>13.4526</v>
      </c>
      <c r="I434" s="64">
        <f>13.4528 * CHOOSE(CONTROL!$C$22, $C$13, 100%, $E$13)</f>
        <v>13.4528</v>
      </c>
      <c r="J434" s="64">
        <f>7.691 * CHOOSE(CONTROL!$C$22, $C$13, 100%, $E$13)</f>
        <v>7.6909999999999998</v>
      </c>
      <c r="K434" s="64">
        <f>7.6911 * CHOOSE(CONTROL!$C$22, $C$13, 100%, $E$13)</f>
        <v>7.6910999999999996</v>
      </c>
    </row>
    <row r="435" spans="1:11" ht="15">
      <c r="A435" s="13">
        <v>54879</v>
      </c>
      <c r="B435" s="63">
        <f>6.6588 * CHOOSE(CONTROL!$C$22, $C$13, 100%, $E$13)</f>
        <v>6.6588000000000003</v>
      </c>
      <c r="C435" s="63">
        <f>6.6588 * CHOOSE(CONTROL!$C$22, $C$13, 100%, $E$13)</f>
        <v>6.6588000000000003</v>
      </c>
      <c r="D435" s="63">
        <f>6.6717 * CHOOSE(CONTROL!$C$22, $C$13, 100%, $E$13)</f>
        <v>6.6717000000000004</v>
      </c>
      <c r="E435" s="64">
        <f>7.758 * CHOOSE(CONTROL!$C$22, $C$13, 100%, $E$13)</f>
        <v>7.758</v>
      </c>
      <c r="F435" s="64">
        <f>7.758 * CHOOSE(CONTROL!$C$22, $C$13, 100%, $E$13)</f>
        <v>7.758</v>
      </c>
      <c r="G435" s="64">
        <f>7.7582 * CHOOSE(CONTROL!$C$22, $C$13, 100%, $E$13)</f>
        <v>7.7582000000000004</v>
      </c>
      <c r="H435" s="64">
        <f>13.4807* CHOOSE(CONTROL!$C$22, $C$13, 100%, $E$13)</f>
        <v>13.480700000000001</v>
      </c>
      <c r="I435" s="64">
        <f>13.4808 * CHOOSE(CONTROL!$C$22, $C$13, 100%, $E$13)</f>
        <v>13.4808</v>
      </c>
      <c r="J435" s="64">
        <f>7.758 * CHOOSE(CONTROL!$C$22, $C$13, 100%, $E$13)</f>
        <v>7.758</v>
      </c>
      <c r="K435" s="64">
        <f>7.7582 * CHOOSE(CONTROL!$C$22, $C$13, 100%, $E$13)</f>
        <v>7.7582000000000004</v>
      </c>
    </row>
    <row r="436" spans="1:11" ht="15">
      <c r="A436" s="13">
        <v>54909</v>
      </c>
      <c r="B436" s="63">
        <f>6.6588 * CHOOSE(CONTROL!$C$22, $C$13, 100%, $E$13)</f>
        <v>6.6588000000000003</v>
      </c>
      <c r="C436" s="63">
        <f>6.6588 * CHOOSE(CONTROL!$C$22, $C$13, 100%, $E$13)</f>
        <v>6.6588000000000003</v>
      </c>
      <c r="D436" s="63">
        <f>6.6845 * CHOOSE(CONTROL!$C$22, $C$13, 100%, $E$13)</f>
        <v>6.6844999999999999</v>
      </c>
      <c r="E436" s="64">
        <f>7.7848 * CHOOSE(CONTROL!$C$22, $C$13, 100%, $E$13)</f>
        <v>7.7847999999999997</v>
      </c>
      <c r="F436" s="64">
        <f>7.7848 * CHOOSE(CONTROL!$C$22, $C$13, 100%, $E$13)</f>
        <v>7.7847999999999997</v>
      </c>
      <c r="G436" s="64">
        <f>7.7864 * CHOOSE(CONTROL!$C$22, $C$13, 100%, $E$13)</f>
        <v>7.7864000000000004</v>
      </c>
      <c r="H436" s="64">
        <f>13.5087* CHOOSE(CONTROL!$C$22, $C$13, 100%, $E$13)</f>
        <v>13.508699999999999</v>
      </c>
      <c r="I436" s="64">
        <f>13.5104 * CHOOSE(CONTROL!$C$22, $C$13, 100%, $E$13)</f>
        <v>13.510400000000001</v>
      </c>
      <c r="J436" s="64">
        <f>7.7848 * CHOOSE(CONTROL!$C$22, $C$13, 100%, $E$13)</f>
        <v>7.7847999999999997</v>
      </c>
      <c r="K436" s="64">
        <f>7.7864 * CHOOSE(CONTROL!$C$22, $C$13, 100%, $E$13)</f>
        <v>7.7864000000000004</v>
      </c>
    </row>
    <row r="437" spans="1:11" ht="15">
      <c r="A437" s="13">
        <v>54940</v>
      </c>
      <c r="B437" s="63">
        <f>6.6649 * CHOOSE(CONTROL!$C$22, $C$13, 100%, $E$13)</f>
        <v>6.6649000000000003</v>
      </c>
      <c r="C437" s="63">
        <f>6.6649 * CHOOSE(CONTROL!$C$22, $C$13, 100%, $E$13)</f>
        <v>6.6649000000000003</v>
      </c>
      <c r="D437" s="63">
        <f>6.6906 * CHOOSE(CONTROL!$C$22, $C$13, 100%, $E$13)</f>
        <v>6.6905999999999999</v>
      </c>
      <c r="E437" s="64">
        <f>7.7623 * CHOOSE(CONTROL!$C$22, $C$13, 100%, $E$13)</f>
        <v>7.7622999999999998</v>
      </c>
      <c r="F437" s="64">
        <f>7.7623 * CHOOSE(CONTROL!$C$22, $C$13, 100%, $E$13)</f>
        <v>7.7622999999999998</v>
      </c>
      <c r="G437" s="64">
        <f>7.7639 * CHOOSE(CONTROL!$C$22, $C$13, 100%, $E$13)</f>
        <v>7.7638999999999996</v>
      </c>
      <c r="H437" s="64">
        <f>13.5369* CHOOSE(CONTROL!$C$22, $C$13, 100%, $E$13)</f>
        <v>13.536899999999999</v>
      </c>
      <c r="I437" s="64">
        <f>13.5385 * CHOOSE(CONTROL!$C$22, $C$13, 100%, $E$13)</f>
        <v>13.538500000000001</v>
      </c>
      <c r="J437" s="64">
        <f>7.7623 * CHOOSE(CONTROL!$C$22, $C$13, 100%, $E$13)</f>
        <v>7.7622999999999998</v>
      </c>
      <c r="K437" s="64">
        <f>7.7639 * CHOOSE(CONTROL!$C$22, $C$13, 100%, $E$13)</f>
        <v>7.7638999999999996</v>
      </c>
    </row>
    <row r="438" spans="1:11" ht="15">
      <c r="A438" s="13">
        <v>54970</v>
      </c>
      <c r="B438" s="63">
        <f>6.7747 * CHOOSE(CONTROL!$C$22, $C$13, 100%, $E$13)</f>
        <v>6.7747000000000002</v>
      </c>
      <c r="C438" s="63">
        <f>6.7747 * CHOOSE(CONTROL!$C$22, $C$13, 100%, $E$13)</f>
        <v>6.7747000000000002</v>
      </c>
      <c r="D438" s="63">
        <f>6.8004 * CHOOSE(CONTROL!$C$22, $C$13, 100%, $E$13)</f>
        <v>6.8003999999999998</v>
      </c>
      <c r="E438" s="64">
        <f>7.9154 * CHOOSE(CONTROL!$C$22, $C$13, 100%, $E$13)</f>
        <v>7.9154</v>
      </c>
      <c r="F438" s="64">
        <f>7.9154 * CHOOSE(CONTROL!$C$22, $C$13, 100%, $E$13)</f>
        <v>7.9154</v>
      </c>
      <c r="G438" s="64">
        <f>7.917 * CHOOSE(CONTROL!$C$22, $C$13, 100%, $E$13)</f>
        <v>7.9169999999999998</v>
      </c>
      <c r="H438" s="64">
        <f>13.5651* CHOOSE(CONTROL!$C$22, $C$13, 100%, $E$13)</f>
        <v>13.565099999999999</v>
      </c>
      <c r="I438" s="64">
        <f>13.5667 * CHOOSE(CONTROL!$C$22, $C$13, 100%, $E$13)</f>
        <v>13.566700000000001</v>
      </c>
      <c r="J438" s="64">
        <f>7.9154 * CHOOSE(CONTROL!$C$22, $C$13, 100%, $E$13)</f>
        <v>7.9154</v>
      </c>
      <c r="K438" s="64">
        <f>7.917 * CHOOSE(CONTROL!$C$22, $C$13, 100%, $E$13)</f>
        <v>7.9169999999999998</v>
      </c>
    </row>
    <row r="439" spans="1:11" ht="15">
      <c r="A439" s="13">
        <v>55001</v>
      </c>
      <c r="B439" s="63">
        <f>6.7813 * CHOOSE(CONTROL!$C$22, $C$13, 100%, $E$13)</f>
        <v>6.7812999999999999</v>
      </c>
      <c r="C439" s="63">
        <f>6.7813 * CHOOSE(CONTROL!$C$22, $C$13, 100%, $E$13)</f>
        <v>6.7812999999999999</v>
      </c>
      <c r="D439" s="63">
        <f>6.8071 * CHOOSE(CONTROL!$C$22, $C$13, 100%, $E$13)</f>
        <v>6.8071000000000002</v>
      </c>
      <c r="E439" s="64">
        <f>7.8398 * CHOOSE(CONTROL!$C$22, $C$13, 100%, $E$13)</f>
        <v>7.8398000000000003</v>
      </c>
      <c r="F439" s="64">
        <f>7.8398 * CHOOSE(CONTROL!$C$22, $C$13, 100%, $E$13)</f>
        <v>7.8398000000000003</v>
      </c>
      <c r="G439" s="64">
        <f>7.8414 * CHOOSE(CONTROL!$C$22, $C$13, 100%, $E$13)</f>
        <v>7.8414000000000001</v>
      </c>
      <c r="H439" s="64">
        <f>13.5934* CHOOSE(CONTROL!$C$22, $C$13, 100%, $E$13)</f>
        <v>13.593400000000001</v>
      </c>
      <c r="I439" s="64">
        <f>13.595 * CHOOSE(CONTROL!$C$22, $C$13, 100%, $E$13)</f>
        <v>13.595000000000001</v>
      </c>
      <c r="J439" s="64">
        <f>7.8398 * CHOOSE(CONTROL!$C$22, $C$13, 100%, $E$13)</f>
        <v>7.8398000000000003</v>
      </c>
      <c r="K439" s="64">
        <f>7.8414 * CHOOSE(CONTROL!$C$22, $C$13, 100%, $E$13)</f>
        <v>7.8414000000000001</v>
      </c>
    </row>
    <row r="440" spans="1:11" ht="15">
      <c r="A440" s="13">
        <v>55032</v>
      </c>
      <c r="B440" s="63">
        <f>6.7783 * CHOOSE(CONTROL!$C$22, $C$13, 100%, $E$13)</f>
        <v>6.7782999999999998</v>
      </c>
      <c r="C440" s="63">
        <f>6.7783 * CHOOSE(CONTROL!$C$22, $C$13, 100%, $E$13)</f>
        <v>6.7782999999999998</v>
      </c>
      <c r="D440" s="63">
        <f>6.804 * CHOOSE(CONTROL!$C$22, $C$13, 100%, $E$13)</f>
        <v>6.8040000000000003</v>
      </c>
      <c r="E440" s="64">
        <f>7.8288 * CHOOSE(CONTROL!$C$22, $C$13, 100%, $E$13)</f>
        <v>7.8288000000000002</v>
      </c>
      <c r="F440" s="64">
        <f>7.8288 * CHOOSE(CONTROL!$C$22, $C$13, 100%, $E$13)</f>
        <v>7.8288000000000002</v>
      </c>
      <c r="G440" s="64">
        <f>7.8304 * CHOOSE(CONTROL!$C$22, $C$13, 100%, $E$13)</f>
        <v>7.8304</v>
      </c>
      <c r="H440" s="64">
        <f>13.6217* CHOOSE(CONTROL!$C$22, $C$13, 100%, $E$13)</f>
        <v>13.621700000000001</v>
      </c>
      <c r="I440" s="64">
        <f>13.6233 * CHOOSE(CONTROL!$C$22, $C$13, 100%, $E$13)</f>
        <v>13.6233</v>
      </c>
      <c r="J440" s="64">
        <f>7.8288 * CHOOSE(CONTROL!$C$22, $C$13, 100%, $E$13)</f>
        <v>7.8288000000000002</v>
      </c>
      <c r="K440" s="64">
        <f>7.8304 * CHOOSE(CONTROL!$C$22, $C$13, 100%, $E$13)</f>
        <v>7.8304</v>
      </c>
    </row>
    <row r="441" spans="1:11" ht="15">
      <c r="A441" s="13">
        <v>55062</v>
      </c>
      <c r="B441" s="63">
        <f>6.7829 * CHOOSE(CONTROL!$C$22, $C$13, 100%, $E$13)</f>
        <v>6.7828999999999997</v>
      </c>
      <c r="C441" s="63">
        <f>6.7829 * CHOOSE(CONTROL!$C$22, $C$13, 100%, $E$13)</f>
        <v>6.7828999999999997</v>
      </c>
      <c r="D441" s="63">
        <f>6.7957 * CHOOSE(CONTROL!$C$22, $C$13, 100%, $E$13)</f>
        <v>6.7957000000000001</v>
      </c>
      <c r="E441" s="64">
        <f>7.851 * CHOOSE(CONTROL!$C$22, $C$13, 100%, $E$13)</f>
        <v>7.851</v>
      </c>
      <c r="F441" s="64">
        <f>7.851 * CHOOSE(CONTROL!$C$22, $C$13, 100%, $E$13)</f>
        <v>7.851</v>
      </c>
      <c r="G441" s="64">
        <f>7.8512 * CHOOSE(CONTROL!$C$22, $C$13, 100%, $E$13)</f>
        <v>7.8512000000000004</v>
      </c>
      <c r="H441" s="64">
        <f>13.6501* CHOOSE(CONTROL!$C$22, $C$13, 100%, $E$13)</f>
        <v>13.6501</v>
      </c>
      <c r="I441" s="64">
        <f>13.6502 * CHOOSE(CONTROL!$C$22, $C$13, 100%, $E$13)</f>
        <v>13.6502</v>
      </c>
      <c r="J441" s="64">
        <f>7.851 * CHOOSE(CONTROL!$C$22, $C$13, 100%, $E$13)</f>
        <v>7.851</v>
      </c>
      <c r="K441" s="64">
        <f>7.8512 * CHOOSE(CONTROL!$C$22, $C$13, 100%, $E$13)</f>
        <v>7.8512000000000004</v>
      </c>
    </row>
    <row r="442" spans="1:11" ht="15">
      <c r="A442" s="13">
        <v>55093</v>
      </c>
      <c r="B442" s="63">
        <f>6.7859 * CHOOSE(CONTROL!$C$22, $C$13, 100%, $E$13)</f>
        <v>6.7858999999999998</v>
      </c>
      <c r="C442" s="63">
        <f>6.7859 * CHOOSE(CONTROL!$C$22, $C$13, 100%, $E$13)</f>
        <v>6.7858999999999998</v>
      </c>
      <c r="D442" s="63">
        <f>6.7988 * CHOOSE(CONTROL!$C$22, $C$13, 100%, $E$13)</f>
        <v>6.7988</v>
      </c>
      <c r="E442" s="64">
        <f>7.8709 * CHOOSE(CONTROL!$C$22, $C$13, 100%, $E$13)</f>
        <v>7.8708999999999998</v>
      </c>
      <c r="F442" s="64">
        <f>7.8709 * CHOOSE(CONTROL!$C$22, $C$13, 100%, $E$13)</f>
        <v>7.8708999999999998</v>
      </c>
      <c r="G442" s="64">
        <f>7.8711 * CHOOSE(CONTROL!$C$22, $C$13, 100%, $E$13)</f>
        <v>7.8711000000000002</v>
      </c>
      <c r="H442" s="64">
        <f>13.6785* CHOOSE(CONTROL!$C$22, $C$13, 100%, $E$13)</f>
        <v>13.6785</v>
      </c>
      <c r="I442" s="64">
        <f>13.6787 * CHOOSE(CONTROL!$C$22, $C$13, 100%, $E$13)</f>
        <v>13.678699999999999</v>
      </c>
      <c r="J442" s="64">
        <f>7.8709 * CHOOSE(CONTROL!$C$22, $C$13, 100%, $E$13)</f>
        <v>7.8708999999999998</v>
      </c>
      <c r="K442" s="64">
        <f>7.8711 * CHOOSE(CONTROL!$C$22, $C$13, 100%, $E$13)</f>
        <v>7.8711000000000002</v>
      </c>
    </row>
    <row r="443" spans="1:11" ht="15">
      <c r="A443" s="13">
        <v>55123</v>
      </c>
      <c r="B443" s="63">
        <f>6.7859 * CHOOSE(CONTROL!$C$22, $C$13, 100%, $E$13)</f>
        <v>6.7858999999999998</v>
      </c>
      <c r="C443" s="63">
        <f>6.7859 * CHOOSE(CONTROL!$C$22, $C$13, 100%, $E$13)</f>
        <v>6.7858999999999998</v>
      </c>
      <c r="D443" s="63">
        <f>6.7988 * CHOOSE(CONTROL!$C$22, $C$13, 100%, $E$13)</f>
        <v>6.7988</v>
      </c>
      <c r="E443" s="64">
        <f>7.8264 * CHOOSE(CONTROL!$C$22, $C$13, 100%, $E$13)</f>
        <v>7.8263999999999996</v>
      </c>
      <c r="F443" s="64">
        <f>7.8264 * CHOOSE(CONTROL!$C$22, $C$13, 100%, $E$13)</f>
        <v>7.8263999999999996</v>
      </c>
      <c r="G443" s="64">
        <f>7.8265 * CHOOSE(CONTROL!$C$22, $C$13, 100%, $E$13)</f>
        <v>7.8265000000000002</v>
      </c>
      <c r="H443" s="64">
        <f>13.707* CHOOSE(CONTROL!$C$22, $C$13, 100%, $E$13)</f>
        <v>13.707000000000001</v>
      </c>
      <c r="I443" s="64">
        <f>13.7072 * CHOOSE(CONTROL!$C$22, $C$13, 100%, $E$13)</f>
        <v>13.7072</v>
      </c>
      <c r="J443" s="64">
        <f>7.8264 * CHOOSE(CONTROL!$C$22, $C$13, 100%, $E$13)</f>
        <v>7.8263999999999996</v>
      </c>
      <c r="K443" s="64">
        <f>7.8265 * CHOOSE(CONTROL!$C$22, $C$13, 100%, $E$13)</f>
        <v>7.8265000000000002</v>
      </c>
    </row>
    <row r="444" spans="1:11" ht="15">
      <c r="A444" s="13">
        <v>55154</v>
      </c>
      <c r="B444" s="63">
        <f>6.8467 * CHOOSE(CONTROL!$C$22, $C$13, 100%, $E$13)</f>
        <v>6.8467000000000002</v>
      </c>
      <c r="C444" s="63">
        <f>6.8467 * CHOOSE(CONTROL!$C$22, $C$13, 100%, $E$13)</f>
        <v>6.8467000000000002</v>
      </c>
      <c r="D444" s="63">
        <f>6.8596 * CHOOSE(CONTROL!$C$22, $C$13, 100%, $E$13)</f>
        <v>6.8596000000000004</v>
      </c>
      <c r="E444" s="64">
        <f>7.9289 * CHOOSE(CONTROL!$C$22, $C$13, 100%, $E$13)</f>
        <v>7.9288999999999996</v>
      </c>
      <c r="F444" s="64">
        <f>7.9289 * CHOOSE(CONTROL!$C$22, $C$13, 100%, $E$13)</f>
        <v>7.9288999999999996</v>
      </c>
      <c r="G444" s="64">
        <f>7.929 * CHOOSE(CONTROL!$C$22, $C$13, 100%, $E$13)</f>
        <v>7.9290000000000003</v>
      </c>
      <c r="H444" s="64">
        <f>13.7355* CHOOSE(CONTROL!$C$22, $C$13, 100%, $E$13)</f>
        <v>13.7355</v>
      </c>
      <c r="I444" s="64">
        <f>13.7357 * CHOOSE(CONTROL!$C$22, $C$13, 100%, $E$13)</f>
        <v>13.7357</v>
      </c>
      <c r="J444" s="64">
        <f>7.9289 * CHOOSE(CONTROL!$C$22, $C$13, 100%, $E$13)</f>
        <v>7.9288999999999996</v>
      </c>
      <c r="K444" s="64">
        <f>7.929 * CHOOSE(CONTROL!$C$22, $C$13, 100%, $E$13)</f>
        <v>7.9290000000000003</v>
      </c>
    </row>
    <row r="445" spans="1:11" ht="15">
      <c r="A445" s="13">
        <v>55185</v>
      </c>
      <c r="B445" s="63">
        <f>6.8437 * CHOOSE(CONTROL!$C$22, $C$13, 100%, $E$13)</f>
        <v>6.8437000000000001</v>
      </c>
      <c r="C445" s="63">
        <f>6.8437 * CHOOSE(CONTROL!$C$22, $C$13, 100%, $E$13)</f>
        <v>6.8437000000000001</v>
      </c>
      <c r="D445" s="63">
        <f>6.8565 * CHOOSE(CONTROL!$C$22, $C$13, 100%, $E$13)</f>
        <v>6.8564999999999996</v>
      </c>
      <c r="E445" s="64">
        <f>7.8401 * CHOOSE(CONTROL!$C$22, $C$13, 100%, $E$13)</f>
        <v>7.8400999999999996</v>
      </c>
      <c r="F445" s="64">
        <f>7.8401 * CHOOSE(CONTROL!$C$22, $C$13, 100%, $E$13)</f>
        <v>7.8400999999999996</v>
      </c>
      <c r="G445" s="64">
        <f>7.8403 * CHOOSE(CONTROL!$C$22, $C$13, 100%, $E$13)</f>
        <v>7.8403</v>
      </c>
      <c r="H445" s="64">
        <f>13.7642* CHOOSE(CONTROL!$C$22, $C$13, 100%, $E$13)</f>
        <v>13.764200000000001</v>
      </c>
      <c r="I445" s="64">
        <f>13.7643 * CHOOSE(CONTROL!$C$22, $C$13, 100%, $E$13)</f>
        <v>13.7643</v>
      </c>
      <c r="J445" s="64">
        <f>7.8401 * CHOOSE(CONTROL!$C$22, $C$13, 100%, $E$13)</f>
        <v>7.8400999999999996</v>
      </c>
      <c r="K445" s="64">
        <f>7.8403 * CHOOSE(CONTROL!$C$22, $C$13, 100%, $E$13)</f>
        <v>7.8403</v>
      </c>
    </row>
    <row r="446" spans="1:11" ht="15">
      <c r="A446" s="13">
        <v>55213</v>
      </c>
      <c r="B446" s="63">
        <f>6.8406 * CHOOSE(CONTROL!$C$22, $C$13, 100%, $E$13)</f>
        <v>6.8406000000000002</v>
      </c>
      <c r="C446" s="63">
        <f>6.8406 * CHOOSE(CONTROL!$C$22, $C$13, 100%, $E$13)</f>
        <v>6.8406000000000002</v>
      </c>
      <c r="D446" s="63">
        <f>6.8535 * CHOOSE(CONTROL!$C$22, $C$13, 100%, $E$13)</f>
        <v>6.8535000000000004</v>
      </c>
      <c r="E446" s="64">
        <f>7.9063 * CHOOSE(CONTROL!$C$22, $C$13, 100%, $E$13)</f>
        <v>7.9062999999999999</v>
      </c>
      <c r="F446" s="64">
        <f>7.9063 * CHOOSE(CONTROL!$C$22, $C$13, 100%, $E$13)</f>
        <v>7.9062999999999999</v>
      </c>
      <c r="G446" s="64">
        <f>7.9065 * CHOOSE(CONTROL!$C$22, $C$13, 100%, $E$13)</f>
        <v>7.9065000000000003</v>
      </c>
      <c r="H446" s="64">
        <f>13.7928* CHOOSE(CONTROL!$C$22, $C$13, 100%, $E$13)</f>
        <v>13.7928</v>
      </c>
      <c r="I446" s="64">
        <f>13.793 * CHOOSE(CONTROL!$C$22, $C$13, 100%, $E$13)</f>
        <v>13.792999999999999</v>
      </c>
      <c r="J446" s="64">
        <f>7.9063 * CHOOSE(CONTROL!$C$22, $C$13, 100%, $E$13)</f>
        <v>7.9062999999999999</v>
      </c>
      <c r="K446" s="64">
        <f>7.9065 * CHOOSE(CONTROL!$C$22, $C$13, 100%, $E$13)</f>
        <v>7.9065000000000003</v>
      </c>
    </row>
    <row r="447" spans="1:11" ht="15">
      <c r="A447" s="13">
        <v>55244</v>
      </c>
      <c r="B447" s="63">
        <f>6.8408 * CHOOSE(CONTROL!$C$22, $C$13, 100%, $E$13)</f>
        <v>6.8407999999999998</v>
      </c>
      <c r="C447" s="63">
        <f>6.8408 * CHOOSE(CONTROL!$C$22, $C$13, 100%, $E$13)</f>
        <v>6.8407999999999998</v>
      </c>
      <c r="D447" s="63">
        <f>6.8537 * CHOOSE(CONTROL!$C$22, $C$13, 100%, $E$13)</f>
        <v>6.8536999999999999</v>
      </c>
      <c r="E447" s="64">
        <f>7.9754 * CHOOSE(CONTROL!$C$22, $C$13, 100%, $E$13)</f>
        <v>7.9753999999999996</v>
      </c>
      <c r="F447" s="64">
        <f>7.9754 * CHOOSE(CONTROL!$C$22, $C$13, 100%, $E$13)</f>
        <v>7.9753999999999996</v>
      </c>
      <c r="G447" s="64">
        <f>7.9756 * CHOOSE(CONTROL!$C$22, $C$13, 100%, $E$13)</f>
        <v>7.9756</v>
      </c>
      <c r="H447" s="64">
        <f>13.8216* CHOOSE(CONTROL!$C$22, $C$13, 100%, $E$13)</f>
        <v>13.8216</v>
      </c>
      <c r="I447" s="64">
        <f>13.8217 * CHOOSE(CONTROL!$C$22, $C$13, 100%, $E$13)</f>
        <v>13.8217</v>
      </c>
      <c r="J447" s="64">
        <f>7.9754 * CHOOSE(CONTROL!$C$22, $C$13, 100%, $E$13)</f>
        <v>7.9753999999999996</v>
      </c>
      <c r="K447" s="64">
        <f>7.9756 * CHOOSE(CONTROL!$C$22, $C$13, 100%, $E$13)</f>
        <v>7.9756</v>
      </c>
    </row>
    <row r="448" spans="1:11" ht="15">
      <c r="A448" s="13">
        <v>55274</v>
      </c>
      <c r="B448" s="63">
        <f>6.8408 * CHOOSE(CONTROL!$C$22, $C$13, 100%, $E$13)</f>
        <v>6.8407999999999998</v>
      </c>
      <c r="C448" s="63">
        <f>6.8408 * CHOOSE(CONTROL!$C$22, $C$13, 100%, $E$13)</f>
        <v>6.8407999999999998</v>
      </c>
      <c r="D448" s="63">
        <f>6.8665 * CHOOSE(CONTROL!$C$22, $C$13, 100%, $E$13)</f>
        <v>6.8665000000000003</v>
      </c>
      <c r="E448" s="64">
        <f>8.0029 * CHOOSE(CONTROL!$C$22, $C$13, 100%, $E$13)</f>
        <v>8.0029000000000003</v>
      </c>
      <c r="F448" s="64">
        <f>8.0029 * CHOOSE(CONTROL!$C$22, $C$13, 100%, $E$13)</f>
        <v>8.0029000000000003</v>
      </c>
      <c r="G448" s="64">
        <f>8.0045 * CHOOSE(CONTROL!$C$22, $C$13, 100%, $E$13)</f>
        <v>8.0045000000000002</v>
      </c>
      <c r="H448" s="64">
        <f>13.8504* CHOOSE(CONTROL!$C$22, $C$13, 100%, $E$13)</f>
        <v>13.8504</v>
      </c>
      <c r="I448" s="64">
        <f>13.852 * CHOOSE(CONTROL!$C$22, $C$13, 100%, $E$13)</f>
        <v>13.852</v>
      </c>
      <c r="J448" s="64">
        <f>8.0029 * CHOOSE(CONTROL!$C$22, $C$13, 100%, $E$13)</f>
        <v>8.0029000000000003</v>
      </c>
      <c r="K448" s="64">
        <f>8.0045 * CHOOSE(CONTROL!$C$22, $C$13, 100%, $E$13)</f>
        <v>8.0045000000000002</v>
      </c>
    </row>
    <row r="449" spans="1:11" ht="15">
      <c r="A449" s="13">
        <v>55305</v>
      </c>
      <c r="B449" s="63">
        <f>6.8469 * CHOOSE(CONTROL!$C$22, $C$13, 100%, $E$13)</f>
        <v>6.8468999999999998</v>
      </c>
      <c r="C449" s="63">
        <f>6.8469 * CHOOSE(CONTROL!$C$22, $C$13, 100%, $E$13)</f>
        <v>6.8468999999999998</v>
      </c>
      <c r="D449" s="63">
        <f>6.8726 * CHOOSE(CONTROL!$C$22, $C$13, 100%, $E$13)</f>
        <v>6.8726000000000003</v>
      </c>
      <c r="E449" s="64">
        <f>7.9796 * CHOOSE(CONTROL!$C$22, $C$13, 100%, $E$13)</f>
        <v>7.9795999999999996</v>
      </c>
      <c r="F449" s="64">
        <f>7.9796 * CHOOSE(CONTROL!$C$22, $C$13, 100%, $E$13)</f>
        <v>7.9795999999999996</v>
      </c>
      <c r="G449" s="64">
        <f>7.9813 * CHOOSE(CONTROL!$C$22, $C$13, 100%, $E$13)</f>
        <v>7.9813000000000001</v>
      </c>
      <c r="H449" s="64">
        <f>13.8792* CHOOSE(CONTROL!$C$22, $C$13, 100%, $E$13)</f>
        <v>13.879200000000001</v>
      </c>
      <c r="I449" s="64">
        <f>13.8809 * CHOOSE(CONTROL!$C$22, $C$13, 100%, $E$13)</f>
        <v>13.8809</v>
      </c>
      <c r="J449" s="64">
        <f>7.9796 * CHOOSE(CONTROL!$C$22, $C$13, 100%, $E$13)</f>
        <v>7.9795999999999996</v>
      </c>
      <c r="K449" s="64">
        <f>7.9813 * CHOOSE(CONTROL!$C$22, $C$13, 100%, $E$13)</f>
        <v>7.9813000000000001</v>
      </c>
    </row>
    <row r="450" spans="1:11" ht="15">
      <c r="A450" s="13">
        <v>55335</v>
      </c>
      <c r="B450" s="63">
        <f>6.9594 * CHOOSE(CONTROL!$C$22, $C$13, 100%, $E$13)</f>
        <v>6.9593999999999996</v>
      </c>
      <c r="C450" s="63">
        <f>6.9594 * CHOOSE(CONTROL!$C$22, $C$13, 100%, $E$13)</f>
        <v>6.9593999999999996</v>
      </c>
      <c r="D450" s="63">
        <f>6.9851 * CHOOSE(CONTROL!$C$22, $C$13, 100%, $E$13)</f>
        <v>6.9851000000000001</v>
      </c>
      <c r="E450" s="64">
        <f>8.1367 * CHOOSE(CONTROL!$C$22, $C$13, 100%, $E$13)</f>
        <v>8.1366999999999994</v>
      </c>
      <c r="F450" s="64">
        <f>8.1367 * CHOOSE(CONTROL!$C$22, $C$13, 100%, $E$13)</f>
        <v>8.1366999999999994</v>
      </c>
      <c r="G450" s="64">
        <f>8.1384 * CHOOSE(CONTROL!$C$22, $C$13, 100%, $E$13)</f>
        <v>8.1384000000000007</v>
      </c>
      <c r="H450" s="64">
        <f>13.9081* CHOOSE(CONTROL!$C$22, $C$13, 100%, $E$13)</f>
        <v>13.908099999999999</v>
      </c>
      <c r="I450" s="64">
        <f>13.9098 * CHOOSE(CONTROL!$C$22, $C$13, 100%, $E$13)</f>
        <v>13.909800000000001</v>
      </c>
      <c r="J450" s="64">
        <f>8.1367 * CHOOSE(CONTROL!$C$22, $C$13, 100%, $E$13)</f>
        <v>8.1366999999999994</v>
      </c>
      <c r="K450" s="64">
        <f>8.1384 * CHOOSE(CONTROL!$C$22, $C$13, 100%, $E$13)</f>
        <v>8.1384000000000007</v>
      </c>
    </row>
    <row r="451" spans="1:11" ht="15">
      <c r="A451" s="13">
        <v>55366</v>
      </c>
      <c r="B451" s="63">
        <f>6.9661 * CHOOSE(CONTROL!$C$22, $C$13, 100%, $E$13)</f>
        <v>6.9661</v>
      </c>
      <c r="C451" s="63">
        <f>6.9661 * CHOOSE(CONTROL!$C$22, $C$13, 100%, $E$13)</f>
        <v>6.9661</v>
      </c>
      <c r="D451" s="63">
        <f>6.9918 * CHOOSE(CONTROL!$C$22, $C$13, 100%, $E$13)</f>
        <v>6.9917999999999996</v>
      </c>
      <c r="E451" s="64">
        <f>8.0589 * CHOOSE(CONTROL!$C$22, $C$13, 100%, $E$13)</f>
        <v>8.0588999999999995</v>
      </c>
      <c r="F451" s="64">
        <f>8.0589 * CHOOSE(CONTROL!$C$22, $C$13, 100%, $E$13)</f>
        <v>8.0588999999999995</v>
      </c>
      <c r="G451" s="64">
        <f>8.0605 * CHOOSE(CONTROL!$C$22, $C$13, 100%, $E$13)</f>
        <v>8.0604999999999993</v>
      </c>
      <c r="H451" s="64">
        <f>13.9371* CHOOSE(CONTROL!$C$22, $C$13, 100%, $E$13)</f>
        <v>13.937099999999999</v>
      </c>
      <c r="I451" s="64">
        <f>13.9387 * CHOOSE(CONTROL!$C$22, $C$13, 100%, $E$13)</f>
        <v>13.938700000000001</v>
      </c>
      <c r="J451" s="64">
        <f>8.0589 * CHOOSE(CONTROL!$C$22, $C$13, 100%, $E$13)</f>
        <v>8.0588999999999995</v>
      </c>
      <c r="K451" s="64">
        <f>8.0605 * CHOOSE(CONTROL!$C$22, $C$13, 100%, $E$13)</f>
        <v>8.0604999999999993</v>
      </c>
    </row>
    <row r="452" spans="1:11" ht="15">
      <c r="A452" s="13">
        <v>55397</v>
      </c>
      <c r="B452" s="63">
        <f>6.963 * CHOOSE(CONTROL!$C$22, $C$13, 100%, $E$13)</f>
        <v>6.9630000000000001</v>
      </c>
      <c r="C452" s="63">
        <f>6.963 * CHOOSE(CONTROL!$C$22, $C$13, 100%, $E$13)</f>
        <v>6.9630000000000001</v>
      </c>
      <c r="D452" s="63">
        <f>6.9888 * CHOOSE(CONTROL!$C$22, $C$13, 100%, $E$13)</f>
        <v>6.9888000000000003</v>
      </c>
      <c r="E452" s="64">
        <f>8.0476 * CHOOSE(CONTROL!$C$22, $C$13, 100%, $E$13)</f>
        <v>8.0475999999999992</v>
      </c>
      <c r="F452" s="64">
        <f>8.0476 * CHOOSE(CONTROL!$C$22, $C$13, 100%, $E$13)</f>
        <v>8.0475999999999992</v>
      </c>
      <c r="G452" s="64">
        <f>8.0492 * CHOOSE(CONTROL!$C$22, $C$13, 100%, $E$13)</f>
        <v>8.0492000000000008</v>
      </c>
      <c r="H452" s="64">
        <f>13.9661* CHOOSE(CONTROL!$C$22, $C$13, 100%, $E$13)</f>
        <v>13.966100000000001</v>
      </c>
      <c r="I452" s="64">
        <f>13.9678 * CHOOSE(CONTROL!$C$22, $C$13, 100%, $E$13)</f>
        <v>13.9678</v>
      </c>
      <c r="J452" s="64">
        <f>8.0476 * CHOOSE(CONTROL!$C$22, $C$13, 100%, $E$13)</f>
        <v>8.0475999999999992</v>
      </c>
      <c r="K452" s="64">
        <f>8.0492 * CHOOSE(CONTROL!$C$22, $C$13, 100%, $E$13)</f>
        <v>8.0492000000000008</v>
      </c>
    </row>
    <row r="453" spans="1:11" ht="15">
      <c r="A453" s="13">
        <v>55427</v>
      </c>
      <c r="B453" s="63">
        <f>6.9682 * CHOOSE(CONTROL!$C$22, $C$13, 100%, $E$13)</f>
        <v>6.9682000000000004</v>
      </c>
      <c r="C453" s="63">
        <f>6.9682 * CHOOSE(CONTROL!$C$22, $C$13, 100%, $E$13)</f>
        <v>6.9682000000000004</v>
      </c>
      <c r="D453" s="63">
        <f>6.9811 * CHOOSE(CONTROL!$C$22, $C$13, 100%, $E$13)</f>
        <v>6.9810999999999996</v>
      </c>
      <c r="E453" s="64">
        <f>8.0709 * CHOOSE(CONTROL!$C$22, $C$13, 100%, $E$13)</f>
        <v>8.0709</v>
      </c>
      <c r="F453" s="64">
        <f>8.0709 * CHOOSE(CONTROL!$C$22, $C$13, 100%, $E$13)</f>
        <v>8.0709</v>
      </c>
      <c r="G453" s="64">
        <f>8.071 * CHOOSE(CONTROL!$C$22, $C$13, 100%, $E$13)</f>
        <v>8.0709999999999997</v>
      </c>
      <c r="H453" s="64">
        <f>13.9952* CHOOSE(CONTROL!$C$22, $C$13, 100%, $E$13)</f>
        <v>13.995200000000001</v>
      </c>
      <c r="I453" s="64">
        <f>13.9954 * CHOOSE(CONTROL!$C$22, $C$13, 100%, $E$13)</f>
        <v>13.9954</v>
      </c>
      <c r="J453" s="64">
        <f>8.0709 * CHOOSE(CONTROL!$C$22, $C$13, 100%, $E$13)</f>
        <v>8.0709</v>
      </c>
      <c r="K453" s="64">
        <f>8.071 * CHOOSE(CONTROL!$C$22, $C$13, 100%, $E$13)</f>
        <v>8.0709999999999997</v>
      </c>
    </row>
    <row r="454" spans="1:11" ht="15">
      <c r="A454" s="13">
        <v>55458</v>
      </c>
      <c r="B454" s="63">
        <f>6.9712 * CHOOSE(CONTROL!$C$22, $C$13, 100%, $E$13)</f>
        <v>6.9711999999999996</v>
      </c>
      <c r="C454" s="63">
        <f>6.9712 * CHOOSE(CONTROL!$C$22, $C$13, 100%, $E$13)</f>
        <v>6.9711999999999996</v>
      </c>
      <c r="D454" s="63">
        <f>6.9841 * CHOOSE(CONTROL!$C$22, $C$13, 100%, $E$13)</f>
        <v>6.9840999999999998</v>
      </c>
      <c r="E454" s="64">
        <f>8.0913 * CHOOSE(CONTROL!$C$22, $C$13, 100%, $E$13)</f>
        <v>8.0913000000000004</v>
      </c>
      <c r="F454" s="64">
        <f>8.0913 * CHOOSE(CONTROL!$C$22, $C$13, 100%, $E$13)</f>
        <v>8.0913000000000004</v>
      </c>
      <c r="G454" s="64">
        <f>8.0915 * CHOOSE(CONTROL!$C$22, $C$13, 100%, $E$13)</f>
        <v>8.0914999999999999</v>
      </c>
      <c r="H454" s="64">
        <f>14.0244* CHOOSE(CONTROL!$C$22, $C$13, 100%, $E$13)</f>
        <v>14.0244</v>
      </c>
      <c r="I454" s="64">
        <f>14.0246 * CHOOSE(CONTROL!$C$22, $C$13, 100%, $E$13)</f>
        <v>14.0246</v>
      </c>
      <c r="J454" s="64">
        <f>8.0913 * CHOOSE(CONTROL!$C$22, $C$13, 100%, $E$13)</f>
        <v>8.0913000000000004</v>
      </c>
      <c r="K454" s="64">
        <f>8.0915 * CHOOSE(CONTROL!$C$22, $C$13, 100%, $E$13)</f>
        <v>8.0914999999999999</v>
      </c>
    </row>
    <row r="455" spans="1:11" ht="15">
      <c r="A455" s="13">
        <v>55488</v>
      </c>
      <c r="B455" s="63">
        <f>6.9712 * CHOOSE(CONTROL!$C$22, $C$13, 100%, $E$13)</f>
        <v>6.9711999999999996</v>
      </c>
      <c r="C455" s="63">
        <f>6.9712 * CHOOSE(CONTROL!$C$22, $C$13, 100%, $E$13)</f>
        <v>6.9711999999999996</v>
      </c>
      <c r="D455" s="63">
        <f>6.9841 * CHOOSE(CONTROL!$C$22, $C$13, 100%, $E$13)</f>
        <v>6.9840999999999998</v>
      </c>
      <c r="E455" s="64">
        <f>8.0455 * CHOOSE(CONTROL!$C$22, $C$13, 100%, $E$13)</f>
        <v>8.0455000000000005</v>
      </c>
      <c r="F455" s="64">
        <f>8.0455 * CHOOSE(CONTROL!$C$22, $C$13, 100%, $E$13)</f>
        <v>8.0455000000000005</v>
      </c>
      <c r="G455" s="64">
        <f>8.0456 * CHOOSE(CONTROL!$C$22, $C$13, 100%, $E$13)</f>
        <v>8.0456000000000003</v>
      </c>
      <c r="H455" s="64">
        <f>14.0536* CHOOSE(CONTROL!$C$22, $C$13, 100%, $E$13)</f>
        <v>14.053599999999999</v>
      </c>
      <c r="I455" s="64">
        <f>14.0538 * CHOOSE(CONTROL!$C$22, $C$13, 100%, $E$13)</f>
        <v>14.053800000000001</v>
      </c>
      <c r="J455" s="64">
        <f>8.0455 * CHOOSE(CONTROL!$C$22, $C$13, 100%, $E$13)</f>
        <v>8.0455000000000005</v>
      </c>
      <c r="K455" s="64">
        <f>8.0456 * CHOOSE(CONTROL!$C$22, $C$13, 100%, $E$13)</f>
        <v>8.0456000000000003</v>
      </c>
    </row>
    <row r="456" spans="1:11" ht="15">
      <c r="A456" s="13">
        <v>55519</v>
      </c>
      <c r="B456" s="63">
        <f>7.0336 * CHOOSE(CONTROL!$C$22, $C$13, 100%, $E$13)</f>
        <v>7.0335999999999999</v>
      </c>
      <c r="C456" s="63">
        <f>7.0336 * CHOOSE(CONTROL!$C$22, $C$13, 100%, $E$13)</f>
        <v>7.0335999999999999</v>
      </c>
      <c r="D456" s="63">
        <f>7.0464 * CHOOSE(CONTROL!$C$22, $C$13, 100%, $E$13)</f>
        <v>7.0464000000000002</v>
      </c>
      <c r="E456" s="64">
        <f>8.1507 * CHOOSE(CONTROL!$C$22, $C$13, 100%, $E$13)</f>
        <v>8.1507000000000005</v>
      </c>
      <c r="F456" s="64">
        <f>8.1507 * CHOOSE(CONTROL!$C$22, $C$13, 100%, $E$13)</f>
        <v>8.1507000000000005</v>
      </c>
      <c r="G456" s="64">
        <f>8.1509 * CHOOSE(CONTROL!$C$22, $C$13, 100%, $E$13)</f>
        <v>8.1509</v>
      </c>
      <c r="H456" s="64">
        <f>14.0829* CHOOSE(CONTROL!$C$22, $C$13, 100%, $E$13)</f>
        <v>14.0829</v>
      </c>
      <c r="I456" s="64">
        <f>14.0831 * CHOOSE(CONTROL!$C$22, $C$13, 100%, $E$13)</f>
        <v>14.0831</v>
      </c>
      <c r="J456" s="64">
        <f>8.1507 * CHOOSE(CONTROL!$C$22, $C$13, 100%, $E$13)</f>
        <v>8.1507000000000005</v>
      </c>
      <c r="K456" s="64">
        <f>8.1509 * CHOOSE(CONTROL!$C$22, $C$13, 100%, $E$13)</f>
        <v>8.1509</v>
      </c>
    </row>
    <row r="457" spans="1:11" ht="15">
      <c r="A457" s="13">
        <v>55550</v>
      </c>
      <c r="B457" s="63">
        <f>7.0305 * CHOOSE(CONTROL!$C$22, $C$13, 100%, $E$13)</f>
        <v>7.0305</v>
      </c>
      <c r="C457" s="63">
        <f>7.0305 * CHOOSE(CONTROL!$C$22, $C$13, 100%, $E$13)</f>
        <v>7.0305</v>
      </c>
      <c r="D457" s="63">
        <f>7.0434 * CHOOSE(CONTROL!$C$22, $C$13, 100%, $E$13)</f>
        <v>7.0434000000000001</v>
      </c>
      <c r="E457" s="64">
        <f>8.0596 * CHOOSE(CONTROL!$C$22, $C$13, 100%, $E$13)</f>
        <v>8.0595999999999997</v>
      </c>
      <c r="F457" s="64">
        <f>8.0596 * CHOOSE(CONTROL!$C$22, $C$13, 100%, $E$13)</f>
        <v>8.0595999999999997</v>
      </c>
      <c r="G457" s="64">
        <f>8.0598 * CHOOSE(CONTROL!$C$22, $C$13, 100%, $E$13)</f>
        <v>8.0597999999999992</v>
      </c>
      <c r="H457" s="64">
        <f>14.1122* CHOOSE(CONTROL!$C$22, $C$13, 100%, $E$13)</f>
        <v>14.1122</v>
      </c>
      <c r="I457" s="64">
        <f>14.1124 * CHOOSE(CONTROL!$C$22, $C$13, 100%, $E$13)</f>
        <v>14.112399999999999</v>
      </c>
      <c r="J457" s="64">
        <f>8.0596 * CHOOSE(CONTROL!$C$22, $C$13, 100%, $E$13)</f>
        <v>8.0595999999999997</v>
      </c>
      <c r="K457" s="64">
        <f>8.0598 * CHOOSE(CONTROL!$C$22, $C$13, 100%, $E$13)</f>
        <v>8.0597999999999992</v>
      </c>
    </row>
    <row r="458" spans="1:11" ht="15">
      <c r="A458" s="13">
        <v>55579</v>
      </c>
      <c r="B458" s="63">
        <f>7.0275 * CHOOSE(CONTROL!$C$22, $C$13, 100%, $E$13)</f>
        <v>7.0274999999999999</v>
      </c>
      <c r="C458" s="63">
        <f>7.0275 * CHOOSE(CONTROL!$C$22, $C$13, 100%, $E$13)</f>
        <v>7.0274999999999999</v>
      </c>
      <c r="D458" s="63">
        <f>7.0403 * CHOOSE(CONTROL!$C$22, $C$13, 100%, $E$13)</f>
        <v>7.0403000000000002</v>
      </c>
      <c r="E458" s="64">
        <f>8.1277 * CHOOSE(CONTROL!$C$22, $C$13, 100%, $E$13)</f>
        <v>8.1277000000000008</v>
      </c>
      <c r="F458" s="64">
        <f>8.1277 * CHOOSE(CONTROL!$C$22, $C$13, 100%, $E$13)</f>
        <v>8.1277000000000008</v>
      </c>
      <c r="G458" s="64">
        <f>8.1278 * CHOOSE(CONTROL!$C$22, $C$13, 100%, $E$13)</f>
        <v>8.1278000000000006</v>
      </c>
      <c r="H458" s="64">
        <f>14.1416* CHOOSE(CONTROL!$C$22, $C$13, 100%, $E$13)</f>
        <v>14.1416</v>
      </c>
      <c r="I458" s="64">
        <f>14.1418 * CHOOSE(CONTROL!$C$22, $C$13, 100%, $E$13)</f>
        <v>14.1418</v>
      </c>
      <c r="J458" s="64">
        <f>8.1277 * CHOOSE(CONTROL!$C$22, $C$13, 100%, $E$13)</f>
        <v>8.1277000000000008</v>
      </c>
      <c r="K458" s="64">
        <f>8.1278 * CHOOSE(CONTROL!$C$22, $C$13, 100%, $E$13)</f>
        <v>8.1278000000000006</v>
      </c>
    </row>
    <row r="459" spans="1:11" ht="15">
      <c r="A459" s="13">
        <v>55610</v>
      </c>
      <c r="B459" s="63">
        <f>7.0278 * CHOOSE(CONTROL!$C$22, $C$13, 100%, $E$13)</f>
        <v>7.0278</v>
      </c>
      <c r="C459" s="63">
        <f>7.0278 * CHOOSE(CONTROL!$C$22, $C$13, 100%, $E$13)</f>
        <v>7.0278</v>
      </c>
      <c r="D459" s="63">
        <f>7.0407 * CHOOSE(CONTROL!$C$22, $C$13, 100%, $E$13)</f>
        <v>7.0407000000000002</v>
      </c>
      <c r="E459" s="64">
        <f>8.1988 * CHOOSE(CONTROL!$C$22, $C$13, 100%, $E$13)</f>
        <v>8.1988000000000003</v>
      </c>
      <c r="F459" s="64">
        <f>8.1988 * CHOOSE(CONTROL!$C$22, $C$13, 100%, $E$13)</f>
        <v>8.1988000000000003</v>
      </c>
      <c r="G459" s="64">
        <f>8.199 * CHOOSE(CONTROL!$C$22, $C$13, 100%, $E$13)</f>
        <v>8.1989999999999998</v>
      </c>
      <c r="H459" s="64">
        <f>14.1711* CHOOSE(CONTROL!$C$22, $C$13, 100%, $E$13)</f>
        <v>14.171099999999999</v>
      </c>
      <c r="I459" s="64">
        <f>14.1713 * CHOOSE(CONTROL!$C$22, $C$13, 100%, $E$13)</f>
        <v>14.1713</v>
      </c>
      <c r="J459" s="64">
        <f>8.1988 * CHOOSE(CONTROL!$C$22, $C$13, 100%, $E$13)</f>
        <v>8.1988000000000003</v>
      </c>
      <c r="K459" s="64">
        <f>8.199 * CHOOSE(CONTROL!$C$22, $C$13, 100%, $E$13)</f>
        <v>8.1989999999999998</v>
      </c>
    </row>
    <row r="460" spans="1:11" ht="15">
      <c r="A460" s="13">
        <v>55640</v>
      </c>
      <c r="B460" s="63">
        <f>7.0278 * CHOOSE(CONTROL!$C$22, $C$13, 100%, $E$13)</f>
        <v>7.0278</v>
      </c>
      <c r="C460" s="63">
        <f>7.0278 * CHOOSE(CONTROL!$C$22, $C$13, 100%, $E$13)</f>
        <v>7.0278</v>
      </c>
      <c r="D460" s="63">
        <f>7.0536 * CHOOSE(CONTROL!$C$22, $C$13, 100%, $E$13)</f>
        <v>7.0536000000000003</v>
      </c>
      <c r="E460" s="64">
        <f>8.2271 * CHOOSE(CONTROL!$C$22, $C$13, 100%, $E$13)</f>
        <v>8.2271000000000001</v>
      </c>
      <c r="F460" s="64">
        <f>8.2271 * CHOOSE(CONTROL!$C$22, $C$13, 100%, $E$13)</f>
        <v>8.2271000000000001</v>
      </c>
      <c r="G460" s="64">
        <f>8.2287 * CHOOSE(CONTROL!$C$22, $C$13, 100%, $E$13)</f>
        <v>8.2286999999999999</v>
      </c>
      <c r="H460" s="64">
        <f>14.2006* CHOOSE(CONTROL!$C$22, $C$13, 100%, $E$13)</f>
        <v>14.2006</v>
      </c>
      <c r="I460" s="64">
        <f>14.2023 * CHOOSE(CONTROL!$C$22, $C$13, 100%, $E$13)</f>
        <v>14.202299999999999</v>
      </c>
      <c r="J460" s="64">
        <f>8.2271 * CHOOSE(CONTROL!$C$22, $C$13, 100%, $E$13)</f>
        <v>8.2271000000000001</v>
      </c>
      <c r="K460" s="64">
        <f>8.2287 * CHOOSE(CONTROL!$C$22, $C$13, 100%, $E$13)</f>
        <v>8.2286999999999999</v>
      </c>
    </row>
    <row r="461" spans="1:11" ht="15">
      <c r="A461" s="13">
        <v>55671</v>
      </c>
      <c r="B461" s="63">
        <f>7.0339 * CHOOSE(CONTROL!$C$22, $C$13, 100%, $E$13)</f>
        <v>7.0339</v>
      </c>
      <c r="C461" s="63">
        <f>7.0339 * CHOOSE(CONTROL!$C$22, $C$13, 100%, $E$13)</f>
        <v>7.0339</v>
      </c>
      <c r="D461" s="63">
        <f>7.0596 * CHOOSE(CONTROL!$C$22, $C$13, 100%, $E$13)</f>
        <v>7.0595999999999997</v>
      </c>
      <c r="E461" s="64">
        <f>8.203 * CHOOSE(CONTROL!$C$22, $C$13, 100%, $E$13)</f>
        <v>8.2029999999999994</v>
      </c>
      <c r="F461" s="64">
        <f>8.203 * CHOOSE(CONTROL!$C$22, $C$13, 100%, $E$13)</f>
        <v>8.2029999999999994</v>
      </c>
      <c r="G461" s="64">
        <f>8.2047 * CHOOSE(CONTROL!$C$22, $C$13, 100%, $E$13)</f>
        <v>8.2047000000000008</v>
      </c>
      <c r="H461" s="64">
        <f>14.2302* CHOOSE(CONTROL!$C$22, $C$13, 100%, $E$13)</f>
        <v>14.2302</v>
      </c>
      <c r="I461" s="64">
        <f>14.2318 * CHOOSE(CONTROL!$C$22, $C$13, 100%, $E$13)</f>
        <v>14.2318</v>
      </c>
      <c r="J461" s="64">
        <f>8.203 * CHOOSE(CONTROL!$C$22, $C$13, 100%, $E$13)</f>
        <v>8.2029999999999994</v>
      </c>
      <c r="K461" s="64">
        <f>8.2047 * CHOOSE(CONTROL!$C$22, $C$13, 100%, $E$13)</f>
        <v>8.2047000000000008</v>
      </c>
    </row>
    <row r="462" spans="1:11" ht="15">
      <c r="A462" s="13">
        <v>55701</v>
      </c>
      <c r="B462" s="63">
        <f>7.1492 * CHOOSE(CONTROL!$C$22, $C$13, 100%, $E$13)</f>
        <v>7.1492000000000004</v>
      </c>
      <c r="C462" s="63">
        <f>7.1492 * CHOOSE(CONTROL!$C$22, $C$13, 100%, $E$13)</f>
        <v>7.1492000000000004</v>
      </c>
      <c r="D462" s="63">
        <f>7.1749 * CHOOSE(CONTROL!$C$22, $C$13, 100%, $E$13)</f>
        <v>7.1749000000000001</v>
      </c>
      <c r="E462" s="64">
        <f>8.3643 * CHOOSE(CONTROL!$C$22, $C$13, 100%, $E$13)</f>
        <v>8.3643000000000001</v>
      </c>
      <c r="F462" s="64">
        <f>8.3643 * CHOOSE(CONTROL!$C$22, $C$13, 100%, $E$13)</f>
        <v>8.3643000000000001</v>
      </c>
      <c r="G462" s="64">
        <f>8.3659 * CHOOSE(CONTROL!$C$22, $C$13, 100%, $E$13)</f>
        <v>8.3658999999999999</v>
      </c>
      <c r="H462" s="64">
        <f>14.2598* CHOOSE(CONTROL!$C$22, $C$13, 100%, $E$13)</f>
        <v>14.2598</v>
      </c>
      <c r="I462" s="64">
        <f>14.2615 * CHOOSE(CONTROL!$C$22, $C$13, 100%, $E$13)</f>
        <v>14.2615</v>
      </c>
      <c r="J462" s="64">
        <f>8.3643 * CHOOSE(CONTROL!$C$22, $C$13, 100%, $E$13)</f>
        <v>8.3643000000000001</v>
      </c>
      <c r="K462" s="64">
        <f>8.3659 * CHOOSE(CONTROL!$C$22, $C$13, 100%, $E$13)</f>
        <v>8.3658999999999999</v>
      </c>
    </row>
    <row r="463" spans="1:11" ht="15">
      <c r="A463" s="13">
        <v>55732</v>
      </c>
      <c r="B463" s="63">
        <f>7.1559 * CHOOSE(CONTROL!$C$22, $C$13, 100%, $E$13)</f>
        <v>7.1558999999999999</v>
      </c>
      <c r="C463" s="63">
        <f>7.1559 * CHOOSE(CONTROL!$C$22, $C$13, 100%, $E$13)</f>
        <v>7.1558999999999999</v>
      </c>
      <c r="D463" s="63">
        <f>7.1816 * CHOOSE(CONTROL!$C$22, $C$13, 100%, $E$13)</f>
        <v>7.1816000000000004</v>
      </c>
      <c r="E463" s="64">
        <f>8.2841 * CHOOSE(CONTROL!$C$22, $C$13, 100%, $E$13)</f>
        <v>8.2841000000000005</v>
      </c>
      <c r="F463" s="64">
        <f>8.2841 * CHOOSE(CONTROL!$C$22, $C$13, 100%, $E$13)</f>
        <v>8.2841000000000005</v>
      </c>
      <c r="G463" s="64">
        <f>8.2858 * CHOOSE(CONTROL!$C$22, $C$13, 100%, $E$13)</f>
        <v>8.2858000000000001</v>
      </c>
      <c r="H463" s="64">
        <f>14.2896* CHOOSE(CONTROL!$C$22, $C$13, 100%, $E$13)</f>
        <v>14.2896</v>
      </c>
      <c r="I463" s="64">
        <f>14.2912 * CHOOSE(CONTROL!$C$22, $C$13, 100%, $E$13)</f>
        <v>14.2912</v>
      </c>
      <c r="J463" s="64">
        <f>8.2841 * CHOOSE(CONTROL!$C$22, $C$13, 100%, $E$13)</f>
        <v>8.2841000000000005</v>
      </c>
      <c r="K463" s="64">
        <f>8.2858 * CHOOSE(CONTROL!$C$22, $C$13, 100%, $E$13)</f>
        <v>8.2858000000000001</v>
      </c>
    </row>
    <row r="464" spans="1:11" ht="15">
      <c r="A464" s="13">
        <v>55763</v>
      </c>
      <c r="B464" s="63">
        <f>7.1528 * CHOOSE(CONTROL!$C$22, $C$13, 100%, $E$13)</f>
        <v>7.1528</v>
      </c>
      <c r="C464" s="63">
        <f>7.1528 * CHOOSE(CONTROL!$C$22, $C$13, 100%, $E$13)</f>
        <v>7.1528</v>
      </c>
      <c r="D464" s="63">
        <f>7.1786 * CHOOSE(CONTROL!$C$22, $C$13, 100%, $E$13)</f>
        <v>7.1786000000000003</v>
      </c>
      <c r="E464" s="64">
        <f>8.2726 * CHOOSE(CONTROL!$C$22, $C$13, 100%, $E$13)</f>
        <v>8.2726000000000006</v>
      </c>
      <c r="F464" s="64">
        <f>8.2726 * CHOOSE(CONTROL!$C$22, $C$13, 100%, $E$13)</f>
        <v>8.2726000000000006</v>
      </c>
      <c r="G464" s="64">
        <f>8.2742 * CHOOSE(CONTROL!$C$22, $C$13, 100%, $E$13)</f>
        <v>8.2742000000000004</v>
      </c>
      <c r="H464" s="64">
        <f>14.3193* CHOOSE(CONTROL!$C$22, $C$13, 100%, $E$13)</f>
        <v>14.3193</v>
      </c>
      <c r="I464" s="64">
        <f>14.321 * CHOOSE(CONTROL!$C$22, $C$13, 100%, $E$13)</f>
        <v>14.321</v>
      </c>
      <c r="J464" s="64">
        <f>8.2726 * CHOOSE(CONTROL!$C$22, $C$13, 100%, $E$13)</f>
        <v>8.2726000000000006</v>
      </c>
      <c r="K464" s="64">
        <f>8.2742 * CHOOSE(CONTROL!$C$22, $C$13, 100%, $E$13)</f>
        <v>8.2742000000000004</v>
      </c>
    </row>
    <row r="465" spans="1:11" ht="15">
      <c r="A465" s="13">
        <v>55793</v>
      </c>
      <c r="B465" s="63">
        <f>7.1586 * CHOOSE(CONTROL!$C$22, $C$13, 100%, $E$13)</f>
        <v>7.1585999999999999</v>
      </c>
      <c r="C465" s="63">
        <f>7.1586 * CHOOSE(CONTROL!$C$22, $C$13, 100%, $E$13)</f>
        <v>7.1585999999999999</v>
      </c>
      <c r="D465" s="63">
        <f>7.1715 * CHOOSE(CONTROL!$C$22, $C$13, 100%, $E$13)</f>
        <v>7.1715</v>
      </c>
      <c r="E465" s="64">
        <f>8.2969 * CHOOSE(CONTROL!$C$22, $C$13, 100%, $E$13)</f>
        <v>8.2969000000000008</v>
      </c>
      <c r="F465" s="64">
        <f>8.2969 * CHOOSE(CONTROL!$C$22, $C$13, 100%, $E$13)</f>
        <v>8.2969000000000008</v>
      </c>
      <c r="G465" s="64">
        <f>8.297 * CHOOSE(CONTROL!$C$22, $C$13, 100%, $E$13)</f>
        <v>8.2970000000000006</v>
      </c>
      <c r="H465" s="64">
        <f>14.3492* CHOOSE(CONTROL!$C$22, $C$13, 100%, $E$13)</f>
        <v>14.3492</v>
      </c>
      <c r="I465" s="64">
        <f>14.3493 * CHOOSE(CONTROL!$C$22, $C$13, 100%, $E$13)</f>
        <v>14.349299999999999</v>
      </c>
      <c r="J465" s="64">
        <f>8.2969 * CHOOSE(CONTROL!$C$22, $C$13, 100%, $E$13)</f>
        <v>8.2969000000000008</v>
      </c>
      <c r="K465" s="64">
        <f>8.297 * CHOOSE(CONTROL!$C$22, $C$13, 100%, $E$13)</f>
        <v>8.2970000000000006</v>
      </c>
    </row>
    <row r="466" spans="1:11" ht="15">
      <c r="A466" s="13">
        <v>55824</v>
      </c>
      <c r="B466" s="63">
        <f>7.1616 * CHOOSE(CONTROL!$C$22, $C$13, 100%, $E$13)</f>
        <v>7.1616</v>
      </c>
      <c r="C466" s="63">
        <f>7.1616 * CHOOSE(CONTROL!$C$22, $C$13, 100%, $E$13)</f>
        <v>7.1616</v>
      </c>
      <c r="D466" s="63">
        <f>7.1745 * CHOOSE(CONTROL!$C$22, $C$13, 100%, $E$13)</f>
        <v>7.1745000000000001</v>
      </c>
      <c r="E466" s="64">
        <f>8.3178 * CHOOSE(CONTROL!$C$22, $C$13, 100%, $E$13)</f>
        <v>8.3178000000000001</v>
      </c>
      <c r="F466" s="64">
        <f>8.3178 * CHOOSE(CONTROL!$C$22, $C$13, 100%, $E$13)</f>
        <v>8.3178000000000001</v>
      </c>
      <c r="G466" s="64">
        <f>8.318 * CHOOSE(CONTROL!$C$22, $C$13, 100%, $E$13)</f>
        <v>8.3179999999999996</v>
      </c>
      <c r="H466" s="64">
        <f>14.3791* CHOOSE(CONTROL!$C$22, $C$13, 100%, $E$13)</f>
        <v>14.379099999999999</v>
      </c>
      <c r="I466" s="64">
        <f>14.3792 * CHOOSE(CONTROL!$C$22, $C$13, 100%, $E$13)</f>
        <v>14.379200000000001</v>
      </c>
      <c r="J466" s="64">
        <f>8.3178 * CHOOSE(CONTROL!$C$22, $C$13, 100%, $E$13)</f>
        <v>8.3178000000000001</v>
      </c>
      <c r="K466" s="64">
        <f>8.318 * CHOOSE(CONTROL!$C$22, $C$13, 100%, $E$13)</f>
        <v>8.3179999999999996</v>
      </c>
    </row>
    <row r="467" spans="1:11" ht="15">
      <c r="A467" s="13">
        <v>55854</v>
      </c>
      <c r="B467" s="63">
        <f>7.1616 * CHOOSE(CONTROL!$C$22, $C$13, 100%, $E$13)</f>
        <v>7.1616</v>
      </c>
      <c r="C467" s="63">
        <f>7.1616 * CHOOSE(CONTROL!$C$22, $C$13, 100%, $E$13)</f>
        <v>7.1616</v>
      </c>
      <c r="D467" s="63">
        <f>7.1745 * CHOOSE(CONTROL!$C$22, $C$13, 100%, $E$13)</f>
        <v>7.1745000000000001</v>
      </c>
      <c r="E467" s="64">
        <f>8.2707 * CHOOSE(CONTROL!$C$22, $C$13, 100%, $E$13)</f>
        <v>8.2706999999999997</v>
      </c>
      <c r="F467" s="64">
        <f>8.2707 * CHOOSE(CONTROL!$C$22, $C$13, 100%, $E$13)</f>
        <v>8.2706999999999997</v>
      </c>
      <c r="G467" s="64">
        <f>8.2709 * CHOOSE(CONTROL!$C$22, $C$13, 100%, $E$13)</f>
        <v>8.2708999999999993</v>
      </c>
      <c r="H467" s="64">
        <f>14.409* CHOOSE(CONTROL!$C$22, $C$13, 100%, $E$13)</f>
        <v>14.409000000000001</v>
      </c>
      <c r="I467" s="64">
        <f>14.4092 * CHOOSE(CONTROL!$C$22, $C$13, 100%, $E$13)</f>
        <v>14.4092</v>
      </c>
      <c r="J467" s="64">
        <f>8.2707 * CHOOSE(CONTROL!$C$22, $C$13, 100%, $E$13)</f>
        <v>8.2706999999999997</v>
      </c>
      <c r="K467" s="64">
        <f>8.2709 * CHOOSE(CONTROL!$C$22, $C$13, 100%, $E$13)</f>
        <v>8.2708999999999993</v>
      </c>
    </row>
    <row r="468" spans="1:11" ht="15">
      <c r="A468" s="13">
        <v>55885</v>
      </c>
      <c r="B468" s="63">
        <f>7.2256 * CHOOSE(CONTROL!$C$22, $C$13, 100%, $E$13)</f>
        <v>7.2256</v>
      </c>
      <c r="C468" s="63">
        <f>7.2256 * CHOOSE(CONTROL!$C$22, $C$13, 100%, $E$13)</f>
        <v>7.2256</v>
      </c>
      <c r="D468" s="63">
        <f>7.2384 * CHOOSE(CONTROL!$C$22, $C$13, 100%, $E$13)</f>
        <v>7.2384000000000004</v>
      </c>
      <c r="E468" s="64">
        <f>8.3788 * CHOOSE(CONTROL!$C$22, $C$13, 100%, $E$13)</f>
        <v>8.3788</v>
      </c>
      <c r="F468" s="64">
        <f>8.3788 * CHOOSE(CONTROL!$C$22, $C$13, 100%, $E$13)</f>
        <v>8.3788</v>
      </c>
      <c r="G468" s="64">
        <f>8.379 * CHOOSE(CONTROL!$C$22, $C$13, 100%, $E$13)</f>
        <v>8.3789999999999996</v>
      </c>
      <c r="H468" s="64">
        <f>14.439* CHOOSE(CONTROL!$C$22, $C$13, 100%, $E$13)</f>
        <v>14.439</v>
      </c>
      <c r="I468" s="64">
        <f>14.4392 * CHOOSE(CONTROL!$C$22, $C$13, 100%, $E$13)</f>
        <v>14.4392</v>
      </c>
      <c r="J468" s="64">
        <f>8.3788 * CHOOSE(CONTROL!$C$22, $C$13, 100%, $E$13)</f>
        <v>8.3788</v>
      </c>
      <c r="K468" s="64">
        <f>8.379 * CHOOSE(CONTROL!$C$22, $C$13, 100%, $E$13)</f>
        <v>8.3789999999999996</v>
      </c>
    </row>
    <row r="469" spans="1:11" ht="15">
      <c r="A469" s="13">
        <v>55916</v>
      </c>
      <c r="B469" s="63">
        <f>7.2225 * CHOOSE(CONTROL!$C$22, $C$13, 100%, $E$13)</f>
        <v>7.2225000000000001</v>
      </c>
      <c r="C469" s="63">
        <f>7.2225 * CHOOSE(CONTROL!$C$22, $C$13, 100%, $E$13)</f>
        <v>7.2225000000000001</v>
      </c>
      <c r="D469" s="63">
        <f>7.2354 * CHOOSE(CONTROL!$C$22, $C$13, 100%, $E$13)</f>
        <v>7.2354000000000003</v>
      </c>
      <c r="E469" s="64">
        <f>8.2852 * CHOOSE(CONTROL!$C$22, $C$13, 100%, $E$13)</f>
        <v>8.2851999999999997</v>
      </c>
      <c r="F469" s="64">
        <f>8.2852 * CHOOSE(CONTROL!$C$22, $C$13, 100%, $E$13)</f>
        <v>8.2851999999999997</v>
      </c>
      <c r="G469" s="64">
        <f>8.2854 * CHOOSE(CONTROL!$C$22, $C$13, 100%, $E$13)</f>
        <v>8.2853999999999992</v>
      </c>
      <c r="H469" s="64">
        <f>14.4691* CHOOSE(CONTROL!$C$22, $C$13, 100%, $E$13)</f>
        <v>14.469099999999999</v>
      </c>
      <c r="I469" s="64">
        <f>14.4693 * CHOOSE(CONTROL!$C$22, $C$13, 100%, $E$13)</f>
        <v>14.4693</v>
      </c>
      <c r="J469" s="64">
        <f>8.2852 * CHOOSE(CONTROL!$C$22, $C$13, 100%, $E$13)</f>
        <v>8.2851999999999997</v>
      </c>
      <c r="K469" s="64">
        <f>8.2854 * CHOOSE(CONTROL!$C$22, $C$13, 100%, $E$13)</f>
        <v>8.2853999999999992</v>
      </c>
    </row>
    <row r="470" spans="1:11" ht="15">
      <c r="A470" s="13">
        <v>55944</v>
      </c>
      <c r="B470" s="63">
        <f>7.2195 * CHOOSE(CONTROL!$C$22, $C$13, 100%, $E$13)</f>
        <v>7.2195</v>
      </c>
      <c r="C470" s="63">
        <f>7.2195 * CHOOSE(CONTROL!$C$22, $C$13, 100%, $E$13)</f>
        <v>7.2195</v>
      </c>
      <c r="D470" s="63">
        <f>7.2324 * CHOOSE(CONTROL!$C$22, $C$13, 100%, $E$13)</f>
        <v>7.2324000000000002</v>
      </c>
      <c r="E470" s="64">
        <f>8.3552 * CHOOSE(CONTROL!$C$22, $C$13, 100%, $E$13)</f>
        <v>8.3552</v>
      </c>
      <c r="F470" s="64">
        <f>8.3552 * CHOOSE(CONTROL!$C$22, $C$13, 100%, $E$13)</f>
        <v>8.3552</v>
      </c>
      <c r="G470" s="64">
        <f>8.3554 * CHOOSE(CONTROL!$C$22, $C$13, 100%, $E$13)</f>
        <v>8.3553999999999995</v>
      </c>
      <c r="H470" s="64">
        <f>14.4993* CHOOSE(CONTROL!$C$22, $C$13, 100%, $E$13)</f>
        <v>14.4993</v>
      </c>
      <c r="I470" s="64">
        <f>14.4994 * CHOOSE(CONTROL!$C$22, $C$13, 100%, $E$13)</f>
        <v>14.4994</v>
      </c>
      <c r="J470" s="64">
        <f>8.3552 * CHOOSE(CONTROL!$C$22, $C$13, 100%, $E$13)</f>
        <v>8.3552</v>
      </c>
      <c r="K470" s="64">
        <f>8.3554 * CHOOSE(CONTROL!$C$22, $C$13, 100%, $E$13)</f>
        <v>8.3553999999999995</v>
      </c>
    </row>
    <row r="471" spans="1:11" ht="15">
      <c r="A471" s="13">
        <v>55975</v>
      </c>
      <c r="B471" s="63">
        <f>7.22 * CHOOSE(CONTROL!$C$22, $C$13, 100%, $E$13)</f>
        <v>7.22</v>
      </c>
      <c r="C471" s="63">
        <f>7.22 * CHOOSE(CONTROL!$C$22, $C$13, 100%, $E$13)</f>
        <v>7.22</v>
      </c>
      <c r="D471" s="63">
        <f>7.2329 * CHOOSE(CONTROL!$C$22, $C$13, 100%, $E$13)</f>
        <v>7.2328999999999999</v>
      </c>
      <c r="E471" s="64">
        <f>8.4285 * CHOOSE(CONTROL!$C$22, $C$13, 100%, $E$13)</f>
        <v>8.4284999999999997</v>
      </c>
      <c r="F471" s="64">
        <f>8.4285 * CHOOSE(CONTROL!$C$22, $C$13, 100%, $E$13)</f>
        <v>8.4284999999999997</v>
      </c>
      <c r="G471" s="64">
        <f>8.4287 * CHOOSE(CONTROL!$C$22, $C$13, 100%, $E$13)</f>
        <v>8.4286999999999992</v>
      </c>
      <c r="H471" s="64">
        <f>14.5295* CHOOSE(CONTROL!$C$22, $C$13, 100%, $E$13)</f>
        <v>14.529500000000001</v>
      </c>
      <c r="I471" s="64">
        <f>14.5296 * CHOOSE(CONTROL!$C$22, $C$13, 100%, $E$13)</f>
        <v>14.5296</v>
      </c>
      <c r="J471" s="64">
        <f>8.4285 * CHOOSE(CONTROL!$C$22, $C$13, 100%, $E$13)</f>
        <v>8.4284999999999997</v>
      </c>
      <c r="K471" s="64">
        <f>8.4287 * CHOOSE(CONTROL!$C$22, $C$13, 100%, $E$13)</f>
        <v>8.4286999999999992</v>
      </c>
    </row>
    <row r="472" spans="1:11" ht="15">
      <c r="A472" s="13">
        <v>56005</v>
      </c>
      <c r="B472" s="63">
        <f>7.22 * CHOOSE(CONTROL!$C$22, $C$13, 100%, $E$13)</f>
        <v>7.22</v>
      </c>
      <c r="C472" s="63">
        <f>7.22 * CHOOSE(CONTROL!$C$22, $C$13, 100%, $E$13)</f>
        <v>7.22</v>
      </c>
      <c r="D472" s="63">
        <f>7.2457 * CHOOSE(CONTROL!$C$22, $C$13, 100%, $E$13)</f>
        <v>7.2457000000000003</v>
      </c>
      <c r="E472" s="64">
        <f>8.4576 * CHOOSE(CONTROL!$C$22, $C$13, 100%, $E$13)</f>
        <v>8.4575999999999993</v>
      </c>
      <c r="F472" s="64">
        <f>8.4576 * CHOOSE(CONTROL!$C$22, $C$13, 100%, $E$13)</f>
        <v>8.4575999999999993</v>
      </c>
      <c r="G472" s="64">
        <f>8.4592 * CHOOSE(CONTROL!$C$22, $C$13, 100%, $E$13)</f>
        <v>8.4591999999999992</v>
      </c>
      <c r="H472" s="64">
        <f>14.5597* CHOOSE(CONTROL!$C$22, $C$13, 100%, $E$13)</f>
        <v>14.559699999999999</v>
      </c>
      <c r="I472" s="64">
        <f>14.5614 * CHOOSE(CONTROL!$C$22, $C$13, 100%, $E$13)</f>
        <v>14.561400000000001</v>
      </c>
      <c r="J472" s="64">
        <f>8.4576 * CHOOSE(CONTROL!$C$22, $C$13, 100%, $E$13)</f>
        <v>8.4575999999999993</v>
      </c>
      <c r="K472" s="64">
        <f>8.4592 * CHOOSE(CONTROL!$C$22, $C$13, 100%, $E$13)</f>
        <v>8.4591999999999992</v>
      </c>
    </row>
    <row r="473" spans="1:11" ht="15">
      <c r="A473" s="13">
        <v>56036</v>
      </c>
      <c r="B473" s="63">
        <f>7.2261 * CHOOSE(CONTROL!$C$22, $C$13, 100%, $E$13)</f>
        <v>7.2260999999999997</v>
      </c>
      <c r="C473" s="63">
        <f>7.2261 * CHOOSE(CONTROL!$C$22, $C$13, 100%, $E$13)</f>
        <v>7.2260999999999997</v>
      </c>
      <c r="D473" s="63">
        <f>7.2518 * CHOOSE(CONTROL!$C$22, $C$13, 100%, $E$13)</f>
        <v>7.2518000000000002</v>
      </c>
      <c r="E473" s="64">
        <f>8.4327 * CHOOSE(CONTROL!$C$22, $C$13, 100%, $E$13)</f>
        <v>8.4327000000000005</v>
      </c>
      <c r="F473" s="64">
        <f>8.4327 * CHOOSE(CONTROL!$C$22, $C$13, 100%, $E$13)</f>
        <v>8.4327000000000005</v>
      </c>
      <c r="G473" s="64">
        <f>8.4344 * CHOOSE(CONTROL!$C$22, $C$13, 100%, $E$13)</f>
        <v>8.4344000000000001</v>
      </c>
      <c r="H473" s="64">
        <f>14.5901* CHOOSE(CONTROL!$C$22, $C$13, 100%, $E$13)</f>
        <v>14.5901</v>
      </c>
      <c r="I473" s="64">
        <f>14.5917 * CHOOSE(CONTROL!$C$22, $C$13, 100%, $E$13)</f>
        <v>14.591699999999999</v>
      </c>
      <c r="J473" s="64">
        <f>8.4327 * CHOOSE(CONTROL!$C$22, $C$13, 100%, $E$13)</f>
        <v>8.4327000000000005</v>
      </c>
      <c r="K473" s="64">
        <f>8.4344 * CHOOSE(CONTROL!$C$22, $C$13, 100%, $E$13)</f>
        <v>8.4344000000000001</v>
      </c>
    </row>
    <row r="474" spans="1:11" ht="15">
      <c r="A474" s="13">
        <v>56066</v>
      </c>
      <c r="B474" s="63">
        <f>7.3442 * CHOOSE(CONTROL!$C$22, $C$13, 100%, $E$13)</f>
        <v>7.3441999999999998</v>
      </c>
      <c r="C474" s="63">
        <f>7.3442 * CHOOSE(CONTROL!$C$22, $C$13, 100%, $E$13)</f>
        <v>7.3441999999999998</v>
      </c>
      <c r="D474" s="63">
        <f>7.3699 * CHOOSE(CONTROL!$C$22, $C$13, 100%, $E$13)</f>
        <v>7.3699000000000003</v>
      </c>
      <c r="E474" s="64">
        <f>8.5982 * CHOOSE(CONTROL!$C$22, $C$13, 100%, $E$13)</f>
        <v>8.5982000000000003</v>
      </c>
      <c r="F474" s="64">
        <f>8.5982 * CHOOSE(CONTROL!$C$22, $C$13, 100%, $E$13)</f>
        <v>8.5982000000000003</v>
      </c>
      <c r="G474" s="64">
        <f>8.5998 * CHOOSE(CONTROL!$C$22, $C$13, 100%, $E$13)</f>
        <v>8.5998000000000001</v>
      </c>
      <c r="H474" s="64">
        <f>14.6205* CHOOSE(CONTROL!$C$22, $C$13, 100%, $E$13)</f>
        <v>14.6205</v>
      </c>
      <c r="I474" s="64">
        <f>14.6221 * CHOOSE(CONTROL!$C$22, $C$13, 100%, $E$13)</f>
        <v>14.6221</v>
      </c>
      <c r="J474" s="64">
        <f>8.5982 * CHOOSE(CONTROL!$C$22, $C$13, 100%, $E$13)</f>
        <v>8.5982000000000003</v>
      </c>
      <c r="K474" s="64">
        <f>8.5998 * CHOOSE(CONTROL!$C$22, $C$13, 100%, $E$13)</f>
        <v>8.5998000000000001</v>
      </c>
    </row>
    <row r="475" spans="1:11" ht="15">
      <c r="A475" s="13">
        <v>56097</v>
      </c>
      <c r="B475" s="63">
        <f>7.3509 * CHOOSE(CONTROL!$C$22, $C$13, 100%, $E$13)</f>
        <v>7.3509000000000002</v>
      </c>
      <c r="C475" s="63">
        <f>7.3509 * CHOOSE(CONTROL!$C$22, $C$13, 100%, $E$13)</f>
        <v>7.3509000000000002</v>
      </c>
      <c r="D475" s="63">
        <f>7.3766 * CHOOSE(CONTROL!$C$22, $C$13, 100%, $E$13)</f>
        <v>7.3765999999999998</v>
      </c>
      <c r="E475" s="64">
        <f>8.5157 * CHOOSE(CONTROL!$C$22, $C$13, 100%, $E$13)</f>
        <v>8.5157000000000007</v>
      </c>
      <c r="F475" s="64">
        <f>8.5157 * CHOOSE(CONTROL!$C$22, $C$13, 100%, $E$13)</f>
        <v>8.5157000000000007</v>
      </c>
      <c r="G475" s="64">
        <f>8.5173 * CHOOSE(CONTROL!$C$22, $C$13, 100%, $E$13)</f>
        <v>8.5173000000000005</v>
      </c>
      <c r="H475" s="64">
        <f>14.6509* CHOOSE(CONTROL!$C$22, $C$13, 100%, $E$13)</f>
        <v>14.6509</v>
      </c>
      <c r="I475" s="64">
        <f>14.6526 * CHOOSE(CONTROL!$C$22, $C$13, 100%, $E$13)</f>
        <v>14.6526</v>
      </c>
      <c r="J475" s="64">
        <f>8.5157 * CHOOSE(CONTROL!$C$22, $C$13, 100%, $E$13)</f>
        <v>8.5157000000000007</v>
      </c>
      <c r="K475" s="64">
        <f>8.5173 * CHOOSE(CONTROL!$C$22, $C$13, 100%, $E$13)</f>
        <v>8.5173000000000005</v>
      </c>
    </row>
    <row r="476" spans="1:11" ht="15">
      <c r="A476" s="13">
        <v>56128</v>
      </c>
      <c r="B476" s="63">
        <f>7.3479 * CHOOSE(CONTROL!$C$22, $C$13, 100%, $E$13)</f>
        <v>7.3479000000000001</v>
      </c>
      <c r="C476" s="63">
        <f>7.3479 * CHOOSE(CONTROL!$C$22, $C$13, 100%, $E$13)</f>
        <v>7.3479000000000001</v>
      </c>
      <c r="D476" s="63">
        <f>7.3736 * CHOOSE(CONTROL!$C$22, $C$13, 100%, $E$13)</f>
        <v>7.3735999999999997</v>
      </c>
      <c r="E476" s="64">
        <f>8.5039 * CHOOSE(CONTROL!$C$22, $C$13, 100%, $E$13)</f>
        <v>8.5038999999999998</v>
      </c>
      <c r="F476" s="64">
        <f>8.5039 * CHOOSE(CONTROL!$C$22, $C$13, 100%, $E$13)</f>
        <v>8.5038999999999998</v>
      </c>
      <c r="G476" s="64">
        <f>8.5055 * CHOOSE(CONTROL!$C$22, $C$13, 100%, $E$13)</f>
        <v>8.5054999999999996</v>
      </c>
      <c r="H476" s="64">
        <f>14.6814* CHOOSE(CONTROL!$C$22, $C$13, 100%, $E$13)</f>
        <v>14.6814</v>
      </c>
      <c r="I476" s="64">
        <f>14.6831 * CHOOSE(CONTROL!$C$22, $C$13, 100%, $E$13)</f>
        <v>14.6831</v>
      </c>
      <c r="J476" s="64">
        <f>8.5039 * CHOOSE(CONTROL!$C$22, $C$13, 100%, $E$13)</f>
        <v>8.5038999999999998</v>
      </c>
      <c r="K476" s="64">
        <f>8.5055 * CHOOSE(CONTROL!$C$22, $C$13, 100%, $E$13)</f>
        <v>8.5054999999999996</v>
      </c>
    </row>
    <row r="477" spans="1:11" ht="15">
      <c r="A477" s="13">
        <v>56158</v>
      </c>
      <c r="B477" s="63">
        <f>7.3543 * CHOOSE(CONTROL!$C$22, $C$13, 100%, $E$13)</f>
        <v>7.3543000000000003</v>
      </c>
      <c r="C477" s="63">
        <f>7.3543 * CHOOSE(CONTROL!$C$22, $C$13, 100%, $E$13)</f>
        <v>7.3543000000000003</v>
      </c>
      <c r="D477" s="63">
        <f>7.3672 * CHOOSE(CONTROL!$C$22, $C$13, 100%, $E$13)</f>
        <v>7.3672000000000004</v>
      </c>
      <c r="E477" s="64">
        <f>8.5292 * CHOOSE(CONTROL!$C$22, $C$13, 100%, $E$13)</f>
        <v>8.5291999999999994</v>
      </c>
      <c r="F477" s="64">
        <f>8.5292 * CHOOSE(CONTROL!$C$22, $C$13, 100%, $E$13)</f>
        <v>8.5291999999999994</v>
      </c>
      <c r="G477" s="64">
        <f>8.5294 * CHOOSE(CONTROL!$C$22, $C$13, 100%, $E$13)</f>
        <v>8.5294000000000008</v>
      </c>
      <c r="H477" s="64">
        <f>14.712* CHOOSE(CONTROL!$C$22, $C$13, 100%, $E$13)</f>
        <v>14.712</v>
      </c>
      <c r="I477" s="64">
        <f>14.7122 * CHOOSE(CONTROL!$C$22, $C$13, 100%, $E$13)</f>
        <v>14.712199999999999</v>
      </c>
      <c r="J477" s="64">
        <f>8.5292 * CHOOSE(CONTROL!$C$22, $C$13, 100%, $E$13)</f>
        <v>8.5291999999999994</v>
      </c>
      <c r="K477" s="64">
        <f>8.5294 * CHOOSE(CONTROL!$C$22, $C$13, 100%, $E$13)</f>
        <v>8.5294000000000008</v>
      </c>
    </row>
    <row r="478" spans="1:11" ht="15">
      <c r="A478" s="13">
        <v>56189</v>
      </c>
      <c r="B478" s="63">
        <f>7.3573 * CHOOSE(CONTROL!$C$22, $C$13, 100%, $E$13)</f>
        <v>7.3573000000000004</v>
      </c>
      <c r="C478" s="63">
        <f>7.3573 * CHOOSE(CONTROL!$C$22, $C$13, 100%, $E$13)</f>
        <v>7.3573000000000004</v>
      </c>
      <c r="D478" s="63">
        <f>7.3702 * CHOOSE(CONTROL!$C$22, $C$13, 100%, $E$13)</f>
        <v>7.3701999999999996</v>
      </c>
      <c r="E478" s="64">
        <f>8.5507 * CHOOSE(CONTROL!$C$22, $C$13, 100%, $E$13)</f>
        <v>8.5507000000000009</v>
      </c>
      <c r="F478" s="64">
        <f>8.5507 * CHOOSE(CONTROL!$C$22, $C$13, 100%, $E$13)</f>
        <v>8.5507000000000009</v>
      </c>
      <c r="G478" s="64">
        <f>8.5509 * CHOOSE(CONTROL!$C$22, $C$13, 100%, $E$13)</f>
        <v>8.5509000000000004</v>
      </c>
      <c r="H478" s="64">
        <f>14.7427* CHOOSE(CONTROL!$C$22, $C$13, 100%, $E$13)</f>
        <v>14.742699999999999</v>
      </c>
      <c r="I478" s="64">
        <f>14.7429 * CHOOSE(CONTROL!$C$22, $C$13, 100%, $E$13)</f>
        <v>14.742900000000001</v>
      </c>
      <c r="J478" s="64">
        <f>8.5507 * CHOOSE(CONTROL!$C$22, $C$13, 100%, $E$13)</f>
        <v>8.5507000000000009</v>
      </c>
      <c r="K478" s="64">
        <f>8.5509 * CHOOSE(CONTROL!$C$22, $C$13, 100%, $E$13)</f>
        <v>8.5509000000000004</v>
      </c>
    </row>
    <row r="479" spans="1:11" ht="15">
      <c r="A479" s="13">
        <v>56219</v>
      </c>
      <c r="B479" s="63">
        <f>7.3573 * CHOOSE(CONTROL!$C$22, $C$13, 100%, $E$13)</f>
        <v>7.3573000000000004</v>
      </c>
      <c r="C479" s="63">
        <f>7.3573 * CHOOSE(CONTROL!$C$22, $C$13, 100%, $E$13)</f>
        <v>7.3573000000000004</v>
      </c>
      <c r="D479" s="63">
        <f>7.3702 * CHOOSE(CONTROL!$C$22, $C$13, 100%, $E$13)</f>
        <v>7.3701999999999996</v>
      </c>
      <c r="E479" s="64">
        <f>8.5022 * CHOOSE(CONTROL!$C$22, $C$13, 100%, $E$13)</f>
        <v>8.5022000000000002</v>
      </c>
      <c r="F479" s="64">
        <f>8.5022 * CHOOSE(CONTROL!$C$22, $C$13, 100%, $E$13)</f>
        <v>8.5022000000000002</v>
      </c>
      <c r="G479" s="64">
        <f>8.5024 * CHOOSE(CONTROL!$C$22, $C$13, 100%, $E$13)</f>
        <v>8.5023999999999997</v>
      </c>
      <c r="H479" s="64">
        <f>14.7734* CHOOSE(CONTROL!$C$22, $C$13, 100%, $E$13)</f>
        <v>14.773400000000001</v>
      </c>
      <c r="I479" s="64">
        <f>14.7736 * CHOOSE(CONTROL!$C$22, $C$13, 100%, $E$13)</f>
        <v>14.7736</v>
      </c>
      <c r="J479" s="64">
        <f>8.5022 * CHOOSE(CONTROL!$C$22, $C$13, 100%, $E$13)</f>
        <v>8.5022000000000002</v>
      </c>
      <c r="K479" s="64">
        <f>8.5024 * CHOOSE(CONTROL!$C$22, $C$13, 100%, $E$13)</f>
        <v>8.5023999999999997</v>
      </c>
    </row>
    <row r="480" spans="1:11" ht="15">
      <c r="A480" s="13">
        <v>56250</v>
      </c>
      <c r="B480" s="63">
        <f>7.4229 * CHOOSE(CONTROL!$C$22, $C$13, 100%, $E$13)</f>
        <v>7.4229000000000003</v>
      </c>
      <c r="C480" s="63">
        <f>7.4229 * CHOOSE(CONTROL!$C$22, $C$13, 100%, $E$13)</f>
        <v>7.4229000000000003</v>
      </c>
      <c r="D480" s="63">
        <f>7.4357 * CHOOSE(CONTROL!$C$22, $C$13, 100%, $E$13)</f>
        <v>7.4356999999999998</v>
      </c>
      <c r="E480" s="64">
        <f>8.6133 * CHOOSE(CONTROL!$C$22, $C$13, 100%, $E$13)</f>
        <v>8.6133000000000006</v>
      </c>
      <c r="F480" s="64">
        <f>8.6133 * CHOOSE(CONTROL!$C$22, $C$13, 100%, $E$13)</f>
        <v>8.6133000000000006</v>
      </c>
      <c r="G480" s="64">
        <f>8.6135 * CHOOSE(CONTROL!$C$22, $C$13, 100%, $E$13)</f>
        <v>8.6135000000000002</v>
      </c>
      <c r="H480" s="64">
        <f>14.8042* CHOOSE(CONTROL!$C$22, $C$13, 100%, $E$13)</f>
        <v>14.8042</v>
      </c>
      <c r="I480" s="64">
        <f>14.8043 * CHOOSE(CONTROL!$C$22, $C$13, 100%, $E$13)</f>
        <v>14.8043</v>
      </c>
      <c r="J480" s="64">
        <f>8.6133 * CHOOSE(CONTROL!$C$22, $C$13, 100%, $E$13)</f>
        <v>8.6133000000000006</v>
      </c>
      <c r="K480" s="64">
        <f>8.6135 * CHOOSE(CONTROL!$C$22, $C$13, 100%, $E$13)</f>
        <v>8.6135000000000002</v>
      </c>
    </row>
    <row r="481" spans="1:11" ht="15">
      <c r="A481" s="13">
        <v>56281</v>
      </c>
      <c r="B481" s="63">
        <f>7.4198 * CHOOSE(CONTROL!$C$22, $C$13, 100%, $E$13)</f>
        <v>7.4198000000000004</v>
      </c>
      <c r="C481" s="63">
        <f>7.4198 * CHOOSE(CONTROL!$C$22, $C$13, 100%, $E$13)</f>
        <v>7.4198000000000004</v>
      </c>
      <c r="D481" s="63">
        <f>7.4327 * CHOOSE(CONTROL!$C$22, $C$13, 100%, $E$13)</f>
        <v>7.4326999999999996</v>
      </c>
      <c r="E481" s="64">
        <f>8.5171 * CHOOSE(CONTROL!$C$22, $C$13, 100%, $E$13)</f>
        <v>8.5170999999999992</v>
      </c>
      <c r="F481" s="64">
        <f>8.5171 * CHOOSE(CONTROL!$C$22, $C$13, 100%, $E$13)</f>
        <v>8.5170999999999992</v>
      </c>
      <c r="G481" s="64">
        <f>8.5173 * CHOOSE(CONTROL!$C$22, $C$13, 100%, $E$13)</f>
        <v>8.5173000000000005</v>
      </c>
      <c r="H481" s="64">
        <f>14.835* CHOOSE(CONTROL!$C$22, $C$13, 100%, $E$13)</f>
        <v>14.835000000000001</v>
      </c>
      <c r="I481" s="64">
        <f>14.8352 * CHOOSE(CONTROL!$C$22, $C$13, 100%, $E$13)</f>
        <v>14.8352</v>
      </c>
      <c r="J481" s="64">
        <f>8.5171 * CHOOSE(CONTROL!$C$22, $C$13, 100%, $E$13)</f>
        <v>8.5170999999999992</v>
      </c>
      <c r="K481" s="64">
        <f>8.5173 * CHOOSE(CONTROL!$C$22, $C$13, 100%, $E$13)</f>
        <v>8.5173000000000005</v>
      </c>
    </row>
    <row r="482" spans="1:11" ht="15">
      <c r="A482" s="13">
        <v>56309</v>
      </c>
      <c r="B482" s="63">
        <f>7.4168 * CHOOSE(CONTROL!$C$22, $C$13, 100%, $E$13)</f>
        <v>7.4168000000000003</v>
      </c>
      <c r="C482" s="63">
        <f>7.4168 * CHOOSE(CONTROL!$C$22, $C$13, 100%, $E$13)</f>
        <v>7.4168000000000003</v>
      </c>
      <c r="D482" s="63">
        <f>7.4297 * CHOOSE(CONTROL!$C$22, $C$13, 100%, $E$13)</f>
        <v>7.4297000000000004</v>
      </c>
      <c r="E482" s="64">
        <f>8.5892 * CHOOSE(CONTROL!$C$22, $C$13, 100%, $E$13)</f>
        <v>8.5891999999999999</v>
      </c>
      <c r="F482" s="64">
        <f>8.5892 * CHOOSE(CONTROL!$C$22, $C$13, 100%, $E$13)</f>
        <v>8.5891999999999999</v>
      </c>
      <c r="G482" s="64">
        <f>8.5893 * CHOOSE(CONTROL!$C$22, $C$13, 100%, $E$13)</f>
        <v>8.5892999999999997</v>
      </c>
      <c r="H482" s="64">
        <f>14.8659* CHOOSE(CONTROL!$C$22, $C$13, 100%, $E$13)</f>
        <v>14.8659</v>
      </c>
      <c r="I482" s="64">
        <f>14.8661 * CHOOSE(CONTROL!$C$22, $C$13, 100%, $E$13)</f>
        <v>14.866099999999999</v>
      </c>
      <c r="J482" s="64">
        <f>8.5892 * CHOOSE(CONTROL!$C$22, $C$13, 100%, $E$13)</f>
        <v>8.5891999999999999</v>
      </c>
      <c r="K482" s="64">
        <f>8.5893 * CHOOSE(CONTROL!$C$22, $C$13, 100%, $E$13)</f>
        <v>8.5892999999999997</v>
      </c>
    </row>
    <row r="483" spans="1:11" ht="15">
      <c r="A483" s="13">
        <v>56340</v>
      </c>
      <c r="B483" s="63">
        <f>7.4175 * CHOOSE(CONTROL!$C$22, $C$13, 100%, $E$13)</f>
        <v>7.4175000000000004</v>
      </c>
      <c r="C483" s="63">
        <f>7.4175 * CHOOSE(CONTROL!$C$22, $C$13, 100%, $E$13)</f>
        <v>7.4175000000000004</v>
      </c>
      <c r="D483" s="63">
        <f>7.4303 * CHOOSE(CONTROL!$C$22, $C$13, 100%, $E$13)</f>
        <v>7.4302999999999999</v>
      </c>
      <c r="E483" s="64">
        <f>8.6646 * CHOOSE(CONTROL!$C$22, $C$13, 100%, $E$13)</f>
        <v>8.6646000000000001</v>
      </c>
      <c r="F483" s="64">
        <f>8.6646 * CHOOSE(CONTROL!$C$22, $C$13, 100%, $E$13)</f>
        <v>8.6646000000000001</v>
      </c>
      <c r="G483" s="64">
        <f>8.6648 * CHOOSE(CONTROL!$C$22, $C$13, 100%, $E$13)</f>
        <v>8.6647999999999996</v>
      </c>
      <c r="H483" s="64">
        <f>14.8969* CHOOSE(CONTROL!$C$22, $C$13, 100%, $E$13)</f>
        <v>14.8969</v>
      </c>
      <c r="I483" s="64">
        <f>14.8971 * CHOOSE(CONTROL!$C$22, $C$13, 100%, $E$13)</f>
        <v>14.8971</v>
      </c>
      <c r="J483" s="64">
        <f>8.6646 * CHOOSE(CONTROL!$C$22, $C$13, 100%, $E$13)</f>
        <v>8.6646000000000001</v>
      </c>
      <c r="K483" s="64">
        <f>8.6648 * CHOOSE(CONTROL!$C$22, $C$13, 100%, $E$13)</f>
        <v>8.6647999999999996</v>
      </c>
    </row>
    <row r="484" spans="1:11" ht="15">
      <c r="A484" s="13">
        <v>56370</v>
      </c>
      <c r="B484" s="63">
        <f>7.4175 * CHOOSE(CONTROL!$C$22, $C$13, 100%, $E$13)</f>
        <v>7.4175000000000004</v>
      </c>
      <c r="C484" s="63">
        <f>7.4175 * CHOOSE(CONTROL!$C$22, $C$13, 100%, $E$13)</f>
        <v>7.4175000000000004</v>
      </c>
      <c r="D484" s="63">
        <f>7.4432 * CHOOSE(CONTROL!$C$22, $C$13, 100%, $E$13)</f>
        <v>7.4432</v>
      </c>
      <c r="E484" s="64">
        <f>8.6945 * CHOOSE(CONTROL!$C$22, $C$13, 100%, $E$13)</f>
        <v>8.6944999999999997</v>
      </c>
      <c r="F484" s="64">
        <f>8.6945 * CHOOSE(CONTROL!$C$22, $C$13, 100%, $E$13)</f>
        <v>8.6944999999999997</v>
      </c>
      <c r="G484" s="64">
        <f>8.6961 * CHOOSE(CONTROL!$C$22, $C$13, 100%, $E$13)</f>
        <v>8.6960999999999995</v>
      </c>
      <c r="H484" s="64">
        <f>14.9279* CHOOSE(CONTROL!$C$22, $C$13, 100%, $E$13)</f>
        <v>14.927899999999999</v>
      </c>
      <c r="I484" s="64">
        <f>14.9296 * CHOOSE(CONTROL!$C$22, $C$13, 100%, $E$13)</f>
        <v>14.929600000000001</v>
      </c>
      <c r="J484" s="64">
        <f>8.6945 * CHOOSE(CONTROL!$C$22, $C$13, 100%, $E$13)</f>
        <v>8.6944999999999997</v>
      </c>
      <c r="K484" s="64">
        <f>8.6961 * CHOOSE(CONTROL!$C$22, $C$13, 100%, $E$13)</f>
        <v>8.6960999999999995</v>
      </c>
    </row>
    <row r="485" spans="1:11" ht="15">
      <c r="A485" s="13">
        <v>56401</v>
      </c>
      <c r="B485" s="63">
        <f>7.4235 * CHOOSE(CONTROL!$C$22, $C$13, 100%, $E$13)</f>
        <v>7.4234999999999998</v>
      </c>
      <c r="C485" s="63">
        <f>7.4235 * CHOOSE(CONTROL!$C$22, $C$13, 100%, $E$13)</f>
        <v>7.4234999999999998</v>
      </c>
      <c r="D485" s="63">
        <f>7.4493 * CHOOSE(CONTROL!$C$22, $C$13, 100%, $E$13)</f>
        <v>7.4493</v>
      </c>
      <c r="E485" s="64">
        <f>8.6688 * CHOOSE(CONTROL!$C$22, $C$13, 100%, $E$13)</f>
        <v>8.6687999999999992</v>
      </c>
      <c r="F485" s="64">
        <f>8.6688 * CHOOSE(CONTROL!$C$22, $C$13, 100%, $E$13)</f>
        <v>8.6687999999999992</v>
      </c>
      <c r="G485" s="64">
        <f>8.6705 * CHOOSE(CONTROL!$C$22, $C$13, 100%, $E$13)</f>
        <v>8.6705000000000005</v>
      </c>
      <c r="H485" s="64">
        <f>14.959* CHOOSE(CONTROL!$C$22, $C$13, 100%, $E$13)</f>
        <v>14.959</v>
      </c>
      <c r="I485" s="64">
        <f>14.9607 * CHOOSE(CONTROL!$C$22, $C$13, 100%, $E$13)</f>
        <v>14.960699999999999</v>
      </c>
      <c r="J485" s="64">
        <f>8.6688 * CHOOSE(CONTROL!$C$22, $C$13, 100%, $E$13)</f>
        <v>8.6687999999999992</v>
      </c>
      <c r="K485" s="64">
        <f>8.6705 * CHOOSE(CONTROL!$C$22, $C$13, 100%, $E$13)</f>
        <v>8.6705000000000005</v>
      </c>
    </row>
    <row r="486" spans="1:11" ht="15">
      <c r="A486" s="13">
        <v>56431</v>
      </c>
      <c r="B486" s="63">
        <f>7.5446 * CHOOSE(CONTROL!$C$22, $C$13, 100%, $E$13)</f>
        <v>7.5446</v>
      </c>
      <c r="C486" s="63">
        <f>7.5446 * CHOOSE(CONTROL!$C$22, $C$13, 100%, $E$13)</f>
        <v>7.5446</v>
      </c>
      <c r="D486" s="63">
        <f>7.5704 * CHOOSE(CONTROL!$C$22, $C$13, 100%, $E$13)</f>
        <v>7.5704000000000002</v>
      </c>
      <c r="E486" s="64">
        <f>8.8387 * CHOOSE(CONTROL!$C$22, $C$13, 100%, $E$13)</f>
        <v>8.8386999999999993</v>
      </c>
      <c r="F486" s="64">
        <f>8.8387 * CHOOSE(CONTROL!$C$22, $C$13, 100%, $E$13)</f>
        <v>8.8386999999999993</v>
      </c>
      <c r="G486" s="64">
        <f>8.8403 * CHOOSE(CONTROL!$C$22, $C$13, 100%, $E$13)</f>
        <v>8.8402999999999992</v>
      </c>
      <c r="H486" s="64">
        <f>14.9902* CHOOSE(CONTROL!$C$22, $C$13, 100%, $E$13)</f>
        <v>14.9902</v>
      </c>
      <c r="I486" s="64">
        <f>14.9918 * CHOOSE(CONTROL!$C$22, $C$13, 100%, $E$13)</f>
        <v>14.9918</v>
      </c>
      <c r="J486" s="64">
        <f>8.8387 * CHOOSE(CONTROL!$C$22, $C$13, 100%, $E$13)</f>
        <v>8.8386999999999993</v>
      </c>
      <c r="K486" s="64">
        <f>8.8403 * CHOOSE(CONTROL!$C$22, $C$13, 100%, $E$13)</f>
        <v>8.8402999999999992</v>
      </c>
    </row>
    <row r="487" spans="1:11" ht="15">
      <c r="A487" s="13">
        <v>56462</v>
      </c>
      <c r="B487" s="63">
        <f>7.5513 * CHOOSE(CONTROL!$C$22, $C$13, 100%, $E$13)</f>
        <v>7.5513000000000003</v>
      </c>
      <c r="C487" s="63">
        <f>7.5513 * CHOOSE(CONTROL!$C$22, $C$13, 100%, $E$13)</f>
        <v>7.5513000000000003</v>
      </c>
      <c r="D487" s="63">
        <f>7.5771 * CHOOSE(CONTROL!$C$22, $C$13, 100%, $E$13)</f>
        <v>7.5770999999999997</v>
      </c>
      <c r="E487" s="64">
        <f>8.7537 * CHOOSE(CONTROL!$C$22, $C$13, 100%, $E$13)</f>
        <v>8.7537000000000003</v>
      </c>
      <c r="F487" s="64">
        <f>8.7537 * CHOOSE(CONTROL!$C$22, $C$13, 100%, $E$13)</f>
        <v>8.7537000000000003</v>
      </c>
      <c r="G487" s="64">
        <f>8.7553 * CHOOSE(CONTROL!$C$22, $C$13, 100%, $E$13)</f>
        <v>8.7553000000000001</v>
      </c>
      <c r="H487" s="64">
        <f>15.0214* CHOOSE(CONTROL!$C$22, $C$13, 100%, $E$13)</f>
        <v>15.0214</v>
      </c>
      <c r="I487" s="64">
        <f>15.0231 * CHOOSE(CONTROL!$C$22, $C$13, 100%, $E$13)</f>
        <v>15.023099999999999</v>
      </c>
      <c r="J487" s="64">
        <f>8.7537 * CHOOSE(CONTROL!$C$22, $C$13, 100%, $E$13)</f>
        <v>8.7537000000000003</v>
      </c>
      <c r="K487" s="64">
        <f>8.7553 * CHOOSE(CONTROL!$C$22, $C$13, 100%, $E$13)</f>
        <v>8.7553000000000001</v>
      </c>
    </row>
    <row r="488" spans="1:11" ht="15">
      <c r="A488" s="13">
        <v>56493</v>
      </c>
      <c r="B488" s="63">
        <f>7.5483 * CHOOSE(CONTROL!$C$22, $C$13, 100%, $E$13)</f>
        <v>7.5483000000000002</v>
      </c>
      <c r="C488" s="63">
        <f>7.5483 * CHOOSE(CONTROL!$C$22, $C$13, 100%, $E$13)</f>
        <v>7.5483000000000002</v>
      </c>
      <c r="D488" s="63">
        <f>7.574 * CHOOSE(CONTROL!$C$22, $C$13, 100%, $E$13)</f>
        <v>7.5739999999999998</v>
      </c>
      <c r="E488" s="64">
        <f>8.7416 * CHOOSE(CONTROL!$C$22, $C$13, 100%, $E$13)</f>
        <v>8.7416</v>
      </c>
      <c r="F488" s="64">
        <f>8.7416 * CHOOSE(CONTROL!$C$22, $C$13, 100%, $E$13)</f>
        <v>8.7416</v>
      </c>
      <c r="G488" s="64">
        <f>8.7432 * CHOOSE(CONTROL!$C$22, $C$13, 100%, $E$13)</f>
        <v>8.7431999999999999</v>
      </c>
      <c r="H488" s="64">
        <f>15.0527* CHOOSE(CONTROL!$C$22, $C$13, 100%, $E$13)</f>
        <v>15.0527</v>
      </c>
      <c r="I488" s="64">
        <f>15.0544 * CHOOSE(CONTROL!$C$22, $C$13, 100%, $E$13)</f>
        <v>15.054399999999999</v>
      </c>
      <c r="J488" s="64">
        <f>8.7416 * CHOOSE(CONTROL!$C$22, $C$13, 100%, $E$13)</f>
        <v>8.7416</v>
      </c>
      <c r="K488" s="64">
        <f>8.7432 * CHOOSE(CONTROL!$C$22, $C$13, 100%, $E$13)</f>
        <v>8.7431999999999999</v>
      </c>
    </row>
    <row r="489" spans="1:11" ht="15">
      <c r="A489" s="13">
        <v>56523</v>
      </c>
      <c r="B489" s="63">
        <f>7.5554 * CHOOSE(CONTROL!$C$22, $C$13, 100%, $E$13)</f>
        <v>7.5553999999999997</v>
      </c>
      <c r="C489" s="63">
        <f>7.5554 * CHOOSE(CONTROL!$C$22, $C$13, 100%, $E$13)</f>
        <v>7.5553999999999997</v>
      </c>
      <c r="D489" s="63">
        <f>7.5682 * CHOOSE(CONTROL!$C$22, $C$13, 100%, $E$13)</f>
        <v>7.5682</v>
      </c>
      <c r="E489" s="64">
        <f>8.768 * CHOOSE(CONTROL!$C$22, $C$13, 100%, $E$13)</f>
        <v>8.7680000000000007</v>
      </c>
      <c r="F489" s="64">
        <f>8.768 * CHOOSE(CONTROL!$C$22, $C$13, 100%, $E$13)</f>
        <v>8.7680000000000007</v>
      </c>
      <c r="G489" s="64">
        <f>8.7682 * CHOOSE(CONTROL!$C$22, $C$13, 100%, $E$13)</f>
        <v>8.7682000000000002</v>
      </c>
      <c r="H489" s="64">
        <f>15.0841* CHOOSE(CONTROL!$C$22, $C$13, 100%, $E$13)</f>
        <v>15.084099999999999</v>
      </c>
      <c r="I489" s="64">
        <f>15.0842 * CHOOSE(CONTROL!$C$22, $C$13, 100%, $E$13)</f>
        <v>15.084199999999999</v>
      </c>
      <c r="J489" s="64">
        <f>8.768 * CHOOSE(CONTROL!$C$22, $C$13, 100%, $E$13)</f>
        <v>8.7680000000000007</v>
      </c>
      <c r="K489" s="64">
        <f>8.7682 * CHOOSE(CONTROL!$C$22, $C$13, 100%, $E$13)</f>
        <v>8.7682000000000002</v>
      </c>
    </row>
    <row r="490" spans="1:11" ht="15">
      <c r="A490" s="13">
        <v>56554</v>
      </c>
      <c r="B490" s="63">
        <f>7.5584 * CHOOSE(CONTROL!$C$22, $C$13, 100%, $E$13)</f>
        <v>7.5583999999999998</v>
      </c>
      <c r="C490" s="63">
        <f>7.5584 * CHOOSE(CONTROL!$C$22, $C$13, 100%, $E$13)</f>
        <v>7.5583999999999998</v>
      </c>
      <c r="D490" s="63">
        <f>7.5713 * CHOOSE(CONTROL!$C$22, $C$13, 100%, $E$13)</f>
        <v>7.5712999999999999</v>
      </c>
      <c r="E490" s="64">
        <f>8.7901 * CHOOSE(CONTROL!$C$22, $C$13, 100%, $E$13)</f>
        <v>8.7901000000000007</v>
      </c>
      <c r="F490" s="64">
        <f>8.7901 * CHOOSE(CONTROL!$C$22, $C$13, 100%, $E$13)</f>
        <v>8.7901000000000007</v>
      </c>
      <c r="G490" s="64">
        <f>8.7902 * CHOOSE(CONTROL!$C$22, $C$13, 100%, $E$13)</f>
        <v>8.7902000000000005</v>
      </c>
      <c r="H490" s="64">
        <f>15.1155* CHOOSE(CONTROL!$C$22, $C$13, 100%, $E$13)</f>
        <v>15.115500000000001</v>
      </c>
      <c r="I490" s="64">
        <f>15.1157 * CHOOSE(CONTROL!$C$22, $C$13, 100%, $E$13)</f>
        <v>15.1157</v>
      </c>
      <c r="J490" s="64">
        <f>8.7901 * CHOOSE(CONTROL!$C$22, $C$13, 100%, $E$13)</f>
        <v>8.7901000000000007</v>
      </c>
      <c r="K490" s="64">
        <f>8.7902 * CHOOSE(CONTROL!$C$22, $C$13, 100%, $E$13)</f>
        <v>8.7902000000000005</v>
      </c>
    </row>
    <row r="491" spans="1:11" ht="15">
      <c r="A491" s="13">
        <v>56584</v>
      </c>
      <c r="B491" s="63">
        <f>7.5584 * CHOOSE(CONTROL!$C$22, $C$13, 100%, $E$13)</f>
        <v>7.5583999999999998</v>
      </c>
      <c r="C491" s="63">
        <f>7.5584 * CHOOSE(CONTROL!$C$22, $C$13, 100%, $E$13)</f>
        <v>7.5583999999999998</v>
      </c>
      <c r="D491" s="63">
        <f>7.5713 * CHOOSE(CONTROL!$C$22, $C$13, 100%, $E$13)</f>
        <v>7.5712999999999999</v>
      </c>
      <c r="E491" s="64">
        <f>8.7403 * CHOOSE(CONTROL!$C$22, $C$13, 100%, $E$13)</f>
        <v>8.7402999999999995</v>
      </c>
      <c r="F491" s="64">
        <f>8.7403 * CHOOSE(CONTROL!$C$22, $C$13, 100%, $E$13)</f>
        <v>8.7402999999999995</v>
      </c>
      <c r="G491" s="64">
        <f>8.7404 * CHOOSE(CONTROL!$C$22, $C$13, 100%, $E$13)</f>
        <v>8.7403999999999993</v>
      </c>
      <c r="H491" s="64">
        <f>15.147* CHOOSE(CONTROL!$C$22, $C$13, 100%, $E$13)</f>
        <v>15.147</v>
      </c>
      <c r="I491" s="64">
        <f>15.1472 * CHOOSE(CONTROL!$C$22, $C$13, 100%, $E$13)</f>
        <v>15.1472</v>
      </c>
      <c r="J491" s="64">
        <f>8.7403 * CHOOSE(CONTROL!$C$22, $C$13, 100%, $E$13)</f>
        <v>8.7402999999999995</v>
      </c>
      <c r="K491" s="64">
        <f>8.7404 * CHOOSE(CONTROL!$C$22, $C$13, 100%, $E$13)</f>
        <v>8.7403999999999993</v>
      </c>
    </row>
    <row r="492" spans="1:11" ht="15">
      <c r="A492" s="13">
        <v>56615</v>
      </c>
      <c r="B492" s="63">
        <f>7.6256 * CHOOSE(CONTROL!$C$22, $C$13, 100%, $E$13)</f>
        <v>7.6256000000000004</v>
      </c>
      <c r="C492" s="63">
        <f>7.6256 * CHOOSE(CONTROL!$C$22, $C$13, 100%, $E$13)</f>
        <v>7.6256000000000004</v>
      </c>
      <c r="D492" s="63">
        <f>7.6385 * CHOOSE(CONTROL!$C$22, $C$13, 100%, $E$13)</f>
        <v>7.6384999999999996</v>
      </c>
      <c r="E492" s="64">
        <f>8.8543 * CHOOSE(CONTROL!$C$22, $C$13, 100%, $E$13)</f>
        <v>8.8543000000000003</v>
      </c>
      <c r="F492" s="64">
        <f>8.8543 * CHOOSE(CONTROL!$C$22, $C$13, 100%, $E$13)</f>
        <v>8.8543000000000003</v>
      </c>
      <c r="G492" s="64">
        <f>8.8545 * CHOOSE(CONTROL!$C$22, $C$13, 100%, $E$13)</f>
        <v>8.8544999999999998</v>
      </c>
      <c r="H492" s="64">
        <f>15.1785* CHOOSE(CONTROL!$C$22, $C$13, 100%, $E$13)</f>
        <v>15.1785</v>
      </c>
      <c r="I492" s="64">
        <f>15.1787 * CHOOSE(CONTROL!$C$22, $C$13, 100%, $E$13)</f>
        <v>15.178699999999999</v>
      </c>
      <c r="J492" s="64">
        <f>8.8543 * CHOOSE(CONTROL!$C$22, $C$13, 100%, $E$13)</f>
        <v>8.8543000000000003</v>
      </c>
      <c r="K492" s="64">
        <f>8.8545 * CHOOSE(CONTROL!$C$22, $C$13, 100%, $E$13)</f>
        <v>8.8544999999999998</v>
      </c>
    </row>
    <row r="493" spans="1:11" ht="15">
      <c r="A493" s="13">
        <v>56646</v>
      </c>
      <c r="B493" s="63">
        <f>7.6226 * CHOOSE(CONTROL!$C$22, $C$13, 100%, $E$13)</f>
        <v>7.6226000000000003</v>
      </c>
      <c r="C493" s="63">
        <f>7.6226 * CHOOSE(CONTROL!$C$22, $C$13, 100%, $E$13)</f>
        <v>7.6226000000000003</v>
      </c>
      <c r="D493" s="63">
        <f>7.6354 * CHOOSE(CONTROL!$C$22, $C$13, 100%, $E$13)</f>
        <v>7.6353999999999997</v>
      </c>
      <c r="E493" s="64">
        <f>8.7555 * CHOOSE(CONTROL!$C$22, $C$13, 100%, $E$13)</f>
        <v>8.7554999999999996</v>
      </c>
      <c r="F493" s="64">
        <f>8.7555 * CHOOSE(CONTROL!$C$22, $C$13, 100%, $E$13)</f>
        <v>8.7554999999999996</v>
      </c>
      <c r="G493" s="64">
        <f>8.7557 * CHOOSE(CONTROL!$C$22, $C$13, 100%, $E$13)</f>
        <v>8.7556999999999992</v>
      </c>
      <c r="H493" s="64">
        <f>15.2102* CHOOSE(CONTROL!$C$22, $C$13, 100%, $E$13)</f>
        <v>15.2102</v>
      </c>
      <c r="I493" s="64">
        <f>15.2103 * CHOOSE(CONTROL!$C$22, $C$13, 100%, $E$13)</f>
        <v>15.2103</v>
      </c>
      <c r="J493" s="64">
        <f>8.7555 * CHOOSE(CONTROL!$C$22, $C$13, 100%, $E$13)</f>
        <v>8.7554999999999996</v>
      </c>
      <c r="K493" s="64">
        <f>8.7557 * CHOOSE(CONTROL!$C$22, $C$13, 100%, $E$13)</f>
        <v>8.7556999999999992</v>
      </c>
    </row>
    <row r="494" spans="1:11" ht="15">
      <c r="A494" s="13">
        <v>56674</v>
      </c>
      <c r="B494" s="63">
        <f>7.6195 * CHOOSE(CONTROL!$C$22, $C$13, 100%, $E$13)</f>
        <v>7.6195000000000004</v>
      </c>
      <c r="C494" s="63">
        <f>7.6195 * CHOOSE(CONTROL!$C$22, $C$13, 100%, $E$13)</f>
        <v>7.6195000000000004</v>
      </c>
      <c r="D494" s="63">
        <f>7.6324 * CHOOSE(CONTROL!$C$22, $C$13, 100%, $E$13)</f>
        <v>7.6323999999999996</v>
      </c>
      <c r="E494" s="64">
        <f>8.8296 * CHOOSE(CONTROL!$C$22, $C$13, 100%, $E$13)</f>
        <v>8.8295999999999992</v>
      </c>
      <c r="F494" s="64">
        <f>8.8296 * CHOOSE(CONTROL!$C$22, $C$13, 100%, $E$13)</f>
        <v>8.8295999999999992</v>
      </c>
      <c r="G494" s="64">
        <f>8.8298 * CHOOSE(CONTROL!$C$22, $C$13, 100%, $E$13)</f>
        <v>8.8298000000000005</v>
      </c>
      <c r="H494" s="64">
        <f>15.2419* CHOOSE(CONTROL!$C$22, $C$13, 100%, $E$13)</f>
        <v>15.241899999999999</v>
      </c>
      <c r="I494" s="64">
        <f>15.242 * CHOOSE(CONTROL!$C$22, $C$13, 100%, $E$13)</f>
        <v>15.242000000000001</v>
      </c>
      <c r="J494" s="64">
        <f>8.8296 * CHOOSE(CONTROL!$C$22, $C$13, 100%, $E$13)</f>
        <v>8.8295999999999992</v>
      </c>
      <c r="K494" s="64">
        <f>8.8298 * CHOOSE(CONTROL!$C$22, $C$13, 100%, $E$13)</f>
        <v>8.8298000000000005</v>
      </c>
    </row>
    <row r="495" spans="1:11" ht="15">
      <c r="A495" s="13">
        <v>56705</v>
      </c>
      <c r="B495" s="63">
        <f>7.6204 * CHOOSE(CONTROL!$C$22, $C$13, 100%, $E$13)</f>
        <v>7.6204000000000001</v>
      </c>
      <c r="C495" s="63">
        <f>7.6204 * CHOOSE(CONTROL!$C$22, $C$13, 100%, $E$13)</f>
        <v>7.6204000000000001</v>
      </c>
      <c r="D495" s="63">
        <f>7.6332 * CHOOSE(CONTROL!$C$22, $C$13, 100%, $E$13)</f>
        <v>7.6332000000000004</v>
      </c>
      <c r="E495" s="64">
        <f>8.9073 * CHOOSE(CONTROL!$C$22, $C$13, 100%, $E$13)</f>
        <v>8.9072999999999993</v>
      </c>
      <c r="F495" s="64">
        <f>8.9073 * CHOOSE(CONTROL!$C$22, $C$13, 100%, $E$13)</f>
        <v>8.9072999999999993</v>
      </c>
      <c r="G495" s="64">
        <f>8.9075 * CHOOSE(CONTROL!$C$22, $C$13, 100%, $E$13)</f>
        <v>8.9075000000000006</v>
      </c>
      <c r="H495" s="64">
        <f>15.2736* CHOOSE(CONTROL!$C$22, $C$13, 100%, $E$13)</f>
        <v>15.2736</v>
      </c>
      <c r="I495" s="64">
        <f>15.2738 * CHOOSE(CONTROL!$C$22, $C$13, 100%, $E$13)</f>
        <v>15.2738</v>
      </c>
      <c r="J495" s="64">
        <f>8.9073 * CHOOSE(CONTROL!$C$22, $C$13, 100%, $E$13)</f>
        <v>8.9072999999999993</v>
      </c>
      <c r="K495" s="64">
        <f>8.9075 * CHOOSE(CONTROL!$C$22, $C$13, 100%, $E$13)</f>
        <v>8.9075000000000006</v>
      </c>
    </row>
    <row r="496" spans="1:11" ht="15">
      <c r="A496" s="13">
        <v>56735</v>
      </c>
      <c r="B496" s="63">
        <f>7.6204 * CHOOSE(CONTROL!$C$22, $C$13, 100%, $E$13)</f>
        <v>7.6204000000000001</v>
      </c>
      <c r="C496" s="63">
        <f>7.6204 * CHOOSE(CONTROL!$C$22, $C$13, 100%, $E$13)</f>
        <v>7.6204000000000001</v>
      </c>
      <c r="D496" s="63">
        <f>7.6461 * CHOOSE(CONTROL!$C$22, $C$13, 100%, $E$13)</f>
        <v>7.6460999999999997</v>
      </c>
      <c r="E496" s="64">
        <f>8.938 * CHOOSE(CONTROL!$C$22, $C$13, 100%, $E$13)</f>
        <v>8.9380000000000006</v>
      </c>
      <c r="F496" s="64">
        <f>8.938 * CHOOSE(CONTROL!$C$22, $C$13, 100%, $E$13)</f>
        <v>8.9380000000000006</v>
      </c>
      <c r="G496" s="64">
        <f>8.9397 * CHOOSE(CONTROL!$C$22, $C$13, 100%, $E$13)</f>
        <v>8.9397000000000002</v>
      </c>
      <c r="H496" s="64">
        <f>15.3054* CHOOSE(CONTROL!$C$22, $C$13, 100%, $E$13)</f>
        <v>15.305400000000001</v>
      </c>
      <c r="I496" s="64">
        <f>15.3071 * CHOOSE(CONTROL!$C$22, $C$13, 100%, $E$13)</f>
        <v>15.3071</v>
      </c>
      <c r="J496" s="64">
        <f>8.938 * CHOOSE(CONTROL!$C$22, $C$13, 100%, $E$13)</f>
        <v>8.9380000000000006</v>
      </c>
      <c r="K496" s="64">
        <f>8.9397 * CHOOSE(CONTROL!$C$22, $C$13, 100%, $E$13)</f>
        <v>8.9397000000000002</v>
      </c>
    </row>
    <row r="497" spans="1:11" ht="15">
      <c r="A497" s="13">
        <v>56766</v>
      </c>
      <c r="B497" s="63">
        <f>7.6264 * CHOOSE(CONTROL!$C$22, $C$13, 100%, $E$13)</f>
        <v>7.6264000000000003</v>
      </c>
      <c r="C497" s="63">
        <f>7.6264 * CHOOSE(CONTROL!$C$22, $C$13, 100%, $E$13)</f>
        <v>7.6264000000000003</v>
      </c>
      <c r="D497" s="63">
        <f>7.6522 * CHOOSE(CONTROL!$C$22, $C$13, 100%, $E$13)</f>
        <v>7.6521999999999997</v>
      </c>
      <c r="E497" s="64">
        <f>8.9115 * CHOOSE(CONTROL!$C$22, $C$13, 100%, $E$13)</f>
        <v>8.9115000000000002</v>
      </c>
      <c r="F497" s="64">
        <f>8.9115 * CHOOSE(CONTROL!$C$22, $C$13, 100%, $E$13)</f>
        <v>8.9115000000000002</v>
      </c>
      <c r="G497" s="64">
        <f>8.9132 * CHOOSE(CONTROL!$C$22, $C$13, 100%, $E$13)</f>
        <v>8.9131999999999998</v>
      </c>
      <c r="H497" s="64">
        <f>15.3373* CHOOSE(CONTROL!$C$22, $C$13, 100%, $E$13)</f>
        <v>15.337300000000001</v>
      </c>
      <c r="I497" s="64">
        <f>15.339 * CHOOSE(CONTROL!$C$22, $C$13, 100%, $E$13)</f>
        <v>15.339</v>
      </c>
      <c r="J497" s="64">
        <f>8.9115 * CHOOSE(CONTROL!$C$22, $C$13, 100%, $E$13)</f>
        <v>8.9115000000000002</v>
      </c>
      <c r="K497" s="64">
        <f>8.9132 * CHOOSE(CONTROL!$C$22, $C$13, 100%, $E$13)</f>
        <v>8.9131999999999998</v>
      </c>
    </row>
    <row r="498" spans="1:11" ht="15">
      <c r="A498" s="13">
        <v>56796</v>
      </c>
      <c r="B498" s="63">
        <f>7.7506 * CHOOSE(CONTROL!$C$22, $C$13, 100%, $E$13)</f>
        <v>7.7506000000000004</v>
      </c>
      <c r="C498" s="63">
        <f>7.7506 * CHOOSE(CONTROL!$C$22, $C$13, 100%, $E$13)</f>
        <v>7.7506000000000004</v>
      </c>
      <c r="D498" s="63">
        <f>7.7763 * CHOOSE(CONTROL!$C$22, $C$13, 100%, $E$13)</f>
        <v>7.7763</v>
      </c>
      <c r="E498" s="64">
        <f>9.0859 * CHOOSE(CONTROL!$C$22, $C$13, 100%, $E$13)</f>
        <v>9.0859000000000005</v>
      </c>
      <c r="F498" s="64">
        <f>9.0859 * CHOOSE(CONTROL!$C$22, $C$13, 100%, $E$13)</f>
        <v>9.0859000000000005</v>
      </c>
      <c r="G498" s="64">
        <f>9.0875 * CHOOSE(CONTROL!$C$22, $C$13, 100%, $E$13)</f>
        <v>9.0875000000000004</v>
      </c>
      <c r="H498" s="64">
        <f>15.3693* CHOOSE(CONTROL!$C$22, $C$13, 100%, $E$13)</f>
        <v>15.369300000000001</v>
      </c>
      <c r="I498" s="64">
        <f>15.3709 * CHOOSE(CONTROL!$C$22, $C$13, 100%, $E$13)</f>
        <v>15.370900000000001</v>
      </c>
      <c r="J498" s="64">
        <f>9.0859 * CHOOSE(CONTROL!$C$22, $C$13, 100%, $E$13)</f>
        <v>9.0859000000000005</v>
      </c>
      <c r="K498" s="64">
        <f>9.0875 * CHOOSE(CONTROL!$C$22, $C$13, 100%, $E$13)</f>
        <v>9.0875000000000004</v>
      </c>
    </row>
    <row r="499" spans="1:11" ht="15">
      <c r="A499" s="13">
        <v>56827</v>
      </c>
      <c r="B499" s="63">
        <f>7.7573 * CHOOSE(CONTROL!$C$22, $C$13, 100%, $E$13)</f>
        <v>7.7572999999999999</v>
      </c>
      <c r="C499" s="63">
        <f>7.7573 * CHOOSE(CONTROL!$C$22, $C$13, 100%, $E$13)</f>
        <v>7.7572999999999999</v>
      </c>
      <c r="D499" s="63">
        <f>7.783 * CHOOSE(CONTROL!$C$22, $C$13, 100%, $E$13)</f>
        <v>7.7830000000000004</v>
      </c>
      <c r="E499" s="64">
        <f>8.9984 * CHOOSE(CONTROL!$C$22, $C$13, 100%, $E$13)</f>
        <v>8.9984000000000002</v>
      </c>
      <c r="F499" s="64">
        <f>8.9984 * CHOOSE(CONTROL!$C$22, $C$13, 100%, $E$13)</f>
        <v>8.9984000000000002</v>
      </c>
      <c r="G499" s="64">
        <f>9 * CHOOSE(CONTROL!$C$22, $C$13, 100%, $E$13)</f>
        <v>9</v>
      </c>
      <c r="H499" s="64">
        <f>15.4013* CHOOSE(CONTROL!$C$22, $C$13, 100%, $E$13)</f>
        <v>15.401300000000001</v>
      </c>
      <c r="I499" s="64">
        <f>15.4029 * CHOOSE(CONTROL!$C$22, $C$13, 100%, $E$13)</f>
        <v>15.402900000000001</v>
      </c>
      <c r="J499" s="64">
        <f>8.9984 * CHOOSE(CONTROL!$C$22, $C$13, 100%, $E$13)</f>
        <v>8.9984000000000002</v>
      </c>
      <c r="K499" s="64">
        <f>9 * CHOOSE(CONTROL!$C$22, $C$13, 100%, $E$13)</f>
        <v>9</v>
      </c>
    </row>
    <row r="500" spans="1:11" ht="15">
      <c r="A500" s="13">
        <v>56858</v>
      </c>
      <c r="B500" s="63">
        <f>7.7542 * CHOOSE(CONTROL!$C$22, $C$13, 100%, $E$13)</f>
        <v>7.7542</v>
      </c>
      <c r="C500" s="63">
        <f>7.7542 * CHOOSE(CONTROL!$C$22, $C$13, 100%, $E$13)</f>
        <v>7.7542</v>
      </c>
      <c r="D500" s="63">
        <f>7.78 * CHOOSE(CONTROL!$C$22, $C$13, 100%, $E$13)</f>
        <v>7.78</v>
      </c>
      <c r="E500" s="64">
        <f>8.986 * CHOOSE(CONTROL!$C$22, $C$13, 100%, $E$13)</f>
        <v>8.9860000000000007</v>
      </c>
      <c r="F500" s="64">
        <f>8.986 * CHOOSE(CONTROL!$C$22, $C$13, 100%, $E$13)</f>
        <v>8.9860000000000007</v>
      </c>
      <c r="G500" s="64">
        <f>8.9876 * CHOOSE(CONTROL!$C$22, $C$13, 100%, $E$13)</f>
        <v>8.9876000000000005</v>
      </c>
      <c r="H500" s="64">
        <f>15.4334* CHOOSE(CONTROL!$C$22, $C$13, 100%, $E$13)</f>
        <v>15.433400000000001</v>
      </c>
      <c r="I500" s="64">
        <f>15.435 * CHOOSE(CONTROL!$C$22, $C$13, 100%, $E$13)</f>
        <v>15.435</v>
      </c>
      <c r="J500" s="64">
        <f>8.986 * CHOOSE(CONTROL!$C$22, $C$13, 100%, $E$13)</f>
        <v>8.9860000000000007</v>
      </c>
      <c r="K500" s="64">
        <f>8.9876 * CHOOSE(CONTROL!$C$22, $C$13, 100%, $E$13)</f>
        <v>8.9876000000000005</v>
      </c>
    </row>
    <row r="501" spans="1:11" ht="15">
      <c r="A501" s="13">
        <v>56888</v>
      </c>
      <c r="B501" s="63">
        <f>7.762 * CHOOSE(CONTROL!$C$22, $C$13, 100%, $E$13)</f>
        <v>7.7619999999999996</v>
      </c>
      <c r="C501" s="63">
        <f>7.762 * CHOOSE(CONTROL!$C$22, $C$13, 100%, $E$13)</f>
        <v>7.7619999999999996</v>
      </c>
      <c r="D501" s="63">
        <f>7.7748 * CHOOSE(CONTROL!$C$22, $C$13, 100%, $E$13)</f>
        <v>7.7747999999999999</v>
      </c>
      <c r="E501" s="64">
        <f>9.0135 * CHOOSE(CONTROL!$C$22, $C$13, 100%, $E$13)</f>
        <v>9.0135000000000005</v>
      </c>
      <c r="F501" s="64">
        <f>9.0135 * CHOOSE(CONTROL!$C$22, $C$13, 100%, $E$13)</f>
        <v>9.0135000000000005</v>
      </c>
      <c r="G501" s="64">
        <f>9.0137 * CHOOSE(CONTROL!$C$22, $C$13, 100%, $E$13)</f>
        <v>9.0137</v>
      </c>
      <c r="H501" s="64">
        <f>15.4655* CHOOSE(CONTROL!$C$22, $C$13, 100%, $E$13)</f>
        <v>15.4655</v>
      </c>
      <c r="I501" s="64">
        <f>15.4657 * CHOOSE(CONTROL!$C$22, $C$13, 100%, $E$13)</f>
        <v>15.4657</v>
      </c>
      <c r="J501" s="64">
        <f>9.0135 * CHOOSE(CONTROL!$C$22, $C$13, 100%, $E$13)</f>
        <v>9.0135000000000005</v>
      </c>
      <c r="K501" s="64">
        <f>9.0137 * CHOOSE(CONTROL!$C$22, $C$13, 100%, $E$13)</f>
        <v>9.0137</v>
      </c>
    </row>
    <row r="502" spans="1:11" ht="15">
      <c r="A502" s="13">
        <v>56919</v>
      </c>
      <c r="B502" s="63">
        <f>7.765 * CHOOSE(CONTROL!$C$22, $C$13, 100%, $E$13)</f>
        <v>7.7649999999999997</v>
      </c>
      <c r="C502" s="63">
        <f>7.765 * CHOOSE(CONTROL!$C$22, $C$13, 100%, $E$13)</f>
        <v>7.7649999999999997</v>
      </c>
      <c r="D502" s="63">
        <f>7.7779 * CHOOSE(CONTROL!$C$22, $C$13, 100%, $E$13)</f>
        <v>7.7778999999999998</v>
      </c>
      <c r="E502" s="64">
        <f>9.0361 * CHOOSE(CONTROL!$C$22, $C$13, 100%, $E$13)</f>
        <v>9.0360999999999994</v>
      </c>
      <c r="F502" s="64">
        <f>9.0361 * CHOOSE(CONTROL!$C$22, $C$13, 100%, $E$13)</f>
        <v>9.0360999999999994</v>
      </c>
      <c r="G502" s="64">
        <f>9.0363 * CHOOSE(CONTROL!$C$22, $C$13, 100%, $E$13)</f>
        <v>9.0363000000000007</v>
      </c>
      <c r="H502" s="64">
        <f>15.4977* CHOOSE(CONTROL!$C$22, $C$13, 100%, $E$13)</f>
        <v>15.4977</v>
      </c>
      <c r="I502" s="64">
        <f>15.4979 * CHOOSE(CONTROL!$C$22, $C$13, 100%, $E$13)</f>
        <v>15.4979</v>
      </c>
      <c r="J502" s="64">
        <f>9.0361 * CHOOSE(CONTROL!$C$22, $C$13, 100%, $E$13)</f>
        <v>9.0360999999999994</v>
      </c>
      <c r="K502" s="64">
        <f>9.0363 * CHOOSE(CONTROL!$C$22, $C$13, 100%, $E$13)</f>
        <v>9.0363000000000007</v>
      </c>
    </row>
    <row r="503" spans="1:11" ht="15">
      <c r="A503" s="13">
        <v>56949</v>
      </c>
      <c r="B503" s="63">
        <f>7.765 * CHOOSE(CONTROL!$C$22, $C$13, 100%, $E$13)</f>
        <v>7.7649999999999997</v>
      </c>
      <c r="C503" s="63">
        <f>7.765 * CHOOSE(CONTROL!$C$22, $C$13, 100%, $E$13)</f>
        <v>7.7649999999999997</v>
      </c>
      <c r="D503" s="63">
        <f>7.7779 * CHOOSE(CONTROL!$C$22, $C$13, 100%, $E$13)</f>
        <v>7.7778999999999998</v>
      </c>
      <c r="E503" s="64">
        <f>8.9849 * CHOOSE(CONTROL!$C$22, $C$13, 100%, $E$13)</f>
        <v>8.9848999999999997</v>
      </c>
      <c r="F503" s="64">
        <f>8.9849 * CHOOSE(CONTROL!$C$22, $C$13, 100%, $E$13)</f>
        <v>8.9848999999999997</v>
      </c>
      <c r="G503" s="64">
        <f>8.9851 * CHOOSE(CONTROL!$C$22, $C$13, 100%, $E$13)</f>
        <v>8.9850999999999992</v>
      </c>
      <c r="H503" s="64">
        <f>15.53* CHOOSE(CONTROL!$C$22, $C$13, 100%, $E$13)</f>
        <v>15.53</v>
      </c>
      <c r="I503" s="64">
        <f>15.5302 * CHOOSE(CONTROL!$C$22, $C$13, 100%, $E$13)</f>
        <v>15.530200000000001</v>
      </c>
      <c r="J503" s="64">
        <f>8.9849 * CHOOSE(CONTROL!$C$22, $C$13, 100%, $E$13)</f>
        <v>8.9848999999999997</v>
      </c>
      <c r="K503" s="64">
        <f>8.9851 * CHOOSE(CONTROL!$C$22, $C$13, 100%, $E$13)</f>
        <v>8.9850999999999992</v>
      </c>
    </row>
    <row r="504" spans="1:11" ht="15">
      <c r="A504" s="13">
        <v>56980</v>
      </c>
      <c r="B504" s="63">
        <f>7.8339 * CHOOSE(CONTROL!$C$22, $C$13, 100%, $E$13)</f>
        <v>7.8338999999999999</v>
      </c>
      <c r="C504" s="63">
        <f>7.8339 * CHOOSE(CONTROL!$C$22, $C$13, 100%, $E$13)</f>
        <v>7.8338999999999999</v>
      </c>
      <c r="D504" s="63">
        <f>7.8468 * CHOOSE(CONTROL!$C$22, $C$13, 100%, $E$13)</f>
        <v>7.8468</v>
      </c>
      <c r="E504" s="64">
        <f>9.1021 * CHOOSE(CONTROL!$C$22, $C$13, 100%, $E$13)</f>
        <v>9.1021000000000001</v>
      </c>
      <c r="F504" s="64">
        <f>9.1021 * CHOOSE(CONTROL!$C$22, $C$13, 100%, $E$13)</f>
        <v>9.1021000000000001</v>
      </c>
      <c r="G504" s="64">
        <f>9.1023 * CHOOSE(CONTROL!$C$22, $C$13, 100%, $E$13)</f>
        <v>9.1022999999999996</v>
      </c>
      <c r="H504" s="64">
        <f>15.5624* CHOOSE(CONTROL!$C$22, $C$13, 100%, $E$13)</f>
        <v>15.5624</v>
      </c>
      <c r="I504" s="64">
        <f>15.5626 * CHOOSE(CONTROL!$C$22, $C$13, 100%, $E$13)</f>
        <v>15.5626</v>
      </c>
      <c r="J504" s="64">
        <f>9.1021 * CHOOSE(CONTROL!$C$22, $C$13, 100%, $E$13)</f>
        <v>9.1021000000000001</v>
      </c>
      <c r="K504" s="64">
        <f>9.1023 * CHOOSE(CONTROL!$C$22, $C$13, 100%, $E$13)</f>
        <v>9.1022999999999996</v>
      </c>
    </row>
    <row r="505" spans="1:11" ht="15">
      <c r="A505" s="13">
        <v>57011</v>
      </c>
      <c r="B505" s="63">
        <f>7.8309 * CHOOSE(CONTROL!$C$22, $C$13, 100%, $E$13)</f>
        <v>7.8308999999999997</v>
      </c>
      <c r="C505" s="63">
        <f>7.8309 * CHOOSE(CONTROL!$C$22, $C$13, 100%, $E$13)</f>
        <v>7.8308999999999997</v>
      </c>
      <c r="D505" s="63">
        <f>7.8438 * CHOOSE(CONTROL!$C$22, $C$13, 100%, $E$13)</f>
        <v>7.8437999999999999</v>
      </c>
      <c r="E505" s="64">
        <f>9.0005 * CHOOSE(CONTROL!$C$22, $C$13, 100%, $E$13)</f>
        <v>9.0005000000000006</v>
      </c>
      <c r="F505" s="64">
        <f>9.0005 * CHOOSE(CONTROL!$C$22, $C$13, 100%, $E$13)</f>
        <v>9.0005000000000006</v>
      </c>
      <c r="G505" s="64">
        <f>9.0007 * CHOOSE(CONTROL!$C$22, $C$13, 100%, $E$13)</f>
        <v>9.0007000000000001</v>
      </c>
      <c r="H505" s="64">
        <f>15.5948* CHOOSE(CONTROL!$C$22, $C$13, 100%, $E$13)</f>
        <v>15.594799999999999</v>
      </c>
      <c r="I505" s="64">
        <f>15.595 * CHOOSE(CONTROL!$C$22, $C$13, 100%, $E$13)</f>
        <v>15.595000000000001</v>
      </c>
      <c r="J505" s="64">
        <f>9.0005 * CHOOSE(CONTROL!$C$22, $C$13, 100%, $E$13)</f>
        <v>9.0005000000000006</v>
      </c>
      <c r="K505" s="64">
        <f>9.0007 * CHOOSE(CONTROL!$C$22, $C$13, 100%, $E$13)</f>
        <v>9.0007000000000001</v>
      </c>
    </row>
    <row r="506" spans="1:11" ht="15">
      <c r="A506" s="13">
        <v>57040</v>
      </c>
      <c r="B506" s="63">
        <f>7.8279 * CHOOSE(CONTROL!$C$22, $C$13, 100%, $E$13)</f>
        <v>7.8278999999999996</v>
      </c>
      <c r="C506" s="63">
        <f>7.8279 * CHOOSE(CONTROL!$C$22, $C$13, 100%, $E$13)</f>
        <v>7.8278999999999996</v>
      </c>
      <c r="D506" s="63">
        <f>7.8407 * CHOOSE(CONTROL!$C$22, $C$13, 100%, $E$13)</f>
        <v>7.8407</v>
      </c>
      <c r="E506" s="64">
        <f>9.0768 * CHOOSE(CONTROL!$C$22, $C$13, 100%, $E$13)</f>
        <v>9.0768000000000004</v>
      </c>
      <c r="F506" s="64">
        <f>9.0768 * CHOOSE(CONTROL!$C$22, $C$13, 100%, $E$13)</f>
        <v>9.0768000000000004</v>
      </c>
      <c r="G506" s="64">
        <f>9.077 * CHOOSE(CONTROL!$C$22, $C$13, 100%, $E$13)</f>
        <v>9.077</v>
      </c>
      <c r="H506" s="64">
        <f>15.6273* CHOOSE(CONTROL!$C$22, $C$13, 100%, $E$13)</f>
        <v>15.6273</v>
      </c>
      <c r="I506" s="64">
        <f>15.6275 * CHOOSE(CONTROL!$C$22, $C$13, 100%, $E$13)</f>
        <v>15.6275</v>
      </c>
      <c r="J506" s="64">
        <f>9.0768 * CHOOSE(CONTROL!$C$22, $C$13, 100%, $E$13)</f>
        <v>9.0768000000000004</v>
      </c>
      <c r="K506" s="64">
        <f>9.077 * CHOOSE(CONTROL!$C$22, $C$13, 100%, $E$13)</f>
        <v>9.077</v>
      </c>
    </row>
    <row r="507" spans="1:11" ht="15">
      <c r="A507" s="13">
        <v>57071</v>
      </c>
      <c r="B507" s="63">
        <f>7.8289 * CHOOSE(CONTROL!$C$22, $C$13, 100%, $E$13)</f>
        <v>7.8289</v>
      </c>
      <c r="C507" s="63">
        <f>7.8289 * CHOOSE(CONTROL!$C$22, $C$13, 100%, $E$13)</f>
        <v>7.8289</v>
      </c>
      <c r="D507" s="63">
        <f>7.8418 * CHOOSE(CONTROL!$C$22, $C$13, 100%, $E$13)</f>
        <v>7.8418000000000001</v>
      </c>
      <c r="E507" s="64">
        <f>9.1568 * CHOOSE(CONTROL!$C$22, $C$13, 100%, $E$13)</f>
        <v>9.1568000000000005</v>
      </c>
      <c r="F507" s="64">
        <f>9.1568 * CHOOSE(CONTROL!$C$22, $C$13, 100%, $E$13)</f>
        <v>9.1568000000000005</v>
      </c>
      <c r="G507" s="64">
        <f>9.157 * CHOOSE(CONTROL!$C$22, $C$13, 100%, $E$13)</f>
        <v>9.157</v>
      </c>
      <c r="H507" s="64">
        <f>15.6599* CHOOSE(CONTROL!$C$22, $C$13, 100%, $E$13)</f>
        <v>15.6599</v>
      </c>
      <c r="I507" s="64">
        <f>15.66 * CHOOSE(CONTROL!$C$22, $C$13, 100%, $E$13)</f>
        <v>15.66</v>
      </c>
      <c r="J507" s="64">
        <f>9.1568 * CHOOSE(CONTROL!$C$22, $C$13, 100%, $E$13)</f>
        <v>9.1568000000000005</v>
      </c>
      <c r="K507" s="64">
        <f>9.157 * CHOOSE(CONTROL!$C$22, $C$13, 100%, $E$13)</f>
        <v>9.157</v>
      </c>
    </row>
    <row r="508" spans="1:11" ht="15">
      <c r="A508" s="13">
        <v>57101</v>
      </c>
      <c r="B508" s="63">
        <f>7.8289 * CHOOSE(CONTROL!$C$22, $C$13, 100%, $E$13)</f>
        <v>7.8289</v>
      </c>
      <c r="C508" s="63">
        <f>7.8289 * CHOOSE(CONTROL!$C$22, $C$13, 100%, $E$13)</f>
        <v>7.8289</v>
      </c>
      <c r="D508" s="63">
        <f>7.8546 * CHOOSE(CONTROL!$C$22, $C$13, 100%, $E$13)</f>
        <v>7.8545999999999996</v>
      </c>
      <c r="E508" s="64">
        <f>9.1884 * CHOOSE(CONTROL!$C$22, $C$13, 100%, $E$13)</f>
        <v>9.1883999999999997</v>
      </c>
      <c r="F508" s="64">
        <f>9.1884 * CHOOSE(CONTROL!$C$22, $C$13, 100%, $E$13)</f>
        <v>9.1883999999999997</v>
      </c>
      <c r="G508" s="64">
        <f>9.19 * CHOOSE(CONTROL!$C$22, $C$13, 100%, $E$13)</f>
        <v>9.19</v>
      </c>
      <c r="H508" s="64">
        <f>15.6925* CHOOSE(CONTROL!$C$22, $C$13, 100%, $E$13)</f>
        <v>15.692500000000001</v>
      </c>
      <c r="I508" s="64">
        <f>15.6941 * CHOOSE(CONTROL!$C$22, $C$13, 100%, $E$13)</f>
        <v>15.694100000000001</v>
      </c>
      <c r="J508" s="64">
        <f>9.1884 * CHOOSE(CONTROL!$C$22, $C$13, 100%, $E$13)</f>
        <v>9.1883999999999997</v>
      </c>
      <c r="K508" s="64">
        <f>9.19 * CHOOSE(CONTROL!$C$22, $C$13, 100%, $E$13)</f>
        <v>9.19</v>
      </c>
    </row>
    <row r="509" spans="1:11" ht="15">
      <c r="A509" s="13">
        <v>57132</v>
      </c>
      <c r="B509" s="63">
        <f>7.835 * CHOOSE(CONTROL!$C$22, $C$13, 100%, $E$13)</f>
        <v>7.835</v>
      </c>
      <c r="C509" s="63">
        <f>7.835 * CHOOSE(CONTROL!$C$22, $C$13, 100%, $E$13)</f>
        <v>7.835</v>
      </c>
      <c r="D509" s="63">
        <f>7.8607 * CHOOSE(CONTROL!$C$22, $C$13, 100%, $E$13)</f>
        <v>7.8606999999999996</v>
      </c>
      <c r="E509" s="64">
        <f>9.1611 * CHOOSE(CONTROL!$C$22, $C$13, 100%, $E$13)</f>
        <v>9.1610999999999994</v>
      </c>
      <c r="F509" s="64">
        <f>9.1611 * CHOOSE(CONTROL!$C$22, $C$13, 100%, $E$13)</f>
        <v>9.1610999999999994</v>
      </c>
      <c r="G509" s="64">
        <f>9.1627 * CHOOSE(CONTROL!$C$22, $C$13, 100%, $E$13)</f>
        <v>9.1626999999999992</v>
      </c>
      <c r="H509" s="64">
        <f>15.7252* CHOOSE(CONTROL!$C$22, $C$13, 100%, $E$13)</f>
        <v>15.725199999999999</v>
      </c>
      <c r="I509" s="64">
        <f>15.7268 * CHOOSE(CONTROL!$C$22, $C$13, 100%, $E$13)</f>
        <v>15.726800000000001</v>
      </c>
      <c r="J509" s="64">
        <f>9.1611 * CHOOSE(CONTROL!$C$22, $C$13, 100%, $E$13)</f>
        <v>9.1610999999999994</v>
      </c>
      <c r="K509" s="64">
        <f>9.1627 * CHOOSE(CONTROL!$C$22, $C$13, 100%, $E$13)</f>
        <v>9.1626999999999992</v>
      </c>
    </row>
    <row r="510" spans="1:11" ht="15">
      <c r="A510" s="13">
        <v>57162</v>
      </c>
      <c r="B510" s="63">
        <f>7.9622 * CHOOSE(CONTROL!$C$22, $C$13, 100%, $E$13)</f>
        <v>7.9622000000000002</v>
      </c>
      <c r="C510" s="63">
        <f>7.9622 * CHOOSE(CONTROL!$C$22, $C$13, 100%, $E$13)</f>
        <v>7.9622000000000002</v>
      </c>
      <c r="D510" s="63">
        <f>7.9879 * CHOOSE(CONTROL!$C$22, $C$13, 100%, $E$13)</f>
        <v>7.9878999999999998</v>
      </c>
      <c r="E510" s="64">
        <f>9.34 * CHOOSE(CONTROL!$C$22, $C$13, 100%, $E$13)</f>
        <v>9.34</v>
      </c>
      <c r="F510" s="64">
        <f>9.34 * CHOOSE(CONTROL!$C$22, $C$13, 100%, $E$13)</f>
        <v>9.34</v>
      </c>
      <c r="G510" s="64">
        <f>9.3416 * CHOOSE(CONTROL!$C$22, $C$13, 100%, $E$13)</f>
        <v>9.3415999999999997</v>
      </c>
      <c r="H510" s="64">
        <f>15.7579* CHOOSE(CONTROL!$C$22, $C$13, 100%, $E$13)</f>
        <v>15.757899999999999</v>
      </c>
      <c r="I510" s="64">
        <f>15.7596 * CHOOSE(CONTROL!$C$22, $C$13, 100%, $E$13)</f>
        <v>15.759600000000001</v>
      </c>
      <c r="J510" s="64">
        <f>9.34 * CHOOSE(CONTROL!$C$22, $C$13, 100%, $E$13)</f>
        <v>9.34</v>
      </c>
      <c r="K510" s="64">
        <f>9.3416 * CHOOSE(CONTROL!$C$22, $C$13, 100%, $E$13)</f>
        <v>9.3415999999999997</v>
      </c>
    </row>
    <row r="511" spans="1:11" ht="15">
      <c r="A511" s="13">
        <v>57193</v>
      </c>
      <c r="B511" s="63">
        <f>7.9689 * CHOOSE(CONTROL!$C$22, $C$13, 100%, $E$13)</f>
        <v>7.9688999999999997</v>
      </c>
      <c r="C511" s="63">
        <f>7.9689 * CHOOSE(CONTROL!$C$22, $C$13, 100%, $E$13)</f>
        <v>7.9688999999999997</v>
      </c>
      <c r="D511" s="63">
        <f>7.9946 * CHOOSE(CONTROL!$C$22, $C$13, 100%, $E$13)</f>
        <v>7.9946000000000002</v>
      </c>
      <c r="E511" s="64">
        <f>9.2499 * CHOOSE(CONTROL!$C$22, $C$13, 100%, $E$13)</f>
        <v>9.2499000000000002</v>
      </c>
      <c r="F511" s="64">
        <f>9.2499 * CHOOSE(CONTROL!$C$22, $C$13, 100%, $E$13)</f>
        <v>9.2499000000000002</v>
      </c>
      <c r="G511" s="64">
        <f>9.2515 * CHOOSE(CONTROL!$C$22, $C$13, 100%, $E$13)</f>
        <v>9.2515000000000001</v>
      </c>
      <c r="H511" s="64">
        <f>15.7908* CHOOSE(CONTROL!$C$22, $C$13, 100%, $E$13)</f>
        <v>15.790800000000001</v>
      </c>
      <c r="I511" s="64">
        <f>15.7924 * CHOOSE(CONTROL!$C$22, $C$13, 100%, $E$13)</f>
        <v>15.792400000000001</v>
      </c>
      <c r="J511" s="64">
        <f>9.2499 * CHOOSE(CONTROL!$C$22, $C$13, 100%, $E$13)</f>
        <v>9.2499000000000002</v>
      </c>
      <c r="K511" s="64">
        <f>9.2515 * CHOOSE(CONTROL!$C$22, $C$13, 100%, $E$13)</f>
        <v>9.2515000000000001</v>
      </c>
    </row>
    <row r="512" spans="1:11" ht="15">
      <c r="A512" s="13">
        <v>57224</v>
      </c>
      <c r="B512" s="63">
        <f>7.9658 * CHOOSE(CONTROL!$C$22, $C$13, 100%, $E$13)</f>
        <v>7.9657999999999998</v>
      </c>
      <c r="C512" s="63">
        <f>7.9658 * CHOOSE(CONTROL!$C$22, $C$13, 100%, $E$13)</f>
        <v>7.9657999999999998</v>
      </c>
      <c r="D512" s="63">
        <f>7.9916 * CHOOSE(CONTROL!$C$22, $C$13, 100%, $E$13)</f>
        <v>7.9916</v>
      </c>
      <c r="E512" s="64">
        <f>9.2372 * CHOOSE(CONTROL!$C$22, $C$13, 100%, $E$13)</f>
        <v>9.2371999999999996</v>
      </c>
      <c r="F512" s="64">
        <f>9.2372 * CHOOSE(CONTROL!$C$22, $C$13, 100%, $E$13)</f>
        <v>9.2371999999999996</v>
      </c>
      <c r="G512" s="64">
        <f>9.2389 * CHOOSE(CONTROL!$C$22, $C$13, 100%, $E$13)</f>
        <v>9.2388999999999992</v>
      </c>
      <c r="H512" s="64">
        <f>15.8237* CHOOSE(CONTROL!$C$22, $C$13, 100%, $E$13)</f>
        <v>15.823700000000001</v>
      </c>
      <c r="I512" s="64">
        <f>15.8253 * CHOOSE(CONTROL!$C$22, $C$13, 100%, $E$13)</f>
        <v>15.8253</v>
      </c>
      <c r="J512" s="64">
        <f>9.2372 * CHOOSE(CONTROL!$C$22, $C$13, 100%, $E$13)</f>
        <v>9.2371999999999996</v>
      </c>
      <c r="K512" s="64">
        <f>9.2389 * CHOOSE(CONTROL!$C$22, $C$13, 100%, $E$13)</f>
        <v>9.2388999999999992</v>
      </c>
    </row>
    <row r="513" spans="1:11" ht="15">
      <c r="A513" s="13">
        <v>57254</v>
      </c>
      <c r="B513" s="63">
        <f>7.9743 * CHOOSE(CONTROL!$C$22, $C$13, 100%, $E$13)</f>
        <v>7.9743000000000004</v>
      </c>
      <c r="C513" s="63">
        <f>7.9743 * CHOOSE(CONTROL!$C$22, $C$13, 100%, $E$13)</f>
        <v>7.9743000000000004</v>
      </c>
      <c r="D513" s="63">
        <f>7.9872 * CHOOSE(CONTROL!$C$22, $C$13, 100%, $E$13)</f>
        <v>7.9871999999999996</v>
      </c>
      <c r="E513" s="64">
        <f>9.2659 * CHOOSE(CONTROL!$C$22, $C$13, 100%, $E$13)</f>
        <v>9.2659000000000002</v>
      </c>
      <c r="F513" s="64">
        <f>9.2659 * CHOOSE(CONTROL!$C$22, $C$13, 100%, $E$13)</f>
        <v>9.2659000000000002</v>
      </c>
      <c r="G513" s="64">
        <f>9.2661 * CHOOSE(CONTROL!$C$22, $C$13, 100%, $E$13)</f>
        <v>9.2660999999999998</v>
      </c>
      <c r="H513" s="64">
        <f>15.8566* CHOOSE(CONTROL!$C$22, $C$13, 100%, $E$13)</f>
        <v>15.8566</v>
      </c>
      <c r="I513" s="64">
        <f>15.8568 * CHOOSE(CONTROL!$C$22, $C$13, 100%, $E$13)</f>
        <v>15.8568</v>
      </c>
      <c r="J513" s="64">
        <f>9.2659 * CHOOSE(CONTROL!$C$22, $C$13, 100%, $E$13)</f>
        <v>9.2659000000000002</v>
      </c>
      <c r="K513" s="64">
        <f>9.2661 * CHOOSE(CONTROL!$C$22, $C$13, 100%, $E$13)</f>
        <v>9.2660999999999998</v>
      </c>
    </row>
    <row r="514" spans="1:11" ht="15">
      <c r="A514" s="13">
        <v>57285</v>
      </c>
      <c r="B514" s="63">
        <f>7.9773 * CHOOSE(CONTROL!$C$22, $C$13, 100%, $E$13)</f>
        <v>7.9772999999999996</v>
      </c>
      <c r="C514" s="63">
        <f>7.9773 * CHOOSE(CONTROL!$C$22, $C$13, 100%, $E$13)</f>
        <v>7.9772999999999996</v>
      </c>
      <c r="D514" s="63">
        <f>7.9902 * CHOOSE(CONTROL!$C$22, $C$13, 100%, $E$13)</f>
        <v>7.9901999999999997</v>
      </c>
      <c r="E514" s="64">
        <f>9.2891 * CHOOSE(CONTROL!$C$22, $C$13, 100%, $E$13)</f>
        <v>9.2890999999999995</v>
      </c>
      <c r="F514" s="64">
        <f>9.2891 * CHOOSE(CONTROL!$C$22, $C$13, 100%, $E$13)</f>
        <v>9.2890999999999995</v>
      </c>
      <c r="G514" s="64">
        <f>9.2893 * CHOOSE(CONTROL!$C$22, $C$13, 100%, $E$13)</f>
        <v>9.2893000000000008</v>
      </c>
      <c r="H514" s="64">
        <f>15.8897* CHOOSE(CONTROL!$C$22, $C$13, 100%, $E$13)</f>
        <v>15.889699999999999</v>
      </c>
      <c r="I514" s="64">
        <f>15.8898 * CHOOSE(CONTROL!$C$22, $C$13, 100%, $E$13)</f>
        <v>15.889799999999999</v>
      </c>
      <c r="J514" s="64">
        <f>9.2891 * CHOOSE(CONTROL!$C$22, $C$13, 100%, $E$13)</f>
        <v>9.2890999999999995</v>
      </c>
      <c r="K514" s="64">
        <f>9.2893 * CHOOSE(CONTROL!$C$22, $C$13, 100%, $E$13)</f>
        <v>9.2893000000000008</v>
      </c>
    </row>
    <row r="515" spans="1:11" ht="15">
      <c r="A515" s="13">
        <v>57315</v>
      </c>
      <c r="B515" s="63">
        <f>7.9773 * CHOOSE(CONTROL!$C$22, $C$13, 100%, $E$13)</f>
        <v>7.9772999999999996</v>
      </c>
      <c r="C515" s="63">
        <f>7.9773 * CHOOSE(CONTROL!$C$22, $C$13, 100%, $E$13)</f>
        <v>7.9772999999999996</v>
      </c>
      <c r="D515" s="63">
        <f>7.9902 * CHOOSE(CONTROL!$C$22, $C$13, 100%, $E$13)</f>
        <v>7.9901999999999997</v>
      </c>
      <c r="E515" s="64">
        <f>9.2365 * CHOOSE(CONTROL!$C$22, $C$13, 100%, $E$13)</f>
        <v>9.2364999999999995</v>
      </c>
      <c r="F515" s="64">
        <f>9.2365 * CHOOSE(CONTROL!$C$22, $C$13, 100%, $E$13)</f>
        <v>9.2364999999999995</v>
      </c>
      <c r="G515" s="64">
        <f>9.2366 * CHOOSE(CONTROL!$C$22, $C$13, 100%, $E$13)</f>
        <v>9.2365999999999993</v>
      </c>
      <c r="H515" s="64">
        <f>15.9228* CHOOSE(CONTROL!$C$22, $C$13, 100%, $E$13)</f>
        <v>15.922800000000001</v>
      </c>
      <c r="I515" s="64">
        <f>15.9229 * CHOOSE(CONTROL!$C$22, $C$13, 100%, $E$13)</f>
        <v>15.9229</v>
      </c>
      <c r="J515" s="64">
        <f>9.2365 * CHOOSE(CONTROL!$C$22, $C$13, 100%, $E$13)</f>
        <v>9.2364999999999995</v>
      </c>
      <c r="K515" s="64">
        <f>9.2366 * CHOOSE(CONTROL!$C$22, $C$13, 100%, $E$13)</f>
        <v>9.2365999999999993</v>
      </c>
    </row>
    <row r="516" spans="1:11" ht="15">
      <c r="A516" s="13">
        <v>57346</v>
      </c>
      <c r="B516" s="63">
        <f>8.048 * CHOOSE(CONTROL!$C$22, $C$13, 100%, $E$13)</f>
        <v>8.048</v>
      </c>
      <c r="C516" s="63">
        <f>8.048 * CHOOSE(CONTROL!$C$22, $C$13, 100%, $E$13)</f>
        <v>8.048</v>
      </c>
      <c r="D516" s="63">
        <f>8.0609 * CHOOSE(CONTROL!$C$22, $C$13, 100%, $E$13)</f>
        <v>8.0609000000000002</v>
      </c>
      <c r="E516" s="64">
        <f>9.3568 * CHOOSE(CONTROL!$C$22, $C$13, 100%, $E$13)</f>
        <v>9.3567999999999998</v>
      </c>
      <c r="F516" s="64">
        <f>9.3568 * CHOOSE(CONTROL!$C$22, $C$13, 100%, $E$13)</f>
        <v>9.3567999999999998</v>
      </c>
      <c r="G516" s="64">
        <f>9.357 * CHOOSE(CONTROL!$C$22, $C$13, 100%, $E$13)</f>
        <v>9.3569999999999993</v>
      </c>
      <c r="H516" s="64">
        <f>15.9559* CHOOSE(CONTROL!$C$22, $C$13, 100%, $E$13)</f>
        <v>15.9559</v>
      </c>
      <c r="I516" s="64">
        <f>15.9561 * CHOOSE(CONTROL!$C$22, $C$13, 100%, $E$13)</f>
        <v>15.956099999999999</v>
      </c>
      <c r="J516" s="64">
        <f>9.3568 * CHOOSE(CONTROL!$C$22, $C$13, 100%, $E$13)</f>
        <v>9.3567999999999998</v>
      </c>
      <c r="K516" s="64">
        <f>9.357 * CHOOSE(CONTROL!$C$22, $C$13, 100%, $E$13)</f>
        <v>9.3569999999999993</v>
      </c>
    </row>
    <row r="517" spans="1:11" ht="15">
      <c r="A517" s="13">
        <v>57377</v>
      </c>
      <c r="B517" s="63">
        <f>8.045 * CHOOSE(CONTROL!$C$22, $C$13, 100%, $E$13)</f>
        <v>8.0449999999999999</v>
      </c>
      <c r="C517" s="63">
        <f>8.045 * CHOOSE(CONTROL!$C$22, $C$13, 100%, $E$13)</f>
        <v>8.0449999999999999</v>
      </c>
      <c r="D517" s="63">
        <f>8.0579 * CHOOSE(CONTROL!$C$22, $C$13, 100%, $E$13)</f>
        <v>8.0579000000000001</v>
      </c>
      <c r="E517" s="64">
        <f>9.2525 * CHOOSE(CONTROL!$C$22, $C$13, 100%, $E$13)</f>
        <v>9.2524999999999995</v>
      </c>
      <c r="F517" s="64">
        <f>9.2525 * CHOOSE(CONTROL!$C$22, $C$13, 100%, $E$13)</f>
        <v>9.2524999999999995</v>
      </c>
      <c r="G517" s="64">
        <f>9.2526 * CHOOSE(CONTROL!$C$22, $C$13, 100%, $E$13)</f>
        <v>9.2525999999999993</v>
      </c>
      <c r="H517" s="64">
        <f>15.9892* CHOOSE(CONTROL!$C$22, $C$13, 100%, $E$13)</f>
        <v>15.9892</v>
      </c>
      <c r="I517" s="64">
        <f>15.9894 * CHOOSE(CONTROL!$C$22, $C$13, 100%, $E$13)</f>
        <v>15.9894</v>
      </c>
      <c r="J517" s="64">
        <f>9.2525 * CHOOSE(CONTROL!$C$22, $C$13, 100%, $E$13)</f>
        <v>9.2524999999999995</v>
      </c>
      <c r="K517" s="64">
        <f>9.2526 * CHOOSE(CONTROL!$C$22, $C$13, 100%, $E$13)</f>
        <v>9.2525999999999993</v>
      </c>
    </row>
    <row r="518" spans="1:11" ht="15">
      <c r="A518" s="13">
        <v>57405</v>
      </c>
      <c r="B518" s="63">
        <f>8.0419 * CHOOSE(CONTROL!$C$22, $C$13, 100%, $E$13)</f>
        <v>8.0419</v>
      </c>
      <c r="C518" s="63">
        <f>8.0419 * CHOOSE(CONTROL!$C$22, $C$13, 100%, $E$13)</f>
        <v>8.0419</v>
      </c>
      <c r="D518" s="63">
        <f>8.0548 * CHOOSE(CONTROL!$C$22, $C$13, 100%, $E$13)</f>
        <v>8.0548000000000002</v>
      </c>
      <c r="E518" s="64">
        <f>9.331 * CHOOSE(CONTROL!$C$22, $C$13, 100%, $E$13)</f>
        <v>9.3309999999999995</v>
      </c>
      <c r="F518" s="64">
        <f>9.331 * CHOOSE(CONTROL!$C$22, $C$13, 100%, $E$13)</f>
        <v>9.3309999999999995</v>
      </c>
      <c r="G518" s="64">
        <f>9.3311 * CHOOSE(CONTROL!$C$22, $C$13, 100%, $E$13)</f>
        <v>9.3310999999999993</v>
      </c>
      <c r="H518" s="64">
        <f>16.0225* CHOOSE(CONTROL!$C$22, $C$13, 100%, $E$13)</f>
        <v>16.022500000000001</v>
      </c>
      <c r="I518" s="64">
        <f>16.0227 * CHOOSE(CONTROL!$C$22, $C$13, 100%, $E$13)</f>
        <v>16.0227</v>
      </c>
      <c r="J518" s="64">
        <f>9.331 * CHOOSE(CONTROL!$C$22, $C$13, 100%, $E$13)</f>
        <v>9.3309999999999995</v>
      </c>
      <c r="K518" s="64">
        <f>9.3311 * CHOOSE(CONTROL!$C$22, $C$13, 100%, $E$13)</f>
        <v>9.3310999999999993</v>
      </c>
    </row>
    <row r="519" spans="1:11" ht="15">
      <c r="A519" s="13">
        <v>57436</v>
      </c>
      <c r="B519" s="63">
        <f>8.0431 * CHOOSE(CONTROL!$C$22, $C$13, 100%, $E$13)</f>
        <v>8.0431000000000008</v>
      </c>
      <c r="C519" s="63">
        <f>8.0431 * CHOOSE(CONTROL!$C$22, $C$13, 100%, $E$13)</f>
        <v>8.0431000000000008</v>
      </c>
      <c r="D519" s="63">
        <f>8.056 * CHOOSE(CONTROL!$C$22, $C$13, 100%, $E$13)</f>
        <v>8.0559999999999992</v>
      </c>
      <c r="E519" s="64">
        <f>9.4133 * CHOOSE(CONTROL!$C$22, $C$13, 100%, $E$13)</f>
        <v>9.4132999999999996</v>
      </c>
      <c r="F519" s="64">
        <f>9.4133 * CHOOSE(CONTROL!$C$22, $C$13, 100%, $E$13)</f>
        <v>9.4132999999999996</v>
      </c>
      <c r="G519" s="64">
        <f>9.4135 * CHOOSE(CONTROL!$C$22, $C$13, 100%, $E$13)</f>
        <v>9.4135000000000009</v>
      </c>
      <c r="H519" s="64">
        <f>16.0559* CHOOSE(CONTROL!$C$22, $C$13, 100%, $E$13)</f>
        <v>16.055900000000001</v>
      </c>
      <c r="I519" s="64">
        <f>16.056 * CHOOSE(CONTROL!$C$22, $C$13, 100%, $E$13)</f>
        <v>16.056000000000001</v>
      </c>
      <c r="J519" s="64">
        <f>9.4133 * CHOOSE(CONTROL!$C$22, $C$13, 100%, $E$13)</f>
        <v>9.4132999999999996</v>
      </c>
      <c r="K519" s="64">
        <f>9.4135 * CHOOSE(CONTROL!$C$22, $C$13, 100%, $E$13)</f>
        <v>9.4135000000000009</v>
      </c>
    </row>
    <row r="520" spans="1:11" ht="15">
      <c r="A520" s="13">
        <v>57466</v>
      </c>
      <c r="B520" s="63">
        <f>8.0431 * CHOOSE(CONTROL!$C$22, $C$13, 100%, $E$13)</f>
        <v>8.0431000000000008</v>
      </c>
      <c r="C520" s="63">
        <f>8.0431 * CHOOSE(CONTROL!$C$22, $C$13, 100%, $E$13)</f>
        <v>8.0431000000000008</v>
      </c>
      <c r="D520" s="63">
        <f>8.0689 * CHOOSE(CONTROL!$C$22, $C$13, 100%, $E$13)</f>
        <v>8.0688999999999993</v>
      </c>
      <c r="E520" s="64">
        <f>9.4458 * CHOOSE(CONTROL!$C$22, $C$13, 100%, $E$13)</f>
        <v>9.4458000000000002</v>
      </c>
      <c r="F520" s="64">
        <f>9.4458 * CHOOSE(CONTROL!$C$22, $C$13, 100%, $E$13)</f>
        <v>9.4458000000000002</v>
      </c>
      <c r="G520" s="64">
        <f>9.4474 * CHOOSE(CONTROL!$C$22, $C$13, 100%, $E$13)</f>
        <v>9.4474</v>
      </c>
      <c r="H520" s="64">
        <f>16.0893* CHOOSE(CONTROL!$C$22, $C$13, 100%, $E$13)</f>
        <v>16.089300000000001</v>
      </c>
      <c r="I520" s="64">
        <f>16.091 * CHOOSE(CONTROL!$C$22, $C$13, 100%, $E$13)</f>
        <v>16.091000000000001</v>
      </c>
      <c r="J520" s="64">
        <f>9.4458 * CHOOSE(CONTROL!$C$22, $C$13, 100%, $E$13)</f>
        <v>9.4458000000000002</v>
      </c>
      <c r="K520" s="64">
        <f>9.4474 * CHOOSE(CONTROL!$C$22, $C$13, 100%, $E$13)</f>
        <v>9.4474</v>
      </c>
    </row>
    <row r="521" spans="1:11" ht="15">
      <c r="A521" s="13">
        <v>57497</v>
      </c>
      <c r="B521" s="63">
        <f>8.0492 * CHOOSE(CONTROL!$C$22, $C$13, 100%, $E$13)</f>
        <v>8.0492000000000008</v>
      </c>
      <c r="C521" s="63">
        <f>8.0492 * CHOOSE(CONTROL!$C$22, $C$13, 100%, $E$13)</f>
        <v>8.0492000000000008</v>
      </c>
      <c r="D521" s="63">
        <f>8.075 * CHOOSE(CONTROL!$C$22, $C$13, 100%, $E$13)</f>
        <v>8.0749999999999993</v>
      </c>
      <c r="E521" s="64">
        <f>9.4175 * CHOOSE(CONTROL!$C$22, $C$13, 100%, $E$13)</f>
        <v>9.4175000000000004</v>
      </c>
      <c r="F521" s="64">
        <f>9.4175 * CHOOSE(CONTROL!$C$22, $C$13, 100%, $E$13)</f>
        <v>9.4175000000000004</v>
      </c>
      <c r="G521" s="64">
        <f>9.4192 * CHOOSE(CONTROL!$C$22, $C$13, 100%, $E$13)</f>
        <v>9.4192</v>
      </c>
      <c r="H521" s="64">
        <f>16.1228* CHOOSE(CONTROL!$C$22, $C$13, 100%, $E$13)</f>
        <v>16.122800000000002</v>
      </c>
      <c r="I521" s="64">
        <f>16.1245 * CHOOSE(CONTROL!$C$22, $C$13, 100%, $E$13)</f>
        <v>16.124500000000001</v>
      </c>
      <c r="J521" s="64">
        <f>9.4175 * CHOOSE(CONTROL!$C$22, $C$13, 100%, $E$13)</f>
        <v>9.4175000000000004</v>
      </c>
      <c r="K521" s="64">
        <f>9.4192 * CHOOSE(CONTROL!$C$22, $C$13, 100%, $E$13)</f>
        <v>9.4192</v>
      </c>
    </row>
    <row r="522" spans="1:11" ht="15">
      <c r="A522" s="13">
        <v>57527</v>
      </c>
      <c r="B522" s="63">
        <f>8.1797 * CHOOSE(CONTROL!$C$22, $C$13, 100%, $E$13)</f>
        <v>8.1797000000000004</v>
      </c>
      <c r="C522" s="63">
        <f>8.1797 * CHOOSE(CONTROL!$C$22, $C$13, 100%, $E$13)</f>
        <v>8.1797000000000004</v>
      </c>
      <c r="D522" s="63">
        <f>8.2054 * CHOOSE(CONTROL!$C$22, $C$13, 100%, $E$13)</f>
        <v>8.2053999999999991</v>
      </c>
      <c r="E522" s="64">
        <f>9.6012 * CHOOSE(CONTROL!$C$22, $C$13, 100%, $E$13)</f>
        <v>9.6012000000000004</v>
      </c>
      <c r="F522" s="64">
        <f>9.6012 * CHOOSE(CONTROL!$C$22, $C$13, 100%, $E$13)</f>
        <v>9.6012000000000004</v>
      </c>
      <c r="G522" s="64">
        <f>9.6028 * CHOOSE(CONTROL!$C$22, $C$13, 100%, $E$13)</f>
        <v>9.6028000000000002</v>
      </c>
      <c r="H522" s="64">
        <f>16.1564* CHOOSE(CONTROL!$C$22, $C$13, 100%, $E$13)</f>
        <v>16.156400000000001</v>
      </c>
      <c r="I522" s="64">
        <f>16.1581 * CHOOSE(CONTROL!$C$22, $C$13, 100%, $E$13)</f>
        <v>16.158100000000001</v>
      </c>
      <c r="J522" s="64">
        <f>9.6012 * CHOOSE(CONTROL!$C$22, $C$13, 100%, $E$13)</f>
        <v>9.6012000000000004</v>
      </c>
      <c r="K522" s="64">
        <f>9.6028 * CHOOSE(CONTROL!$C$22, $C$13, 100%, $E$13)</f>
        <v>9.6028000000000002</v>
      </c>
    </row>
    <row r="523" spans="1:11" ht="15">
      <c r="A523" s="13">
        <v>57558</v>
      </c>
      <c r="B523" s="63">
        <f>8.1863 * CHOOSE(CONTROL!$C$22, $C$13, 100%, $E$13)</f>
        <v>8.1862999999999992</v>
      </c>
      <c r="C523" s="63">
        <f>8.1863 * CHOOSE(CONTROL!$C$22, $C$13, 100%, $E$13)</f>
        <v>8.1862999999999992</v>
      </c>
      <c r="D523" s="63">
        <f>8.2121 * CHOOSE(CONTROL!$C$22, $C$13, 100%, $E$13)</f>
        <v>8.2120999999999995</v>
      </c>
      <c r="E523" s="64">
        <f>9.5085 * CHOOSE(CONTROL!$C$22, $C$13, 100%, $E$13)</f>
        <v>9.5084999999999997</v>
      </c>
      <c r="F523" s="64">
        <f>9.5085 * CHOOSE(CONTROL!$C$22, $C$13, 100%, $E$13)</f>
        <v>9.5084999999999997</v>
      </c>
      <c r="G523" s="64">
        <f>9.5101 * CHOOSE(CONTROL!$C$22, $C$13, 100%, $E$13)</f>
        <v>9.5100999999999996</v>
      </c>
      <c r="H523" s="64">
        <f>16.1901* CHOOSE(CONTROL!$C$22, $C$13, 100%, $E$13)</f>
        <v>16.190100000000001</v>
      </c>
      <c r="I523" s="64">
        <f>16.1917 * CHOOSE(CONTROL!$C$22, $C$13, 100%, $E$13)</f>
        <v>16.191700000000001</v>
      </c>
      <c r="J523" s="64">
        <f>9.5085 * CHOOSE(CONTROL!$C$22, $C$13, 100%, $E$13)</f>
        <v>9.5084999999999997</v>
      </c>
      <c r="K523" s="64">
        <f>9.5101 * CHOOSE(CONTROL!$C$22, $C$13, 100%, $E$13)</f>
        <v>9.5100999999999996</v>
      </c>
    </row>
    <row r="524" spans="1:11" ht="15">
      <c r="A524" s="13">
        <v>57589</v>
      </c>
      <c r="B524" s="63">
        <f>8.1833 * CHOOSE(CONTROL!$C$22, $C$13, 100%, $E$13)</f>
        <v>8.1832999999999991</v>
      </c>
      <c r="C524" s="63">
        <f>8.1833 * CHOOSE(CONTROL!$C$22, $C$13, 100%, $E$13)</f>
        <v>8.1832999999999991</v>
      </c>
      <c r="D524" s="63">
        <f>8.2091 * CHOOSE(CONTROL!$C$22, $C$13, 100%, $E$13)</f>
        <v>8.2090999999999994</v>
      </c>
      <c r="E524" s="64">
        <f>9.4955 * CHOOSE(CONTROL!$C$22, $C$13, 100%, $E$13)</f>
        <v>9.4954999999999998</v>
      </c>
      <c r="F524" s="64">
        <f>9.4955 * CHOOSE(CONTROL!$C$22, $C$13, 100%, $E$13)</f>
        <v>9.4954999999999998</v>
      </c>
      <c r="G524" s="64">
        <f>9.4972 * CHOOSE(CONTROL!$C$22, $C$13, 100%, $E$13)</f>
        <v>9.4971999999999994</v>
      </c>
      <c r="H524" s="64">
        <f>16.2238* CHOOSE(CONTROL!$C$22, $C$13, 100%, $E$13)</f>
        <v>16.223800000000001</v>
      </c>
      <c r="I524" s="64">
        <f>16.2255 * CHOOSE(CONTROL!$C$22, $C$13, 100%, $E$13)</f>
        <v>16.2255</v>
      </c>
      <c r="J524" s="64">
        <f>9.4955 * CHOOSE(CONTROL!$C$22, $C$13, 100%, $E$13)</f>
        <v>9.4954999999999998</v>
      </c>
      <c r="K524" s="64">
        <f>9.4972 * CHOOSE(CONTROL!$C$22, $C$13, 100%, $E$13)</f>
        <v>9.4971999999999994</v>
      </c>
    </row>
    <row r="525" spans="1:11" ht="15">
      <c r="A525" s="13">
        <v>57619</v>
      </c>
      <c r="B525" s="63">
        <f>8.1925 * CHOOSE(CONTROL!$C$22, $C$13, 100%, $E$13)</f>
        <v>8.1925000000000008</v>
      </c>
      <c r="C525" s="63">
        <f>8.1925 * CHOOSE(CONTROL!$C$22, $C$13, 100%, $E$13)</f>
        <v>8.1925000000000008</v>
      </c>
      <c r="D525" s="63">
        <f>8.2053 * CHOOSE(CONTROL!$C$22, $C$13, 100%, $E$13)</f>
        <v>8.2052999999999994</v>
      </c>
      <c r="E525" s="64">
        <f>9.5254 * CHOOSE(CONTROL!$C$22, $C$13, 100%, $E$13)</f>
        <v>9.5253999999999994</v>
      </c>
      <c r="F525" s="64">
        <f>9.5254 * CHOOSE(CONTROL!$C$22, $C$13, 100%, $E$13)</f>
        <v>9.5253999999999994</v>
      </c>
      <c r="G525" s="64">
        <f>9.5256 * CHOOSE(CONTROL!$C$22, $C$13, 100%, $E$13)</f>
        <v>9.5256000000000007</v>
      </c>
      <c r="H525" s="64">
        <f>16.2576* CHOOSE(CONTROL!$C$22, $C$13, 100%, $E$13)</f>
        <v>16.2576</v>
      </c>
      <c r="I525" s="64">
        <f>16.2578 * CHOOSE(CONTROL!$C$22, $C$13, 100%, $E$13)</f>
        <v>16.2578</v>
      </c>
      <c r="J525" s="64">
        <f>9.5254 * CHOOSE(CONTROL!$C$22, $C$13, 100%, $E$13)</f>
        <v>9.5253999999999994</v>
      </c>
      <c r="K525" s="64">
        <f>9.5256 * CHOOSE(CONTROL!$C$22, $C$13, 100%, $E$13)</f>
        <v>9.5256000000000007</v>
      </c>
    </row>
    <row r="526" spans="1:11" ht="15">
      <c r="A526" s="13">
        <v>57650</v>
      </c>
      <c r="B526" s="63">
        <f>8.1955 * CHOOSE(CONTROL!$C$22, $C$13, 100%, $E$13)</f>
        <v>8.1954999999999991</v>
      </c>
      <c r="C526" s="63">
        <f>8.1955 * CHOOSE(CONTROL!$C$22, $C$13, 100%, $E$13)</f>
        <v>8.1954999999999991</v>
      </c>
      <c r="D526" s="63">
        <f>8.2084 * CHOOSE(CONTROL!$C$22, $C$13, 100%, $E$13)</f>
        <v>8.2083999999999993</v>
      </c>
      <c r="E526" s="64">
        <f>9.5491 * CHOOSE(CONTROL!$C$22, $C$13, 100%, $E$13)</f>
        <v>9.5490999999999993</v>
      </c>
      <c r="F526" s="64">
        <f>9.5491 * CHOOSE(CONTROL!$C$22, $C$13, 100%, $E$13)</f>
        <v>9.5490999999999993</v>
      </c>
      <c r="G526" s="64">
        <f>9.5493 * CHOOSE(CONTROL!$C$22, $C$13, 100%, $E$13)</f>
        <v>9.5493000000000006</v>
      </c>
      <c r="H526" s="64">
        <f>16.2915* CHOOSE(CONTROL!$C$22, $C$13, 100%, $E$13)</f>
        <v>16.291499999999999</v>
      </c>
      <c r="I526" s="64">
        <f>16.2917 * CHOOSE(CONTROL!$C$22, $C$13, 100%, $E$13)</f>
        <v>16.291699999999999</v>
      </c>
      <c r="J526" s="64">
        <f>9.5491 * CHOOSE(CONTROL!$C$22, $C$13, 100%, $E$13)</f>
        <v>9.5490999999999993</v>
      </c>
      <c r="K526" s="64">
        <f>9.5493 * CHOOSE(CONTROL!$C$22, $C$13, 100%, $E$13)</f>
        <v>9.5493000000000006</v>
      </c>
    </row>
    <row r="527" spans="1:11" ht="15">
      <c r="A527" s="13">
        <v>57680</v>
      </c>
      <c r="B527" s="63">
        <f>8.1955 * CHOOSE(CONTROL!$C$22, $C$13, 100%, $E$13)</f>
        <v>8.1954999999999991</v>
      </c>
      <c r="C527" s="63">
        <f>8.1955 * CHOOSE(CONTROL!$C$22, $C$13, 100%, $E$13)</f>
        <v>8.1954999999999991</v>
      </c>
      <c r="D527" s="63">
        <f>8.2084 * CHOOSE(CONTROL!$C$22, $C$13, 100%, $E$13)</f>
        <v>8.2083999999999993</v>
      </c>
      <c r="E527" s="64">
        <f>9.495 * CHOOSE(CONTROL!$C$22, $C$13, 100%, $E$13)</f>
        <v>9.4949999999999992</v>
      </c>
      <c r="F527" s="64">
        <f>9.495 * CHOOSE(CONTROL!$C$22, $C$13, 100%, $E$13)</f>
        <v>9.4949999999999992</v>
      </c>
      <c r="G527" s="64">
        <f>9.4952 * CHOOSE(CONTROL!$C$22, $C$13, 100%, $E$13)</f>
        <v>9.4952000000000005</v>
      </c>
      <c r="H527" s="64">
        <f>16.3254* CHOOSE(CONTROL!$C$22, $C$13, 100%, $E$13)</f>
        <v>16.325399999999998</v>
      </c>
      <c r="I527" s="64">
        <f>16.3256 * CHOOSE(CONTROL!$C$22, $C$13, 100%, $E$13)</f>
        <v>16.325600000000001</v>
      </c>
      <c r="J527" s="64">
        <f>9.495 * CHOOSE(CONTROL!$C$22, $C$13, 100%, $E$13)</f>
        <v>9.4949999999999992</v>
      </c>
      <c r="K527" s="64">
        <f>9.4952 * CHOOSE(CONTROL!$C$22, $C$13, 100%, $E$13)</f>
        <v>9.4952000000000005</v>
      </c>
    </row>
    <row r="528" spans="1:11" ht="15">
      <c r="A528" s="13">
        <v>57711</v>
      </c>
      <c r="B528" s="63">
        <f>8.268 * CHOOSE(CONTROL!$C$22, $C$13, 100%, $E$13)</f>
        <v>8.2680000000000007</v>
      </c>
      <c r="C528" s="63">
        <f>8.268 * CHOOSE(CONTROL!$C$22, $C$13, 100%, $E$13)</f>
        <v>8.2680000000000007</v>
      </c>
      <c r="D528" s="63">
        <f>8.2809 * CHOOSE(CONTROL!$C$22, $C$13, 100%, $E$13)</f>
        <v>8.2809000000000008</v>
      </c>
      <c r="E528" s="64">
        <f>9.6187 * CHOOSE(CONTROL!$C$22, $C$13, 100%, $E$13)</f>
        <v>9.6187000000000005</v>
      </c>
      <c r="F528" s="64">
        <f>9.6187 * CHOOSE(CONTROL!$C$22, $C$13, 100%, $E$13)</f>
        <v>9.6187000000000005</v>
      </c>
      <c r="G528" s="64">
        <f>9.6189 * CHOOSE(CONTROL!$C$22, $C$13, 100%, $E$13)</f>
        <v>9.6189</v>
      </c>
      <c r="H528" s="64">
        <f>16.3594* CHOOSE(CONTROL!$C$22, $C$13, 100%, $E$13)</f>
        <v>16.359400000000001</v>
      </c>
      <c r="I528" s="64">
        <f>16.3596 * CHOOSE(CONTROL!$C$22, $C$13, 100%, $E$13)</f>
        <v>16.3596</v>
      </c>
      <c r="J528" s="64">
        <f>9.6187 * CHOOSE(CONTROL!$C$22, $C$13, 100%, $E$13)</f>
        <v>9.6187000000000005</v>
      </c>
      <c r="K528" s="64">
        <f>9.6189 * CHOOSE(CONTROL!$C$22, $C$13, 100%, $E$13)</f>
        <v>9.6189</v>
      </c>
    </row>
    <row r="529" spans="1:11" ht="15">
      <c r="A529" s="13">
        <v>57742</v>
      </c>
      <c r="B529" s="63">
        <f>8.265 * CHOOSE(CONTROL!$C$22, $C$13, 100%, $E$13)</f>
        <v>8.2650000000000006</v>
      </c>
      <c r="C529" s="63">
        <f>8.265 * CHOOSE(CONTROL!$C$22, $C$13, 100%, $E$13)</f>
        <v>8.2650000000000006</v>
      </c>
      <c r="D529" s="63">
        <f>8.2778 * CHOOSE(CONTROL!$C$22, $C$13, 100%, $E$13)</f>
        <v>8.2777999999999992</v>
      </c>
      <c r="E529" s="64">
        <f>9.5114 * CHOOSE(CONTROL!$C$22, $C$13, 100%, $E$13)</f>
        <v>9.5114000000000001</v>
      </c>
      <c r="F529" s="64">
        <f>9.5114 * CHOOSE(CONTROL!$C$22, $C$13, 100%, $E$13)</f>
        <v>9.5114000000000001</v>
      </c>
      <c r="G529" s="64">
        <f>9.5116 * CHOOSE(CONTROL!$C$22, $C$13, 100%, $E$13)</f>
        <v>9.5115999999999996</v>
      </c>
      <c r="H529" s="64">
        <f>16.3935* CHOOSE(CONTROL!$C$22, $C$13, 100%, $E$13)</f>
        <v>16.3935</v>
      </c>
      <c r="I529" s="64">
        <f>16.3937 * CHOOSE(CONTROL!$C$22, $C$13, 100%, $E$13)</f>
        <v>16.393699999999999</v>
      </c>
      <c r="J529" s="64">
        <f>9.5114 * CHOOSE(CONTROL!$C$22, $C$13, 100%, $E$13)</f>
        <v>9.5114000000000001</v>
      </c>
      <c r="K529" s="64">
        <f>9.5116 * CHOOSE(CONTROL!$C$22, $C$13, 100%, $E$13)</f>
        <v>9.5115999999999996</v>
      </c>
    </row>
    <row r="530" spans="1:11" ht="15">
      <c r="A530" s="13">
        <v>57770</v>
      </c>
      <c r="B530" s="63">
        <f>8.2619 * CHOOSE(CONTROL!$C$22, $C$13, 100%, $E$13)</f>
        <v>8.2619000000000007</v>
      </c>
      <c r="C530" s="63">
        <f>8.2619 * CHOOSE(CONTROL!$C$22, $C$13, 100%, $E$13)</f>
        <v>8.2619000000000007</v>
      </c>
      <c r="D530" s="63">
        <f>8.2748 * CHOOSE(CONTROL!$C$22, $C$13, 100%, $E$13)</f>
        <v>8.2748000000000008</v>
      </c>
      <c r="E530" s="64">
        <f>9.5922 * CHOOSE(CONTROL!$C$22, $C$13, 100%, $E$13)</f>
        <v>9.5922000000000001</v>
      </c>
      <c r="F530" s="64">
        <f>9.5922 * CHOOSE(CONTROL!$C$22, $C$13, 100%, $E$13)</f>
        <v>9.5922000000000001</v>
      </c>
      <c r="G530" s="64">
        <f>9.5924 * CHOOSE(CONTROL!$C$22, $C$13, 100%, $E$13)</f>
        <v>9.5923999999999996</v>
      </c>
      <c r="H530" s="64">
        <f>16.4277* CHOOSE(CONTROL!$C$22, $C$13, 100%, $E$13)</f>
        <v>16.427700000000002</v>
      </c>
      <c r="I530" s="64">
        <f>16.4278 * CHOOSE(CONTROL!$C$22, $C$13, 100%, $E$13)</f>
        <v>16.427800000000001</v>
      </c>
      <c r="J530" s="64">
        <f>9.5922 * CHOOSE(CONTROL!$C$22, $C$13, 100%, $E$13)</f>
        <v>9.5922000000000001</v>
      </c>
      <c r="K530" s="64">
        <f>9.5924 * CHOOSE(CONTROL!$C$22, $C$13, 100%, $E$13)</f>
        <v>9.5923999999999996</v>
      </c>
    </row>
    <row r="531" spans="1:11" ht="15">
      <c r="A531" s="13">
        <v>57801</v>
      </c>
      <c r="B531" s="63">
        <f>8.2633 * CHOOSE(CONTROL!$C$22, $C$13, 100%, $E$13)</f>
        <v>8.2632999999999992</v>
      </c>
      <c r="C531" s="63">
        <f>8.2633 * CHOOSE(CONTROL!$C$22, $C$13, 100%, $E$13)</f>
        <v>8.2632999999999992</v>
      </c>
      <c r="D531" s="63">
        <f>8.2762 * CHOOSE(CONTROL!$C$22, $C$13, 100%, $E$13)</f>
        <v>8.2761999999999993</v>
      </c>
      <c r="E531" s="64">
        <f>9.677 * CHOOSE(CONTROL!$C$22, $C$13, 100%, $E$13)</f>
        <v>9.6769999999999996</v>
      </c>
      <c r="F531" s="64">
        <f>9.677 * CHOOSE(CONTROL!$C$22, $C$13, 100%, $E$13)</f>
        <v>9.6769999999999996</v>
      </c>
      <c r="G531" s="64">
        <f>9.6771 * CHOOSE(CONTROL!$C$22, $C$13, 100%, $E$13)</f>
        <v>9.6770999999999994</v>
      </c>
      <c r="H531" s="64">
        <f>16.4619* CHOOSE(CONTROL!$C$22, $C$13, 100%, $E$13)</f>
        <v>16.4619</v>
      </c>
      <c r="I531" s="64">
        <f>16.4621 * CHOOSE(CONTROL!$C$22, $C$13, 100%, $E$13)</f>
        <v>16.4621</v>
      </c>
      <c r="J531" s="64">
        <f>9.677 * CHOOSE(CONTROL!$C$22, $C$13, 100%, $E$13)</f>
        <v>9.6769999999999996</v>
      </c>
      <c r="K531" s="64">
        <f>9.6771 * CHOOSE(CONTROL!$C$22, $C$13, 100%, $E$13)</f>
        <v>9.6770999999999994</v>
      </c>
    </row>
    <row r="532" spans="1:11" ht="15">
      <c r="A532" s="13">
        <v>57831</v>
      </c>
      <c r="B532" s="63">
        <f>8.2633 * CHOOSE(CONTROL!$C$22, $C$13, 100%, $E$13)</f>
        <v>8.2632999999999992</v>
      </c>
      <c r="C532" s="63">
        <f>8.2633 * CHOOSE(CONTROL!$C$22, $C$13, 100%, $E$13)</f>
        <v>8.2632999999999992</v>
      </c>
      <c r="D532" s="63">
        <f>8.2891 * CHOOSE(CONTROL!$C$22, $C$13, 100%, $E$13)</f>
        <v>8.2890999999999995</v>
      </c>
      <c r="E532" s="64">
        <f>9.7103 * CHOOSE(CONTROL!$C$22, $C$13, 100%, $E$13)</f>
        <v>9.7103000000000002</v>
      </c>
      <c r="F532" s="64">
        <f>9.7103 * CHOOSE(CONTROL!$C$22, $C$13, 100%, $E$13)</f>
        <v>9.7103000000000002</v>
      </c>
      <c r="G532" s="64">
        <f>9.712 * CHOOSE(CONTROL!$C$22, $C$13, 100%, $E$13)</f>
        <v>9.7119999999999997</v>
      </c>
      <c r="H532" s="64">
        <f>16.4962* CHOOSE(CONTROL!$C$22, $C$13, 100%, $E$13)</f>
        <v>16.496200000000002</v>
      </c>
      <c r="I532" s="64">
        <f>16.4978 * CHOOSE(CONTROL!$C$22, $C$13, 100%, $E$13)</f>
        <v>16.497800000000002</v>
      </c>
      <c r="J532" s="64">
        <f>9.7103 * CHOOSE(CONTROL!$C$22, $C$13, 100%, $E$13)</f>
        <v>9.7103000000000002</v>
      </c>
      <c r="K532" s="64">
        <f>9.712 * CHOOSE(CONTROL!$C$22, $C$13, 100%, $E$13)</f>
        <v>9.7119999999999997</v>
      </c>
    </row>
    <row r="533" spans="1:11" ht="15">
      <c r="A533" s="13">
        <v>57862</v>
      </c>
      <c r="B533" s="63">
        <f>8.2694 * CHOOSE(CONTROL!$C$22, $C$13, 100%, $E$13)</f>
        <v>8.2693999999999992</v>
      </c>
      <c r="C533" s="63">
        <f>8.2694 * CHOOSE(CONTROL!$C$22, $C$13, 100%, $E$13)</f>
        <v>8.2693999999999992</v>
      </c>
      <c r="D533" s="63">
        <f>8.2951 * CHOOSE(CONTROL!$C$22, $C$13, 100%, $E$13)</f>
        <v>8.2950999999999997</v>
      </c>
      <c r="E533" s="64">
        <f>9.6812 * CHOOSE(CONTROL!$C$22, $C$13, 100%, $E$13)</f>
        <v>9.6812000000000005</v>
      </c>
      <c r="F533" s="64">
        <f>9.6812 * CHOOSE(CONTROL!$C$22, $C$13, 100%, $E$13)</f>
        <v>9.6812000000000005</v>
      </c>
      <c r="G533" s="64">
        <f>9.6828 * CHOOSE(CONTROL!$C$22, $C$13, 100%, $E$13)</f>
        <v>9.6828000000000003</v>
      </c>
      <c r="H533" s="64">
        <f>16.5306* CHOOSE(CONTROL!$C$22, $C$13, 100%, $E$13)</f>
        <v>16.5306</v>
      </c>
      <c r="I533" s="64">
        <f>16.5322 * CHOOSE(CONTROL!$C$22, $C$13, 100%, $E$13)</f>
        <v>16.5322</v>
      </c>
      <c r="J533" s="64">
        <f>9.6812 * CHOOSE(CONTROL!$C$22, $C$13, 100%, $E$13)</f>
        <v>9.6812000000000005</v>
      </c>
      <c r="K533" s="64">
        <f>9.6828 * CHOOSE(CONTROL!$C$22, $C$13, 100%, $E$13)</f>
        <v>9.6828000000000003</v>
      </c>
    </row>
    <row r="534" spans="1:11" ht="15">
      <c r="A534" s="13">
        <v>57892</v>
      </c>
      <c r="B534" s="63">
        <f>8.4031 * CHOOSE(CONTROL!$C$22, $C$13, 100%, $E$13)</f>
        <v>8.4031000000000002</v>
      </c>
      <c r="C534" s="63">
        <f>8.4031 * CHOOSE(CONTROL!$C$22, $C$13, 100%, $E$13)</f>
        <v>8.4031000000000002</v>
      </c>
      <c r="D534" s="63">
        <f>8.4289 * CHOOSE(CONTROL!$C$22, $C$13, 100%, $E$13)</f>
        <v>8.4289000000000005</v>
      </c>
      <c r="E534" s="64">
        <f>9.8697 * CHOOSE(CONTROL!$C$22, $C$13, 100%, $E$13)</f>
        <v>9.8696999999999999</v>
      </c>
      <c r="F534" s="64">
        <f>9.8697 * CHOOSE(CONTROL!$C$22, $C$13, 100%, $E$13)</f>
        <v>9.8696999999999999</v>
      </c>
      <c r="G534" s="64">
        <f>9.8714 * CHOOSE(CONTROL!$C$22, $C$13, 100%, $E$13)</f>
        <v>9.8713999999999995</v>
      </c>
      <c r="H534" s="64">
        <f>16.565* CHOOSE(CONTROL!$C$22, $C$13, 100%, $E$13)</f>
        <v>16.565000000000001</v>
      </c>
      <c r="I534" s="64">
        <f>16.5666 * CHOOSE(CONTROL!$C$22, $C$13, 100%, $E$13)</f>
        <v>16.566600000000001</v>
      </c>
      <c r="J534" s="64">
        <f>9.8697 * CHOOSE(CONTROL!$C$22, $C$13, 100%, $E$13)</f>
        <v>9.8696999999999999</v>
      </c>
      <c r="K534" s="64">
        <f>9.8714 * CHOOSE(CONTROL!$C$22, $C$13, 100%, $E$13)</f>
        <v>9.8713999999999995</v>
      </c>
    </row>
    <row r="535" spans="1:11" ht="15">
      <c r="A535" s="13">
        <v>57923</v>
      </c>
      <c r="B535" s="63">
        <f>8.4098 * CHOOSE(CONTROL!$C$22, $C$13, 100%, $E$13)</f>
        <v>8.4098000000000006</v>
      </c>
      <c r="C535" s="63">
        <f>8.4098 * CHOOSE(CONTROL!$C$22, $C$13, 100%, $E$13)</f>
        <v>8.4098000000000006</v>
      </c>
      <c r="D535" s="63">
        <f>8.4356 * CHOOSE(CONTROL!$C$22, $C$13, 100%, $E$13)</f>
        <v>8.4356000000000009</v>
      </c>
      <c r="E535" s="64">
        <f>9.7743 * CHOOSE(CONTROL!$C$22, $C$13, 100%, $E$13)</f>
        <v>9.7743000000000002</v>
      </c>
      <c r="F535" s="64">
        <f>9.7743 * CHOOSE(CONTROL!$C$22, $C$13, 100%, $E$13)</f>
        <v>9.7743000000000002</v>
      </c>
      <c r="G535" s="64">
        <f>9.7759 * CHOOSE(CONTROL!$C$22, $C$13, 100%, $E$13)</f>
        <v>9.7759</v>
      </c>
      <c r="H535" s="64">
        <f>16.5995* CHOOSE(CONTROL!$C$22, $C$13, 100%, $E$13)</f>
        <v>16.599499999999999</v>
      </c>
      <c r="I535" s="64">
        <f>16.6011 * CHOOSE(CONTROL!$C$22, $C$13, 100%, $E$13)</f>
        <v>16.601099999999999</v>
      </c>
      <c r="J535" s="64">
        <f>9.7743 * CHOOSE(CONTROL!$C$22, $C$13, 100%, $E$13)</f>
        <v>9.7743000000000002</v>
      </c>
      <c r="K535" s="64">
        <f>9.7759 * CHOOSE(CONTROL!$C$22, $C$13, 100%, $E$13)</f>
        <v>9.7759</v>
      </c>
    </row>
    <row r="536" spans="1:11" ht="15">
      <c r="A536" s="13">
        <v>57954</v>
      </c>
      <c r="B536" s="63">
        <f>8.4068 * CHOOSE(CONTROL!$C$22, $C$13, 100%, $E$13)</f>
        <v>8.4068000000000005</v>
      </c>
      <c r="C536" s="63">
        <f>8.4068 * CHOOSE(CONTROL!$C$22, $C$13, 100%, $E$13)</f>
        <v>8.4068000000000005</v>
      </c>
      <c r="D536" s="63">
        <f>8.4325 * CHOOSE(CONTROL!$C$22, $C$13, 100%, $E$13)</f>
        <v>8.4324999999999992</v>
      </c>
      <c r="E536" s="64">
        <f>9.761 * CHOOSE(CONTROL!$C$22, $C$13, 100%, $E$13)</f>
        <v>9.7609999999999992</v>
      </c>
      <c r="F536" s="64">
        <f>9.761 * CHOOSE(CONTROL!$C$22, $C$13, 100%, $E$13)</f>
        <v>9.7609999999999992</v>
      </c>
      <c r="G536" s="64">
        <f>9.7627 * CHOOSE(CONTROL!$C$22, $C$13, 100%, $E$13)</f>
        <v>9.7627000000000006</v>
      </c>
      <c r="H536" s="64">
        <f>16.6341* CHOOSE(CONTROL!$C$22, $C$13, 100%, $E$13)</f>
        <v>16.6341</v>
      </c>
      <c r="I536" s="64">
        <f>16.6357 * CHOOSE(CONTROL!$C$22, $C$13, 100%, $E$13)</f>
        <v>16.6357</v>
      </c>
      <c r="J536" s="64">
        <f>9.761 * CHOOSE(CONTROL!$C$22, $C$13, 100%, $E$13)</f>
        <v>9.7609999999999992</v>
      </c>
      <c r="K536" s="64">
        <f>9.7627 * CHOOSE(CONTROL!$C$22, $C$13, 100%, $E$13)</f>
        <v>9.7627000000000006</v>
      </c>
    </row>
    <row r="537" spans="1:11" ht="15">
      <c r="A537" s="13">
        <v>57984</v>
      </c>
      <c r="B537" s="63">
        <f>8.4167 * CHOOSE(CONTROL!$C$22, $C$13, 100%, $E$13)</f>
        <v>8.4167000000000005</v>
      </c>
      <c r="C537" s="63">
        <f>8.4167 * CHOOSE(CONTROL!$C$22, $C$13, 100%, $E$13)</f>
        <v>8.4167000000000005</v>
      </c>
      <c r="D537" s="63">
        <f>8.4295 * CHOOSE(CONTROL!$C$22, $C$13, 100%, $E$13)</f>
        <v>8.4295000000000009</v>
      </c>
      <c r="E537" s="64">
        <f>9.7921 * CHOOSE(CONTROL!$C$22, $C$13, 100%, $E$13)</f>
        <v>9.7920999999999996</v>
      </c>
      <c r="F537" s="64">
        <f>9.7921 * CHOOSE(CONTROL!$C$22, $C$13, 100%, $E$13)</f>
        <v>9.7920999999999996</v>
      </c>
      <c r="G537" s="64">
        <f>9.7923 * CHOOSE(CONTROL!$C$22, $C$13, 100%, $E$13)</f>
        <v>9.7922999999999991</v>
      </c>
      <c r="H537" s="64">
        <f>16.6687* CHOOSE(CONTROL!$C$22, $C$13, 100%, $E$13)</f>
        <v>16.668700000000001</v>
      </c>
      <c r="I537" s="64">
        <f>16.6689 * CHOOSE(CONTROL!$C$22, $C$13, 100%, $E$13)</f>
        <v>16.668900000000001</v>
      </c>
      <c r="J537" s="64">
        <f>9.7921 * CHOOSE(CONTROL!$C$22, $C$13, 100%, $E$13)</f>
        <v>9.7920999999999996</v>
      </c>
      <c r="K537" s="64">
        <f>9.7923 * CHOOSE(CONTROL!$C$22, $C$13, 100%, $E$13)</f>
        <v>9.7922999999999991</v>
      </c>
    </row>
    <row r="538" spans="1:11" ht="15">
      <c r="A538" s="13">
        <v>58015</v>
      </c>
      <c r="B538" s="63">
        <f>8.4197 * CHOOSE(CONTROL!$C$22, $C$13, 100%, $E$13)</f>
        <v>8.4197000000000006</v>
      </c>
      <c r="C538" s="63">
        <f>8.4197 * CHOOSE(CONTROL!$C$22, $C$13, 100%, $E$13)</f>
        <v>8.4197000000000006</v>
      </c>
      <c r="D538" s="63">
        <f>8.4326 * CHOOSE(CONTROL!$C$22, $C$13, 100%, $E$13)</f>
        <v>8.4326000000000008</v>
      </c>
      <c r="E538" s="64">
        <f>9.8165 * CHOOSE(CONTROL!$C$22, $C$13, 100%, $E$13)</f>
        <v>9.8164999999999996</v>
      </c>
      <c r="F538" s="64">
        <f>9.8165 * CHOOSE(CONTROL!$C$22, $C$13, 100%, $E$13)</f>
        <v>9.8164999999999996</v>
      </c>
      <c r="G538" s="64">
        <f>9.8166 * CHOOSE(CONTROL!$C$22, $C$13, 100%, $E$13)</f>
        <v>9.8165999999999993</v>
      </c>
      <c r="H538" s="64">
        <f>16.7035* CHOOSE(CONTROL!$C$22, $C$13, 100%, $E$13)</f>
        <v>16.703499999999998</v>
      </c>
      <c r="I538" s="64">
        <f>16.7036 * CHOOSE(CONTROL!$C$22, $C$13, 100%, $E$13)</f>
        <v>16.703600000000002</v>
      </c>
      <c r="J538" s="64">
        <f>9.8165 * CHOOSE(CONTROL!$C$22, $C$13, 100%, $E$13)</f>
        <v>9.8164999999999996</v>
      </c>
      <c r="K538" s="64">
        <f>9.8166 * CHOOSE(CONTROL!$C$22, $C$13, 100%, $E$13)</f>
        <v>9.8165999999999993</v>
      </c>
    </row>
    <row r="539" spans="1:11" ht="15">
      <c r="A539" s="13">
        <v>58045</v>
      </c>
      <c r="B539" s="63">
        <f>8.4197 * CHOOSE(CONTROL!$C$22, $C$13, 100%, $E$13)</f>
        <v>8.4197000000000006</v>
      </c>
      <c r="C539" s="63">
        <f>8.4197 * CHOOSE(CONTROL!$C$22, $C$13, 100%, $E$13)</f>
        <v>8.4197000000000006</v>
      </c>
      <c r="D539" s="63">
        <f>8.4326 * CHOOSE(CONTROL!$C$22, $C$13, 100%, $E$13)</f>
        <v>8.4326000000000008</v>
      </c>
      <c r="E539" s="64">
        <f>9.7608 * CHOOSE(CONTROL!$C$22, $C$13, 100%, $E$13)</f>
        <v>9.7607999999999997</v>
      </c>
      <c r="F539" s="64">
        <f>9.7608 * CHOOSE(CONTROL!$C$22, $C$13, 100%, $E$13)</f>
        <v>9.7607999999999997</v>
      </c>
      <c r="G539" s="64">
        <f>9.761 * CHOOSE(CONTROL!$C$22, $C$13, 100%, $E$13)</f>
        <v>9.7609999999999992</v>
      </c>
      <c r="H539" s="64">
        <f>16.7383* CHOOSE(CONTROL!$C$22, $C$13, 100%, $E$13)</f>
        <v>16.738299999999999</v>
      </c>
      <c r="I539" s="64">
        <f>16.7384 * CHOOSE(CONTROL!$C$22, $C$13, 100%, $E$13)</f>
        <v>16.738399999999999</v>
      </c>
      <c r="J539" s="64">
        <f>9.7608 * CHOOSE(CONTROL!$C$22, $C$13, 100%, $E$13)</f>
        <v>9.7607999999999997</v>
      </c>
      <c r="K539" s="64">
        <f>9.761 * CHOOSE(CONTROL!$C$22, $C$13, 100%, $E$13)</f>
        <v>9.7609999999999992</v>
      </c>
    </row>
    <row r="540" spans="1:11" ht="15">
      <c r="A540" s="13">
        <v>58076</v>
      </c>
      <c r="B540" s="63">
        <f>8.4941 * CHOOSE(CONTROL!$C$22, $C$13, 100%, $E$13)</f>
        <v>8.4940999999999995</v>
      </c>
      <c r="C540" s="63">
        <f>8.4941 * CHOOSE(CONTROL!$C$22, $C$13, 100%, $E$13)</f>
        <v>8.4940999999999995</v>
      </c>
      <c r="D540" s="63">
        <f>8.507 * CHOOSE(CONTROL!$C$22, $C$13, 100%, $E$13)</f>
        <v>8.5069999999999997</v>
      </c>
      <c r="E540" s="64">
        <f>9.8879 * CHOOSE(CONTROL!$C$22, $C$13, 100%, $E$13)</f>
        <v>9.8879000000000001</v>
      </c>
      <c r="F540" s="64">
        <f>9.8879 * CHOOSE(CONTROL!$C$22, $C$13, 100%, $E$13)</f>
        <v>9.8879000000000001</v>
      </c>
      <c r="G540" s="64">
        <f>9.888 * CHOOSE(CONTROL!$C$22, $C$13, 100%, $E$13)</f>
        <v>9.8879999999999999</v>
      </c>
      <c r="H540" s="64">
        <f>16.7731* CHOOSE(CONTROL!$C$22, $C$13, 100%, $E$13)</f>
        <v>16.773099999999999</v>
      </c>
      <c r="I540" s="64">
        <f>16.7733 * CHOOSE(CONTROL!$C$22, $C$13, 100%, $E$13)</f>
        <v>16.773299999999999</v>
      </c>
      <c r="J540" s="64">
        <f>9.8879 * CHOOSE(CONTROL!$C$22, $C$13, 100%, $E$13)</f>
        <v>9.8879000000000001</v>
      </c>
      <c r="K540" s="64">
        <f>9.888 * CHOOSE(CONTROL!$C$22, $C$13, 100%, $E$13)</f>
        <v>9.8879999999999999</v>
      </c>
    </row>
    <row r="541" spans="1:11" ht="15">
      <c r="A541" s="13">
        <v>58107</v>
      </c>
      <c r="B541" s="63">
        <f>8.491 * CHOOSE(CONTROL!$C$22, $C$13, 100%, $E$13)</f>
        <v>8.4909999999999997</v>
      </c>
      <c r="C541" s="63">
        <f>8.491 * CHOOSE(CONTROL!$C$22, $C$13, 100%, $E$13)</f>
        <v>8.4909999999999997</v>
      </c>
      <c r="D541" s="63">
        <f>8.5039 * CHOOSE(CONTROL!$C$22, $C$13, 100%, $E$13)</f>
        <v>8.5038999999999998</v>
      </c>
      <c r="E541" s="64">
        <f>9.7777 * CHOOSE(CONTROL!$C$22, $C$13, 100%, $E$13)</f>
        <v>9.7776999999999994</v>
      </c>
      <c r="F541" s="64">
        <f>9.7777 * CHOOSE(CONTROL!$C$22, $C$13, 100%, $E$13)</f>
        <v>9.7776999999999994</v>
      </c>
      <c r="G541" s="64">
        <f>9.7778 * CHOOSE(CONTROL!$C$22, $C$13, 100%, $E$13)</f>
        <v>9.7777999999999992</v>
      </c>
      <c r="H541" s="64">
        <f>16.8081* CHOOSE(CONTROL!$C$22, $C$13, 100%, $E$13)</f>
        <v>16.8081</v>
      </c>
      <c r="I541" s="64">
        <f>16.8083 * CHOOSE(CONTROL!$C$22, $C$13, 100%, $E$13)</f>
        <v>16.808299999999999</v>
      </c>
      <c r="J541" s="64">
        <f>9.7777 * CHOOSE(CONTROL!$C$22, $C$13, 100%, $E$13)</f>
        <v>9.7776999999999994</v>
      </c>
      <c r="K541" s="64">
        <f>9.7778 * CHOOSE(CONTROL!$C$22, $C$13, 100%, $E$13)</f>
        <v>9.7777999999999992</v>
      </c>
    </row>
    <row r="542" spans="1:11" ht="15">
      <c r="A542" s="13">
        <v>58135</v>
      </c>
      <c r="B542" s="63">
        <f>8.488 * CHOOSE(CONTROL!$C$22, $C$13, 100%, $E$13)</f>
        <v>8.4879999999999995</v>
      </c>
      <c r="C542" s="63">
        <f>8.488 * CHOOSE(CONTROL!$C$22, $C$13, 100%, $E$13)</f>
        <v>8.4879999999999995</v>
      </c>
      <c r="D542" s="63">
        <f>8.5009 * CHOOSE(CONTROL!$C$22, $C$13, 100%, $E$13)</f>
        <v>8.5008999999999997</v>
      </c>
      <c r="E542" s="64">
        <f>9.8608 * CHOOSE(CONTROL!$C$22, $C$13, 100%, $E$13)</f>
        <v>9.8607999999999993</v>
      </c>
      <c r="F542" s="64">
        <f>9.8608 * CHOOSE(CONTROL!$C$22, $C$13, 100%, $E$13)</f>
        <v>9.8607999999999993</v>
      </c>
      <c r="G542" s="64">
        <f>9.8609 * CHOOSE(CONTROL!$C$22, $C$13, 100%, $E$13)</f>
        <v>9.8609000000000009</v>
      </c>
      <c r="H542" s="64">
        <f>16.8431* CHOOSE(CONTROL!$C$22, $C$13, 100%, $E$13)</f>
        <v>16.8431</v>
      </c>
      <c r="I542" s="64">
        <f>16.8433 * CHOOSE(CONTROL!$C$22, $C$13, 100%, $E$13)</f>
        <v>16.843299999999999</v>
      </c>
      <c r="J542" s="64">
        <f>9.8608 * CHOOSE(CONTROL!$C$22, $C$13, 100%, $E$13)</f>
        <v>9.8607999999999993</v>
      </c>
      <c r="K542" s="64">
        <f>9.8609 * CHOOSE(CONTROL!$C$22, $C$13, 100%, $E$13)</f>
        <v>9.8609000000000009</v>
      </c>
    </row>
    <row r="543" spans="1:11" ht="15">
      <c r="A543" s="13">
        <v>58166</v>
      </c>
      <c r="B543" s="63">
        <f>8.4896 * CHOOSE(CONTROL!$C$22, $C$13, 100%, $E$13)</f>
        <v>8.4895999999999994</v>
      </c>
      <c r="C543" s="63">
        <f>8.4896 * CHOOSE(CONTROL!$C$22, $C$13, 100%, $E$13)</f>
        <v>8.4895999999999994</v>
      </c>
      <c r="D543" s="63">
        <f>8.5024 * CHOOSE(CONTROL!$C$22, $C$13, 100%, $E$13)</f>
        <v>8.5023999999999997</v>
      </c>
      <c r="E543" s="64">
        <f>9.948 * CHOOSE(CONTROL!$C$22, $C$13, 100%, $E$13)</f>
        <v>9.9480000000000004</v>
      </c>
      <c r="F543" s="64">
        <f>9.948 * CHOOSE(CONTROL!$C$22, $C$13, 100%, $E$13)</f>
        <v>9.9480000000000004</v>
      </c>
      <c r="G543" s="64">
        <f>9.9482 * CHOOSE(CONTROL!$C$22, $C$13, 100%, $E$13)</f>
        <v>9.9481999999999999</v>
      </c>
      <c r="H543" s="64">
        <f>16.8782* CHOOSE(CONTROL!$C$22, $C$13, 100%, $E$13)</f>
        <v>16.8782</v>
      </c>
      <c r="I543" s="64">
        <f>16.8784 * CHOOSE(CONTROL!$C$22, $C$13, 100%, $E$13)</f>
        <v>16.878399999999999</v>
      </c>
      <c r="J543" s="64">
        <f>9.948 * CHOOSE(CONTROL!$C$22, $C$13, 100%, $E$13)</f>
        <v>9.9480000000000004</v>
      </c>
      <c r="K543" s="64">
        <f>9.9482 * CHOOSE(CONTROL!$C$22, $C$13, 100%, $E$13)</f>
        <v>9.9481999999999999</v>
      </c>
    </row>
    <row r="544" spans="1:11" ht="15">
      <c r="A544" s="13">
        <v>58196</v>
      </c>
      <c r="B544" s="63">
        <f>8.4896 * CHOOSE(CONTROL!$C$22, $C$13, 100%, $E$13)</f>
        <v>8.4895999999999994</v>
      </c>
      <c r="C544" s="63">
        <f>8.4896 * CHOOSE(CONTROL!$C$22, $C$13, 100%, $E$13)</f>
        <v>8.4895999999999994</v>
      </c>
      <c r="D544" s="63">
        <f>8.5153 * CHOOSE(CONTROL!$C$22, $C$13, 100%, $E$13)</f>
        <v>8.5152999999999999</v>
      </c>
      <c r="E544" s="64">
        <f>9.9823 * CHOOSE(CONTROL!$C$22, $C$13, 100%, $E$13)</f>
        <v>9.9823000000000004</v>
      </c>
      <c r="F544" s="64">
        <f>9.9823 * CHOOSE(CONTROL!$C$22, $C$13, 100%, $E$13)</f>
        <v>9.9823000000000004</v>
      </c>
      <c r="G544" s="64">
        <f>9.984 * CHOOSE(CONTROL!$C$22, $C$13, 100%, $E$13)</f>
        <v>9.984</v>
      </c>
      <c r="H544" s="64">
        <f>16.9134* CHOOSE(CONTROL!$C$22, $C$13, 100%, $E$13)</f>
        <v>16.913399999999999</v>
      </c>
      <c r="I544" s="64">
        <f>16.915 * CHOOSE(CONTROL!$C$22, $C$13, 100%, $E$13)</f>
        <v>16.914999999999999</v>
      </c>
      <c r="J544" s="64">
        <f>9.9823 * CHOOSE(CONTROL!$C$22, $C$13, 100%, $E$13)</f>
        <v>9.9823000000000004</v>
      </c>
      <c r="K544" s="64">
        <f>9.984 * CHOOSE(CONTROL!$C$22, $C$13, 100%, $E$13)</f>
        <v>9.984</v>
      </c>
    </row>
    <row r="545" spans="1:11" ht="15">
      <c r="A545" s="13">
        <v>58227</v>
      </c>
      <c r="B545" s="63">
        <f>8.4957 * CHOOSE(CONTROL!$C$22, $C$13, 100%, $E$13)</f>
        <v>8.4956999999999994</v>
      </c>
      <c r="C545" s="63">
        <f>8.4957 * CHOOSE(CONTROL!$C$22, $C$13, 100%, $E$13)</f>
        <v>8.4956999999999994</v>
      </c>
      <c r="D545" s="63">
        <f>8.5214 * CHOOSE(CONTROL!$C$22, $C$13, 100%, $E$13)</f>
        <v>8.5213999999999999</v>
      </c>
      <c r="E545" s="64">
        <f>9.9523 * CHOOSE(CONTROL!$C$22, $C$13, 100%, $E$13)</f>
        <v>9.9522999999999993</v>
      </c>
      <c r="F545" s="64">
        <f>9.9523 * CHOOSE(CONTROL!$C$22, $C$13, 100%, $E$13)</f>
        <v>9.9522999999999993</v>
      </c>
      <c r="G545" s="64">
        <f>9.9539 * CHOOSE(CONTROL!$C$22, $C$13, 100%, $E$13)</f>
        <v>9.9539000000000009</v>
      </c>
      <c r="H545" s="64">
        <f>16.9486* CHOOSE(CONTROL!$C$22, $C$13, 100%, $E$13)</f>
        <v>16.948599999999999</v>
      </c>
      <c r="I545" s="64">
        <f>16.9502 * CHOOSE(CONTROL!$C$22, $C$13, 100%, $E$13)</f>
        <v>16.950199999999999</v>
      </c>
      <c r="J545" s="64">
        <f>9.9523 * CHOOSE(CONTROL!$C$22, $C$13, 100%, $E$13)</f>
        <v>9.9522999999999993</v>
      </c>
      <c r="K545" s="64">
        <f>9.9539 * CHOOSE(CONTROL!$C$22, $C$13, 100%, $E$13)</f>
        <v>9.9539000000000009</v>
      </c>
    </row>
    <row r="546" spans="1:11" ht="15">
      <c r="A546" s="13">
        <v>58257</v>
      </c>
      <c r="B546" s="63">
        <f>8.6328 * CHOOSE(CONTROL!$C$22, $C$13, 100%, $E$13)</f>
        <v>8.6327999999999996</v>
      </c>
      <c r="C546" s="63">
        <f>8.6328 * CHOOSE(CONTROL!$C$22, $C$13, 100%, $E$13)</f>
        <v>8.6327999999999996</v>
      </c>
      <c r="D546" s="63">
        <f>8.6585 * CHOOSE(CONTROL!$C$22, $C$13, 100%, $E$13)</f>
        <v>8.6585000000000001</v>
      </c>
      <c r="E546" s="64">
        <f>10.1458 * CHOOSE(CONTROL!$C$22, $C$13, 100%, $E$13)</f>
        <v>10.145799999999999</v>
      </c>
      <c r="F546" s="64">
        <f>10.1458 * CHOOSE(CONTROL!$C$22, $C$13, 100%, $E$13)</f>
        <v>10.145799999999999</v>
      </c>
      <c r="G546" s="64">
        <f>10.1474 * CHOOSE(CONTROL!$C$22, $C$13, 100%, $E$13)</f>
        <v>10.147399999999999</v>
      </c>
      <c r="H546" s="64">
        <f>16.9839* CHOOSE(CONTROL!$C$22, $C$13, 100%, $E$13)</f>
        <v>16.983899999999998</v>
      </c>
      <c r="I546" s="64">
        <f>16.9855 * CHOOSE(CONTROL!$C$22, $C$13, 100%, $E$13)</f>
        <v>16.985499999999998</v>
      </c>
      <c r="J546" s="64">
        <f>10.1458 * CHOOSE(CONTROL!$C$22, $C$13, 100%, $E$13)</f>
        <v>10.145799999999999</v>
      </c>
      <c r="K546" s="64">
        <f>10.1474 * CHOOSE(CONTROL!$C$22, $C$13, 100%, $E$13)</f>
        <v>10.147399999999999</v>
      </c>
    </row>
    <row r="547" spans="1:11" ht="15">
      <c r="A547" s="13">
        <v>58288</v>
      </c>
      <c r="B547" s="63">
        <f>8.6395 * CHOOSE(CONTROL!$C$22, $C$13, 100%, $E$13)</f>
        <v>8.6395</v>
      </c>
      <c r="C547" s="63">
        <f>8.6395 * CHOOSE(CONTROL!$C$22, $C$13, 100%, $E$13)</f>
        <v>8.6395</v>
      </c>
      <c r="D547" s="63">
        <f>8.6652 * CHOOSE(CONTROL!$C$22, $C$13, 100%, $E$13)</f>
        <v>8.6652000000000005</v>
      </c>
      <c r="E547" s="64">
        <f>10.0475 * CHOOSE(CONTROL!$C$22, $C$13, 100%, $E$13)</f>
        <v>10.047499999999999</v>
      </c>
      <c r="F547" s="64">
        <f>10.0475 * CHOOSE(CONTROL!$C$22, $C$13, 100%, $E$13)</f>
        <v>10.047499999999999</v>
      </c>
      <c r="G547" s="64">
        <f>10.0491 * CHOOSE(CONTROL!$C$22, $C$13, 100%, $E$13)</f>
        <v>10.049099999999999</v>
      </c>
      <c r="H547" s="64">
        <f>17.0193* CHOOSE(CONTROL!$C$22, $C$13, 100%, $E$13)</f>
        <v>17.019300000000001</v>
      </c>
      <c r="I547" s="64">
        <f>17.0209 * CHOOSE(CONTROL!$C$22, $C$13, 100%, $E$13)</f>
        <v>17.020900000000001</v>
      </c>
      <c r="J547" s="64">
        <f>10.0475 * CHOOSE(CONTROL!$C$22, $C$13, 100%, $E$13)</f>
        <v>10.047499999999999</v>
      </c>
      <c r="K547" s="64">
        <f>10.0491 * CHOOSE(CONTROL!$C$22, $C$13, 100%, $E$13)</f>
        <v>10.049099999999999</v>
      </c>
    </row>
    <row r="548" spans="1:11" ht="15">
      <c r="A548" s="13">
        <v>58319</v>
      </c>
      <c r="B548" s="63">
        <f>8.6364 * CHOOSE(CONTROL!$C$22, $C$13, 100%, $E$13)</f>
        <v>8.6364000000000001</v>
      </c>
      <c r="C548" s="63">
        <f>8.6364 * CHOOSE(CONTROL!$C$22, $C$13, 100%, $E$13)</f>
        <v>8.6364000000000001</v>
      </c>
      <c r="D548" s="63">
        <f>8.6622 * CHOOSE(CONTROL!$C$22, $C$13, 100%, $E$13)</f>
        <v>8.6622000000000003</v>
      </c>
      <c r="E548" s="64">
        <f>10.0339 * CHOOSE(CONTROL!$C$22, $C$13, 100%, $E$13)</f>
        <v>10.033899999999999</v>
      </c>
      <c r="F548" s="64">
        <f>10.0339 * CHOOSE(CONTROL!$C$22, $C$13, 100%, $E$13)</f>
        <v>10.033899999999999</v>
      </c>
      <c r="G548" s="64">
        <f>10.0356 * CHOOSE(CONTROL!$C$22, $C$13, 100%, $E$13)</f>
        <v>10.035600000000001</v>
      </c>
      <c r="H548" s="64">
        <f>17.0547* CHOOSE(CONTROL!$C$22, $C$13, 100%, $E$13)</f>
        <v>17.0547</v>
      </c>
      <c r="I548" s="64">
        <f>17.0564 * CHOOSE(CONTROL!$C$22, $C$13, 100%, $E$13)</f>
        <v>17.0564</v>
      </c>
      <c r="J548" s="64">
        <f>10.0339 * CHOOSE(CONTROL!$C$22, $C$13, 100%, $E$13)</f>
        <v>10.033899999999999</v>
      </c>
      <c r="K548" s="64">
        <f>10.0356 * CHOOSE(CONTROL!$C$22, $C$13, 100%, $E$13)</f>
        <v>10.035600000000001</v>
      </c>
    </row>
    <row r="549" spans="1:11" ht="15">
      <c r="A549" s="13">
        <v>58349</v>
      </c>
      <c r="B549" s="63">
        <f>8.6471 * CHOOSE(CONTROL!$C$22, $C$13, 100%, $E$13)</f>
        <v>8.6471</v>
      </c>
      <c r="C549" s="63">
        <f>8.6471 * CHOOSE(CONTROL!$C$22, $C$13, 100%, $E$13)</f>
        <v>8.6471</v>
      </c>
      <c r="D549" s="63">
        <f>8.6599 * CHOOSE(CONTROL!$C$22, $C$13, 100%, $E$13)</f>
        <v>8.6599000000000004</v>
      </c>
      <c r="E549" s="64">
        <f>10.0663 * CHOOSE(CONTROL!$C$22, $C$13, 100%, $E$13)</f>
        <v>10.0663</v>
      </c>
      <c r="F549" s="64">
        <f>10.0663 * CHOOSE(CONTROL!$C$22, $C$13, 100%, $E$13)</f>
        <v>10.0663</v>
      </c>
      <c r="G549" s="64">
        <f>10.0665 * CHOOSE(CONTROL!$C$22, $C$13, 100%, $E$13)</f>
        <v>10.0665</v>
      </c>
      <c r="H549" s="64">
        <f>17.0903* CHOOSE(CONTROL!$C$22, $C$13, 100%, $E$13)</f>
        <v>17.090299999999999</v>
      </c>
      <c r="I549" s="64">
        <f>17.0904 * CHOOSE(CONTROL!$C$22, $C$13, 100%, $E$13)</f>
        <v>17.090399999999999</v>
      </c>
      <c r="J549" s="64">
        <f>10.0663 * CHOOSE(CONTROL!$C$22, $C$13, 100%, $E$13)</f>
        <v>10.0663</v>
      </c>
      <c r="K549" s="64">
        <f>10.0665 * CHOOSE(CONTROL!$C$22, $C$13, 100%, $E$13)</f>
        <v>10.0665</v>
      </c>
    </row>
    <row r="550" spans="1:11" ht="15">
      <c r="A550" s="13">
        <v>58380</v>
      </c>
      <c r="B550" s="63">
        <f>8.6501 * CHOOSE(CONTROL!$C$22, $C$13, 100%, $E$13)</f>
        <v>8.6501000000000001</v>
      </c>
      <c r="C550" s="63">
        <f>8.6501 * CHOOSE(CONTROL!$C$22, $C$13, 100%, $E$13)</f>
        <v>8.6501000000000001</v>
      </c>
      <c r="D550" s="63">
        <f>8.663 * CHOOSE(CONTROL!$C$22, $C$13, 100%, $E$13)</f>
        <v>8.6630000000000003</v>
      </c>
      <c r="E550" s="64">
        <f>10.0913 * CHOOSE(CONTROL!$C$22, $C$13, 100%, $E$13)</f>
        <v>10.0913</v>
      </c>
      <c r="F550" s="64">
        <f>10.0913 * CHOOSE(CONTROL!$C$22, $C$13, 100%, $E$13)</f>
        <v>10.0913</v>
      </c>
      <c r="G550" s="64">
        <f>10.0914 * CHOOSE(CONTROL!$C$22, $C$13, 100%, $E$13)</f>
        <v>10.0914</v>
      </c>
      <c r="H550" s="64">
        <f>17.1259* CHOOSE(CONTROL!$C$22, $C$13, 100%, $E$13)</f>
        <v>17.125900000000001</v>
      </c>
      <c r="I550" s="64">
        <f>17.1261 * CHOOSE(CONTROL!$C$22, $C$13, 100%, $E$13)</f>
        <v>17.126100000000001</v>
      </c>
      <c r="J550" s="64">
        <f>10.0913 * CHOOSE(CONTROL!$C$22, $C$13, 100%, $E$13)</f>
        <v>10.0913</v>
      </c>
      <c r="K550" s="64">
        <f>10.0914 * CHOOSE(CONTROL!$C$22, $C$13, 100%, $E$13)</f>
        <v>10.0914</v>
      </c>
    </row>
    <row r="551" spans="1:11" ht="15">
      <c r="A551" s="13">
        <v>58410</v>
      </c>
      <c r="B551" s="63">
        <f>8.6501 * CHOOSE(CONTROL!$C$22, $C$13, 100%, $E$13)</f>
        <v>8.6501000000000001</v>
      </c>
      <c r="C551" s="63">
        <f>8.6501 * CHOOSE(CONTROL!$C$22, $C$13, 100%, $E$13)</f>
        <v>8.6501000000000001</v>
      </c>
      <c r="D551" s="63">
        <f>8.663 * CHOOSE(CONTROL!$C$22, $C$13, 100%, $E$13)</f>
        <v>8.6630000000000003</v>
      </c>
      <c r="E551" s="64">
        <f>10.0341 * CHOOSE(CONTROL!$C$22, $C$13, 100%, $E$13)</f>
        <v>10.0341</v>
      </c>
      <c r="F551" s="64">
        <f>10.0341 * CHOOSE(CONTROL!$C$22, $C$13, 100%, $E$13)</f>
        <v>10.0341</v>
      </c>
      <c r="G551" s="64">
        <f>10.0343 * CHOOSE(CONTROL!$C$22, $C$13, 100%, $E$13)</f>
        <v>10.0343</v>
      </c>
      <c r="H551" s="64">
        <f>17.1616* CHOOSE(CONTROL!$C$22, $C$13, 100%, $E$13)</f>
        <v>17.1616</v>
      </c>
      <c r="I551" s="64">
        <f>17.1617 * CHOOSE(CONTROL!$C$22, $C$13, 100%, $E$13)</f>
        <v>17.1617</v>
      </c>
      <c r="J551" s="64">
        <f>10.0341 * CHOOSE(CONTROL!$C$22, $C$13, 100%, $E$13)</f>
        <v>10.0341</v>
      </c>
      <c r="K551" s="64">
        <f>10.0343 * CHOOSE(CONTROL!$C$22, $C$13, 100%, $E$13)</f>
        <v>10.0343</v>
      </c>
    </row>
    <row r="552" spans="1:11" ht="15">
      <c r="A552" s="13">
        <v>58441</v>
      </c>
      <c r="B552" s="63">
        <f>8.7264 * CHOOSE(CONTROL!$C$22, $C$13, 100%, $E$13)</f>
        <v>8.7263999999999999</v>
      </c>
      <c r="C552" s="63">
        <f>8.7264 * CHOOSE(CONTROL!$C$22, $C$13, 100%, $E$13)</f>
        <v>8.7263999999999999</v>
      </c>
      <c r="D552" s="63">
        <f>8.7393 * CHOOSE(CONTROL!$C$22, $C$13, 100%, $E$13)</f>
        <v>8.7393000000000001</v>
      </c>
      <c r="E552" s="64">
        <f>10.1646 * CHOOSE(CONTROL!$C$22, $C$13, 100%, $E$13)</f>
        <v>10.1646</v>
      </c>
      <c r="F552" s="64">
        <f>10.1646 * CHOOSE(CONTROL!$C$22, $C$13, 100%, $E$13)</f>
        <v>10.1646</v>
      </c>
      <c r="G552" s="64">
        <f>10.1647 * CHOOSE(CONTROL!$C$22, $C$13, 100%, $E$13)</f>
        <v>10.1647</v>
      </c>
      <c r="H552" s="64">
        <f>17.1973* CHOOSE(CONTROL!$C$22, $C$13, 100%, $E$13)</f>
        <v>17.197299999999998</v>
      </c>
      <c r="I552" s="64">
        <f>17.1975 * CHOOSE(CONTROL!$C$22, $C$13, 100%, $E$13)</f>
        <v>17.197500000000002</v>
      </c>
      <c r="J552" s="64">
        <f>10.1646 * CHOOSE(CONTROL!$C$22, $C$13, 100%, $E$13)</f>
        <v>10.1646</v>
      </c>
      <c r="K552" s="64">
        <f>10.1647 * CHOOSE(CONTROL!$C$22, $C$13, 100%, $E$13)</f>
        <v>10.1647</v>
      </c>
    </row>
    <row r="553" spans="1:11" ht="15">
      <c r="A553" s="13">
        <v>58472</v>
      </c>
      <c r="B553" s="63">
        <f>8.7233 * CHOOSE(CONTROL!$C$22, $C$13, 100%, $E$13)</f>
        <v>8.7233000000000001</v>
      </c>
      <c r="C553" s="63">
        <f>8.7233 * CHOOSE(CONTROL!$C$22, $C$13, 100%, $E$13)</f>
        <v>8.7233000000000001</v>
      </c>
      <c r="D553" s="63">
        <f>8.7362 * CHOOSE(CONTROL!$C$22, $C$13, 100%, $E$13)</f>
        <v>8.7362000000000002</v>
      </c>
      <c r="E553" s="64">
        <f>10.0513 * CHOOSE(CONTROL!$C$22, $C$13, 100%, $E$13)</f>
        <v>10.051299999999999</v>
      </c>
      <c r="F553" s="64">
        <f>10.0513 * CHOOSE(CONTROL!$C$22, $C$13, 100%, $E$13)</f>
        <v>10.051299999999999</v>
      </c>
      <c r="G553" s="64">
        <f>10.0515 * CHOOSE(CONTROL!$C$22, $C$13, 100%, $E$13)</f>
        <v>10.051500000000001</v>
      </c>
      <c r="H553" s="64">
        <f>17.2331* CHOOSE(CONTROL!$C$22, $C$13, 100%, $E$13)</f>
        <v>17.2331</v>
      </c>
      <c r="I553" s="64">
        <f>17.2333 * CHOOSE(CONTROL!$C$22, $C$13, 100%, $E$13)</f>
        <v>17.2333</v>
      </c>
      <c r="J553" s="64">
        <f>10.0513 * CHOOSE(CONTROL!$C$22, $C$13, 100%, $E$13)</f>
        <v>10.051299999999999</v>
      </c>
      <c r="K553" s="64">
        <f>10.0515 * CHOOSE(CONTROL!$C$22, $C$13, 100%, $E$13)</f>
        <v>10.051500000000001</v>
      </c>
    </row>
    <row r="554" spans="1:11" ht="15">
      <c r="A554" s="13">
        <v>58501</v>
      </c>
      <c r="B554" s="63">
        <f>8.7203 * CHOOSE(CONTROL!$C$22, $C$13, 100%, $E$13)</f>
        <v>8.7202999999999999</v>
      </c>
      <c r="C554" s="63">
        <f>8.7203 * CHOOSE(CONTROL!$C$22, $C$13, 100%, $E$13)</f>
        <v>8.7202999999999999</v>
      </c>
      <c r="D554" s="63">
        <f>8.7332 * CHOOSE(CONTROL!$C$22, $C$13, 100%, $E$13)</f>
        <v>8.7332000000000001</v>
      </c>
      <c r="E554" s="64">
        <f>10.1368 * CHOOSE(CONTROL!$C$22, $C$13, 100%, $E$13)</f>
        <v>10.136799999999999</v>
      </c>
      <c r="F554" s="64">
        <f>10.1368 * CHOOSE(CONTROL!$C$22, $C$13, 100%, $E$13)</f>
        <v>10.136799999999999</v>
      </c>
      <c r="G554" s="64">
        <f>10.137 * CHOOSE(CONTROL!$C$22, $C$13, 100%, $E$13)</f>
        <v>10.137</v>
      </c>
      <c r="H554" s="64">
        <f>17.269* CHOOSE(CONTROL!$C$22, $C$13, 100%, $E$13)</f>
        <v>17.268999999999998</v>
      </c>
      <c r="I554" s="64">
        <f>17.2692 * CHOOSE(CONTROL!$C$22, $C$13, 100%, $E$13)</f>
        <v>17.269200000000001</v>
      </c>
      <c r="J554" s="64">
        <f>10.1368 * CHOOSE(CONTROL!$C$22, $C$13, 100%, $E$13)</f>
        <v>10.136799999999999</v>
      </c>
      <c r="K554" s="64">
        <f>10.137 * CHOOSE(CONTROL!$C$22, $C$13, 100%, $E$13)</f>
        <v>10.137</v>
      </c>
    </row>
    <row r="555" spans="1:11" ht="15">
      <c r="A555" s="13">
        <v>58532</v>
      </c>
      <c r="B555" s="63">
        <f>8.7221 * CHOOSE(CONTROL!$C$22, $C$13, 100%, $E$13)</f>
        <v>8.7220999999999993</v>
      </c>
      <c r="C555" s="63">
        <f>8.7221 * CHOOSE(CONTROL!$C$22, $C$13, 100%, $E$13)</f>
        <v>8.7220999999999993</v>
      </c>
      <c r="D555" s="63">
        <f>8.7349 * CHOOSE(CONTROL!$C$22, $C$13, 100%, $E$13)</f>
        <v>8.7348999999999997</v>
      </c>
      <c r="E555" s="64">
        <f>10.2266 * CHOOSE(CONTROL!$C$22, $C$13, 100%, $E$13)</f>
        <v>10.226599999999999</v>
      </c>
      <c r="F555" s="64">
        <f>10.2266 * CHOOSE(CONTROL!$C$22, $C$13, 100%, $E$13)</f>
        <v>10.226599999999999</v>
      </c>
      <c r="G555" s="64">
        <f>10.2268 * CHOOSE(CONTROL!$C$22, $C$13, 100%, $E$13)</f>
        <v>10.226800000000001</v>
      </c>
      <c r="H555" s="64">
        <f>17.305* CHOOSE(CONTROL!$C$22, $C$13, 100%, $E$13)</f>
        <v>17.305</v>
      </c>
      <c r="I555" s="64">
        <f>17.3052 * CHOOSE(CONTROL!$C$22, $C$13, 100%, $E$13)</f>
        <v>17.305199999999999</v>
      </c>
      <c r="J555" s="64">
        <f>10.2266 * CHOOSE(CONTROL!$C$22, $C$13, 100%, $E$13)</f>
        <v>10.226599999999999</v>
      </c>
      <c r="K555" s="64">
        <f>10.2268 * CHOOSE(CONTROL!$C$22, $C$13, 100%, $E$13)</f>
        <v>10.226800000000001</v>
      </c>
    </row>
    <row r="556" spans="1:11" ht="15">
      <c r="A556" s="13">
        <v>58562</v>
      </c>
      <c r="B556" s="63">
        <f>8.7221 * CHOOSE(CONTROL!$C$22, $C$13, 100%, $E$13)</f>
        <v>8.7220999999999993</v>
      </c>
      <c r="C556" s="63">
        <f>8.7221 * CHOOSE(CONTROL!$C$22, $C$13, 100%, $E$13)</f>
        <v>8.7220999999999993</v>
      </c>
      <c r="D556" s="63">
        <f>8.7478 * CHOOSE(CONTROL!$C$22, $C$13, 100%, $E$13)</f>
        <v>8.7477999999999998</v>
      </c>
      <c r="E556" s="64">
        <f>10.2619 * CHOOSE(CONTROL!$C$22, $C$13, 100%, $E$13)</f>
        <v>10.261900000000001</v>
      </c>
      <c r="F556" s="64">
        <f>10.2619 * CHOOSE(CONTROL!$C$22, $C$13, 100%, $E$13)</f>
        <v>10.261900000000001</v>
      </c>
      <c r="G556" s="64">
        <f>10.2636 * CHOOSE(CONTROL!$C$22, $C$13, 100%, $E$13)</f>
        <v>10.2636</v>
      </c>
      <c r="H556" s="64">
        <f>17.3411* CHOOSE(CONTROL!$C$22, $C$13, 100%, $E$13)</f>
        <v>17.341100000000001</v>
      </c>
      <c r="I556" s="64">
        <f>17.3427 * CHOOSE(CONTROL!$C$22, $C$13, 100%, $E$13)</f>
        <v>17.342700000000001</v>
      </c>
      <c r="J556" s="64">
        <f>10.2619 * CHOOSE(CONTROL!$C$22, $C$13, 100%, $E$13)</f>
        <v>10.261900000000001</v>
      </c>
      <c r="K556" s="64">
        <f>10.2636 * CHOOSE(CONTROL!$C$22, $C$13, 100%, $E$13)</f>
        <v>10.2636</v>
      </c>
    </row>
    <row r="557" spans="1:11" ht="15">
      <c r="A557" s="13">
        <v>58593</v>
      </c>
      <c r="B557" s="63">
        <f>8.7282 * CHOOSE(CONTROL!$C$22, $C$13, 100%, $E$13)</f>
        <v>8.7281999999999993</v>
      </c>
      <c r="C557" s="63">
        <f>8.7282 * CHOOSE(CONTROL!$C$22, $C$13, 100%, $E$13)</f>
        <v>8.7281999999999993</v>
      </c>
      <c r="D557" s="63">
        <f>8.7539 * CHOOSE(CONTROL!$C$22, $C$13, 100%, $E$13)</f>
        <v>8.7538999999999998</v>
      </c>
      <c r="E557" s="64">
        <f>10.2309 * CHOOSE(CONTROL!$C$22, $C$13, 100%, $E$13)</f>
        <v>10.2309</v>
      </c>
      <c r="F557" s="64">
        <f>10.2309 * CHOOSE(CONTROL!$C$22, $C$13, 100%, $E$13)</f>
        <v>10.2309</v>
      </c>
      <c r="G557" s="64">
        <f>10.2325 * CHOOSE(CONTROL!$C$22, $C$13, 100%, $E$13)</f>
        <v>10.2325</v>
      </c>
      <c r="H557" s="64">
        <f>17.3772* CHOOSE(CONTROL!$C$22, $C$13, 100%, $E$13)</f>
        <v>17.377199999999998</v>
      </c>
      <c r="I557" s="64">
        <f>17.3788 * CHOOSE(CONTROL!$C$22, $C$13, 100%, $E$13)</f>
        <v>17.378799999999998</v>
      </c>
      <c r="J557" s="64">
        <f>10.2309 * CHOOSE(CONTROL!$C$22, $C$13, 100%, $E$13)</f>
        <v>10.2309</v>
      </c>
      <c r="K557" s="64">
        <f>10.2325 * CHOOSE(CONTROL!$C$22, $C$13, 100%, $E$13)</f>
        <v>10.2325</v>
      </c>
    </row>
    <row r="558" spans="1:11" ht="15">
      <c r="A558" s="13">
        <v>58623</v>
      </c>
      <c r="B558" s="63">
        <f>8.8688 * CHOOSE(CONTROL!$C$22, $C$13, 100%, $E$13)</f>
        <v>8.8688000000000002</v>
      </c>
      <c r="C558" s="63">
        <f>8.8688 * CHOOSE(CONTROL!$C$22, $C$13, 100%, $E$13)</f>
        <v>8.8688000000000002</v>
      </c>
      <c r="D558" s="63">
        <f>8.8945 * CHOOSE(CONTROL!$C$22, $C$13, 100%, $E$13)</f>
        <v>8.8945000000000007</v>
      </c>
      <c r="E558" s="64">
        <f>10.4296 * CHOOSE(CONTROL!$C$22, $C$13, 100%, $E$13)</f>
        <v>10.429600000000001</v>
      </c>
      <c r="F558" s="64">
        <f>10.4296 * CHOOSE(CONTROL!$C$22, $C$13, 100%, $E$13)</f>
        <v>10.429600000000001</v>
      </c>
      <c r="G558" s="64">
        <f>10.4312 * CHOOSE(CONTROL!$C$22, $C$13, 100%, $E$13)</f>
        <v>10.4312</v>
      </c>
      <c r="H558" s="64">
        <f>17.4134* CHOOSE(CONTROL!$C$22, $C$13, 100%, $E$13)</f>
        <v>17.413399999999999</v>
      </c>
      <c r="I558" s="64">
        <f>17.415 * CHOOSE(CONTROL!$C$22, $C$13, 100%, $E$13)</f>
        <v>17.414999999999999</v>
      </c>
      <c r="J558" s="64">
        <f>10.4296 * CHOOSE(CONTROL!$C$22, $C$13, 100%, $E$13)</f>
        <v>10.429600000000001</v>
      </c>
      <c r="K558" s="64">
        <f>10.4312 * CHOOSE(CONTROL!$C$22, $C$13, 100%, $E$13)</f>
        <v>10.4312</v>
      </c>
    </row>
    <row r="559" spans="1:11" ht="15">
      <c r="A559" s="13">
        <v>58654</v>
      </c>
      <c r="B559" s="63">
        <f>8.8755 * CHOOSE(CONTROL!$C$22, $C$13, 100%, $E$13)</f>
        <v>8.8755000000000006</v>
      </c>
      <c r="C559" s="63">
        <f>8.8755 * CHOOSE(CONTROL!$C$22, $C$13, 100%, $E$13)</f>
        <v>8.8755000000000006</v>
      </c>
      <c r="D559" s="63">
        <f>8.9012 * CHOOSE(CONTROL!$C$22, $C$13, 100%, $E$13)</f>
        <v>8.9011999999999993</v>
      </c>
      <c r="E559" s="64">
        <f>10.3284 * CHOOSE(CONTROL!$C$22, $C$13, 100%, $E$13)</f>
        <v>10.3284</v>
      </c>
      <c r="F559" s="64">
        <f>10.3284 * CHOOSE(CONTROL!$C$22, $C$13, 100%, $E$13)</f>
        <v>10.3284</v>
      </c>
      <c r="G559" s="64">
        <f>10.33 * CHOOSE(CONTROL!$C$22, $C$13, 100%, $E$13)</f>
        <v>10.33</v>
      </c>
      <c r="H559" s="64">
        <f>17.4497* CHOOSE(CONTROL!$C$22, $C$13, 100%, $E$13)</f>
        <v>17.4497</v>
      </c>
      <c r="I559" s="64">
        <f>17.4513 * CHOOSE(CONTROL!$C$22, $C$13, 100%, $E$13)</f>
        <v>17.4513</v>
      </c>
      <c r="J559" s="64">
        <f>10.3284 * CHOOSE(CONTROL!$C$22, $C$13, 100%, $E$13)</f>
        <v>10.3284</v>
      </c>
      <c r="K559" s="64">
        <f>10.33 * CHOOSE(CONTROL!$C$22, $C$13, 100%, $E$13)</f>
        <v>10.33</v>
      </c>
    </row>
    <row r="560" spans="1:11" ht="15">
      <c r="A560" s="13">
        <v>58685</v>
      </c>
      <c r="B560" s="63">
        <f>8.8724 * CHOOSE(CONTROL!$C$22, $C$13, 100%, $E$13)</f>
        <v>8.8724000000000007</v>
      </c>
      <c r="C560" s="63">
        <f>8.8724 * CHOOSE(CONTROL!$C$22, $C$13, 100%, $E$13)</f>
        <v>8.8724000000000007</v>
      </c>
      <c r="D560" s="63">
        <f>8.8982 * CHOOSE(CONTROL!$C$22, $C$13, 100%, $E$13)</f>
        <v>8.8981999999999992</v>
      </c>
      <c r="E560" s="64">
        <f>10.3145 * CHOOSE(CONTROL!$C$22, $C$13, 100%, $E$13)</f>
        <v>10.314500000000001</v>
      </c>
      <c r="F560" s="64">
        <f>10.3145 * CHOOSE(CONTROL!$C$22, $C$13, 100%, $E$13)</f>
        <v>10.314500000000001</v>
      </c>
      <c r="G560" s="64">
        <f>10.3161 * CHOOSE(CONTROL!$C$22, $C$13, 100%, $E$13)</f>
        <v>10.3161</v>
      </c>
      <c r="H560" s="64">
        <f>17.486* CHOOSE(CONTROL!$C$22, $C$13, 100%, $E$13)</f>
        <v>17.486000000000001</v>
      </c>
      <c r="I560" s="64">
        <f>17.4877 * CHOOSE(CONTROL!$C$22, $C$13, 100%, $E$13)</f>
        <v>17.4877</v>
      </c>
      <c r="J560" s="64">
        <f>10.3145 * CHOOSE(CONTROL!$C$22, $C$13, 100%, $E$13)</f>
        <v>10.314500000000001</v>
      </c>
      <c r="K560" s="64">
        <f>10.3161 * CHOOSE(CONTROL!$C$22, $C$13, 100%, $E$13)</f>
        <v>10.3161</v>
      </c>
    </row>
    <row r="561" spans="1:11" ht="15">
      <c r="A561" s="13">
        <v>58715</v>
      </c>
      <c r="B561" s="63">
        <f>8.8838 * CHOOSE(CONTROL!$C$22, $C$13, 100%, $E$13)</f>
        <v>8.8838000000000008</v>
      </c>
      <c r="C561" s="63">
        <f>8.8838 * CHOOSE(CONTROL!$C$22, $C$13, 100%, $E$13)</f>
        <v>8.8838000000000008</v>
      </c>
      <c r="D561" s="63">
        <f>8.8967 * CHOOSE(CONTROL!$C$22, $C$13, 100%, $E$13)</f>
        <v>8.8966999999999992</v>
      </c>
      <c r="E561" s="64">
        <f>10.3481 * CHOOSE(CONTROL!$C$22, $C$13, 100%, $E$13)</f>
        <v>10.348100000000001</v>
      </c>
      <c r="F561" s="64">
        <f>10.3481 * CHOOSE(CONTROL!$C$22, $C$13, 100%, $E$13)</f>
        <v>10.348100000000001</v>
      </c>
      <c r="G561" s="64">
        <f>10.3483 * CHOOSE(CONTROL!$C$22, $C$13, 100%, $E$13)</f>
        <v>10.3483</v>
      </c>
      <c r="H561" s="64">
        <f>17.5225* CHOOSE(CONTROL!$C$22, $C$13, 100%, $E$13)</f>
        <v>17.522500000000001</v>
      </c>
      <c r="I561" s="64">
        <f>17.5226 * CHOOSE(CONTROL!$C$22, $C$13, 100%, $E$13)</f>
        <v>17.522600000000001</v>
      </c>
      <c r="J561" s="64">
        <f>10.3481 * CHOOSE(CONTROL!$C$22, $C$13, 100%, $E$13)</f>
        <v>10.348100000000001</v>
      </c>
      <c r="K561" s="64">
        <f>10.3483 * CHOOSE(CONTROL!$C$22, $C$13, 100%, $E$13)</f>
        <v>10.3483</v>
      </c>
    </row>
    <row r="562" spans="1:11" ht="15">
      <c r="A562" s="13">
        <v>58746</v>
      </c>
      <c r="B562" s="63">
        <f>8.8868 * CHOOSE(CONTROL!$C$22, $C$13, 100%, $E$13)</f>
        <v>8.8867999999999991</v>
      </c>
      <c r="C562" s="63">
        <f>8.8868 * CHOOSE(CONTROL!$C$22, $C$13, 100%, $E$13)</f>
        <v>8.8867999999999991</v>
      </c>
      <c r="D562" s="63">
        <f>8.8997 * CHOOSE(CONTROL!$C$22, $C$13, 100%, $E$13)</f>
        <v>8.8996999999999993</v>
      </c>
      <c r="E562" s="64">
        <f>10.3738 * CHOOSE(CONTROL!$C$22, $C$13, 100%, $E$13)</f>
        <v>10.373799999999999</v>
      </c>
      <c r="F562" s="64">
        <f>10.3738 * CHOOSE(CONTROL!$C$22, $C$13, 100%, $E$13)</f>
        <v>10.373799999999999</v>
      </c>
      <c r="G562" s="64">
        <f>10.3739 * CHOOSE(CONTROL!$C$22, $C$13, 100%, $E$13)</f>
        <v>10.373900000000001</v>
      </c>
      <c r="H562" s="64">
        <f>17.559* CHOOSE(CONTROL!$C$22, $C$13, 100%, $E$13)</f>
        <v>17.559000000000001</v>
      </c>
      <c r="I562" s="64">
        <f>17.5591 * CHOOSE(CONTROL!$C$22, $C$13, 100%, $E$13)</f>
        <v>17.559100000000001</v>
      </c>
      <c r="J562" s="64">
        <f>10.3738 * CHOOSE(CONTROL!$C$22, $C$13, 100%, $E$13)</f>
        <v>10.373799999999999</v>
      </c>
      <c r="K562" s="64">
        <f>10.3739 * CHOOSE(CONTROL!$C$22, $C$13, 100%, $E$13)</f>
        <v>10.373900000000001</v>
      </c>
    </row>
    <row r="563" spans="1:11" ht="15">
      <c r="A563" s="13">
        <v>58776</v>
      </c>
      <c r="B563" s="63">
        <f>8.8868 * CHOOSE(CONTROL!$C$22, $C$13, 100%, $E$13)</f>
        <v>8.8867999999999991</v>
      </c>
      <c r="C563" s="63">
        <f>8.8868 * CHOOSE(CONTROL!$C$22, $C$13, 100%, $E$13)</f>
        <v>8.8867999999999991</v>
      </c>
      <c r="D563" s="63">
        <f>8.8997 * CHOOSE(CONTROL!$C$22, $C$13, 100%, $E$13)</f>
        <v>8.8996999999999993</v>
      </c>
      <c r="E563" s="64">
        <f>10.315 * CHOOSE(CONTROL!$C$22, $C$13, 100%, $E$13)</f>
        <v>10.315</v>
      </c>
      <c r="F563" s="64">
        <f>10.315 * CHOOSE(CONTROL!$C$22, $C$13, 100%, $E$13)</f>
        <v>10.315</v>
      </c>
      <c r="G563" s="64">
        <f>10.3151 * CHOOSE(CONTROL!$C$22, $C$13, 100%, $E$13)</f>
        <v>10.315099999999999</v>
      </c>
      <c r="H563" s="64">
        <f>17.5955* CHOOSE(CONTROL!$C$22, $C$13, 100%, $E$13)</f>
        <v>17.595500000000001</v>
      </c>
      <c r="I563" s="64">
        <f>17.5957 * CHOOSE(CONTROL!$C$22, $C$13, 100%, $E$13)</f>
        <v>17.595700000000001</v>
      </c>
      <c r="J563" s="64">
        <f>10.315 * CHOOSE(CONTROL!$C$22, $C$13, 100%, $E$13)</f>
        <v>10.315</v>
      </c>
      <c r="K563" s="64">
        <f>10.3151 * CHOOSE(CONTROL!$C$22, $C$13, 100%, $E$13)</f>
        <v>10.315099999999999</v>
      </c>
    </row>
    <row r="564" spans="1:11" ht="15">
      <c r="A564" s="13">
        <v>58807</v>
      </c>
      <c r="B564" s="63">
        <f>8.9651 * CHOOSE(CONTROL!$C$22, $C$13, 100%, $E$13)</f>
        <v>8.9650999999999996</v>
      </c>
      <c r="C564" s="63">
        <f>8.9651 * CHOOSE(CONTROL!$C$22, $C$13, 100%, $E$13)</f>
        <v>8.9650999999999996</v>
      </c>
      <c r="D564" s="63">
        <f>8.978 * CHOOSE(CONTROL!$C$22, $C$13, 100%, $E$13)</f>
        <v>8.9779999999999998</v>
      </c>
      <c r="E564" s="64">
        <f>10.449 * CHOOSE(CONTROL!$C$22, $C$13, 100%, $E$13)</f>
        <v>10.449</v>
      </c>
      <c r="F564" s="64">
        <f>10.449 * CHOOSE(CONTROL!$C$22, $C$13, 100%, $E$13)</f>
        <v>10.449</v>
      </c>
      <c r="G564" s="64">
        <f>10.4492 * CHOOSE(CONTROL!$C$22, $C$13, 100%, $E$13)</f>
        <v>10.449199999999999</v>
      </c>
      <c r="H564" s="64">
        <f>17.6322* CHOOSE(CONTROL!$C$22, $C$13, 100%, $E$13)</f>
        <v>17.632200000000001</v>
      </c>
      <c r="I564" s="64">
        <f>17.6324 * CHOOSE(CONTROL!$C$22, $C$13, 100%, $E$13)</f>
        <v>17.632400000000001</v>
      </c>
      <c r="J564" s="64">
        <f>10.449 * CHOOSE(CONTROL!$C$22, $C$13, 100%, $E$13)</f>
        <v>10.449</v>
      </c>
      <c r="K564" s="64">
        <f>10.4492 * CHOOSE(CONTROL!$C$22, $C$13, 100%, $E$13)</f>
        <v>10.449199999999999</v>
      </c>
    </row>
    <row r="565" spans="1:11" ht="15">
      <c r="A565" s="13">
        <v>58838</v>
      </c>
      <c r="B565" s="63">
        <f>8.9621 * CHOOSE(CONTROL!$C$22, $C$13, 100%, $E$13)</f>
        <v>8.9620999999999995</v>
      </c>
      <c r="C565" s="63">
        <f>8.9621 * CHOOSE(CONTROL!$C$22, $C$13, 100%, $E$13)</f>
        <v>8.9620999999999995</v>
      </c>
      <c r="D565" s="63">
        <f>8.9749 * CHOOSE(CONTROL!$C$22, $C$13, 100%, $E$13)</f>
        <v>8.9748999999999999</v>
      </c>
      <c r="E565" s="64">
        <f>10.3327 * CHOOSE(CONTROL!$C$22, $C$13, 100%, $E$13)</f>
        <v>10.332700000000001</v>
      </c>
      <c r="F565" s="64">
        <f>10.3327 * CHOOSE(CONTROL!$C$22, $C$13, 100%, $E$13)</f>
        <v>10.332700000000001</v>
      </c>
      <c r="G565" s="64">
        <f>10.3328 * CHOOSE(CONTROL!$C$22, $C$13, 100%, $E$13)</f>
        <v>10.332800000000001</v>
      </c>
      <c r="H565" s="64">
        <f>17.6689* CHOOSE(CONTROL!$C$22, $C$13, 100%, $E$13)</f>
        <v>17.668900000000001</v>
      </c>
      <c r="I565" s="64">
        <f>17.6691 * CHOOSE(CONTROL!$C$22, $C$13, 100%, $E$13)</f>
        <v>17.6691</v>
      </c>
      <c r="J565" s="64">
        <f>10.3327 * CHOOSE(CONTROL!$C$22, $C$13, 100%, $E$13)</f>
        <v>10.332700000000001</v>
      </c>
      <c r="K565" s="64">
        <f>10.3328 * CHOOSE(CONTROL!$C$22, $C$13, 100%, $E$13)</f>
        <v>10.332800000000001</v>
      </c>
    </row>
    <row r="566" spans="1:11" ht="15">
      <c r="A566" s="13">
        <v>58866</v>
      </c>
      <c r="B566" s="63">
        <f>8.959 * CHOOSE(CONTROL!$C$22, $C$13, 100%, $E$13)</f>
        <v>8.9589999999999996</v>
      </c>
      <c r="C566" s="63">
        <f>8.959 * CHOOSE(CONTROL!$C$22, $C$13, 100%, $E$13)</f>
        <v>8.9589999999999996</v>
      </c>
      <c r="D566" s="63">
        <f>8.9719 * CHOOSE(CONTROL!$C$22, $C$13, 100%, $E$13)</f>
        <v>8.9718999999999998</v>
      </c>
      <c r="E566" s="64">
        <f>10.4206 * CHOOSE(CONTROL!$C$22, $C$13, 100%, $E$13)</f>
        <v>10.4206</v>
      </c>
      <c r="F566" s="64">
        <f>10.4206 * CHOOSE(CONTROL!$C$22, $C$13, 100%, $E$13)</f>
        <v>10.4206</v>
      </c>
      <c r="G566" s="64">
        <f>10.4208 * CHOOSE(CONTROL!$C$22, $C$13, 100%, $E$13)</f>
        <v>10.4208</v>
      </c>
      <c r="H566" s="64">
        <f>17.7057* CHOOSE(CONTROL!$C$22, $C$13, 100%, $E$13)</f>
        <v>17.7057</v>
      </c>
      <c r="I566" s="64">
        <f>17.7059 * CHOOSE(CONTROL!$C$22, $C$13, 100%, $E$13)</f>
        <v>17.7059</v>
      </c>
      <c r="J566" s="64">
        <f>10.4206 * CHOOSE(CONTROL!$C$22, $C$13, 100%, $E$13)</f>
        <v>10.4206</v>
      </c>
      <c r="K566" s="64">
        <f>10.4208 * CHOOSE(CONTROL!$C$22, $C$13, 100%, $E$13)</f>
        <v>10.4208</v>
      </c>
    </row>
    <row r="567" spans="1:11" ht="15">
      <c r="A567" s="13">
        <v>58897</v>
      </c>
      <c r="B567" s="63">
        <f>8.961 * CHOOSE(CONTROL!$C$22, $C$13, 100%, $E$13)</f>
        <v>8.9610000000000003</v>
      </c>
      <c r="C567" s="63">
        <f>8.961 * CHOOSE(CONTROL!$C$22, $C$13, 100%, $E$13)</f>
        <v>8.9610000000000003</v>
      </c>
      <c r="D567" s="63">
        <f>8.9739 * CHOOSE(CONTROL!$C$22, $C$13, 100%, $E$13)</f>
        <v>8.9739000000000004</v>
      </c>
      <c r="E567" s="64">
        <f>10.5131 * CHOOSE(CONTROL!$C$22, $C$13, 100%, $E$13)</f>
        <v>10.5131</v>
      </c>
      <c r="F567" s="64">
        <f>10.5131 * CHOOSE(CONTROL!$C$22, $C$13, 100%, $E$13)</f>
        <v>10.5131</v>
      </c>
      <c r="G567" s="64">
        <f>10.5133 * CHOOSE(CONTROL!$C$22, $C$13, 100%, $E$13)</f>
        <v>10.513299999999999</v>
      </c>
      <c r="H567" s="64">
        <f>17.7426* CHOOSE(CONTROL!$C$22, $C$13, 100%, $E$13)</f>
        <v>17.742599999999999</v>
      </c>
      <c r="I567" s="64">
        <f>17.7428 * CHOOSE(CONTROL!$C$22, $C$13, 100%, $E$13)</f>
        <v>17.742799999999999</v>
      </c>
      <c r="J567" s="64">
        <f>10.5131 * CHOOSE(CONTROL!$C$22, $C$13, 100%, $E$13)</f>
        <v>10.5131</v>
      </c>
      <c r="K567" s="64">
        <f>10.5133 * CHOOSE(CONTROL!$C$22, $C$13, 100%, $E$13)</f>
        <v>10.513299999999999</v>
      </c>
    </row>
    <row r="568" spans="1:11" ht="15">
      <c r="A568" s="13">
        <v>58927</v>
      </c>
      <c r="B568" s="63">
        <f>8.961 * CHOOSE(CONTROL!$C$22, $C$13, 100%, $E$13)</f>
        <v>8.9610000000000003</v>
      </c>
      <c r="C568" s="63">
        <f>8.961 * CHOOSE(CONTROL!$C$22, $C$13, 100%, $E$13)</f>
        <v>8.9610000000000003</v>
      </c>
      <c r="D568" s="63">
        <f>8.9867 * CHOOSE(CONTROL!$C$22, $C$13, 100%, $E$13)</f>
        <v>8.9867000000000008</v>
      </c>
      <c r="E568" s="64">
        <f>10.5493 * CHOOSE(CONTROL!$C$22, $C$13, 100%, $E$13)</f>
        <v>10.549300000000001</v>
      </c>
      <c r="F568" s="64">
        <f>10.5493 * CHOOSE(CONTROL!$C$22, $C$13, 100%, $E$13)</f>
        <v>10.549300000000001</v>
      </c>
      <c r="G568" s="64">
        <f>10.551 * CHOOSE(CONTROL!$C$22, $C$13, 100%, $E$13)</f>
        <v>10.551</v>
      </c>
      <c r="H568" s="64">
        <f>17.7796* CHOOSE(CONTROL!$C$22, $C$13, 100%, $E$13)</f>
        <v>17.779599999999999</v>
      </c>
      <c r="I568" s="64">
        <f>17.7812 * CHOOSE(CONTROL!$C$22, $C$13, 100%, $E$13)</f>
        <v>17.781199999999998</v>
      </c>
      <c r="J568" s="64">
        <f>10.5493 * CHOOSE(CONTROL!$C$22, $C$13, 100%, $E$13)</f>
        <v>10.549300000000001</v>
      </c>
      <c r="K568" s="64">
        <f>10.551 * CHOOSE(CONTROL!$C$22, $C$13, 100%, $E$13)</f>
        <v>10.551</v>
      </c>
    </row>
    <row r="569" spans="1:11" ht="15">
      <c r="A569" s="13">
        <v>58958</v>
      </c>
      <c r="B569" s="63">
        <f>8.9671 * CHOOSE(CONTROL!$C$22, $C$13, 100%, $E$13)</f>
        <v>8.9671000000000003</v>
      </c>
      <c r="C569" s="63">
        <f>8.9671 * CHOOSE(CONTROL!$C$22, $C$13, 100%, $E$13)</f>
        <v>8.9671000000000003</v>
      </c>
      <c r="D569" s="63">
        <f>8.9928 * CHOOSE(CONTROL!$C$22, $C$13, 100%, $E$13)</f>
        <v>8.9928000000000008</v>
      </c>
      <c r="E569" s="64">
        <f>10.5173 * CHOOSE(CONTROL!$C$22, $C$13, 100%, $E$13)</f>
        <v>10.517300000000001</v>
      </c>
      <c r="F569" s="64">
        <f>10.5173 * CHOOSE(CONTROL!$C$22, $C$13, 100%, $E$13)</f>
        <v>10.517300000000001</v>
      </c>
      <c r="G569" s="64">
        <f>10.519 * CHOOSE(CONTROL!$C$22, $C$13, 100%, $E$13)</f>
        <v>10.519</v>
      </c>
      <c r="H569" s="64">
        <f>17.8166* CHOOSE(CONTROL!$C$22, $C$13, 100%, $E$13)</f>
        <v>17.816600000000001</v>
      </c>
      <c r="I569" s="64">
        <f>17.8183 * CHOOSE(CONTROL!$C$22, $C$13, 100%, $E$13)</f>
        <v>17.818300000000001</v>
      </c>
      <c r="J569" s="64">
        <f>10.5173 * CHOOSE(CONTROL!$C$22, $C$13, 100%, $E$13)</f>
        <v>10.517300000000001</v>
      </c>
      <c r="K569" s="64">
        <f>10.519 * CHOOSE(CONTROL!$C$22, $C$13, 100%, $E$13)</f>
        <v>10.519</v>
      </c>
    </row>
    <row r="570" spans="1:11" ht="15">
      <c r="A570" s="13">
        <v>58988</v>
      </c>
      <c r="B570" s="63">
        <f>9.1113 * CHOOSE(CONTROL!$C$22, $C$13, 100%, $E$13)</f>
        <v>9.1113</v>
      </c>
      <c r="C570" s="63">
        <f>9.1113 * CHOOSE(CONTROL!$C$22, $C$13, 100%, $E$13)</f>
        <v>9.1113</v>
      </c>
      <c r="D570" s="63">
        <f>9.137 * CHOOSE(CONTROL!$C$22, $C$13, 100%, $E$13)</f>
        <v>9.1370000000000005</v>
      </c>
      <c r="E570" s="64">
        <f>10.7213 * CHOOSE(CONTROL!$C$22, $C$13, 100%, $E$13)</f>
        <v>10.721299999999999</v>
      </c>
      <c r="F570" s="64">
        <f>10.7213 * CHOOSE(CONTROL!$C$22, $C$13, 100%, $E$13)</f>
        <v>10.721299999999999</v>
      </c>
      <c r="G570" s="64">
        <f>10.7229 * CHOOSE(CONTROL!$C$22, $C$13, 100%, $E$13)</f>
        <v>10.722899999999999</v>
      </c>
      <c r="H570" s="64">
        <f>17.8538* CHOOSE(CONTROL!$C$22, $C$13, 100%, $E$13)</f>
        <v>17.8538</v>
      </c>
      <c r="I570" s="64">
        <f>17.8554 * CHOOSE(CONTROL!$C$22, $C$13, 100%, $E$13)</f>
        <v>17.855399999999999</v>
      </c>
      <c r="J570" s="64">
        <f>10.7213 * CHOOSE(CONTROL!$C$22, $C$13, 100%, $E$13)</f>
        <v>10.721299999999999</v>
      </c>
      <c r="K570" s="64">
        <f>10.7229 * CHOOSE(CONTROL!$C$22, $C$13, 100%, $E$13)</f>
        <v>10.722899999999999</v>
      </c>
    </row>
    <row r="571" spans="1:11" ht="15">
      <c r="A571" s="13">
        <v>59019</v>
      </c>
      <c r="B571" s="63">
        <f>9.118 * CHOOSE(CONTROL!$C$22, $C$13, 100%, $E$13)</f>
        <v>9.1180000000000003</v>
      </c>
      <c r="C571" s="63">
        <f>9.118 * CHOOSE(CONTROL!$C$22, $C$13, 100%, $E$13)</f>
        <v>9.1180000000000003</v>
      </c>
      <c r="D571" s="63">
        <f>9.1437 * CHOOSE(CONTROL!$C$22, $C$13, 100%, $E$13)</f>
        <v>9.1437000000000008</v>
      </c>
      <c r="E571" s="64">
        <f>10.6171 * CHOOSE(CONTROL!$C$22, $C$13, 100%, $E$13)</f>
        <v>10.617100000000001</v>
      </c>
      <c r="F571" s="64">
        <f>10.6171 * CHOOSE(CONTROL!$C$22, $C$13, 100%, $E$13)</f>
        <v>10.617100000000001</v>
      </c>
      <c r="G571" s="64">
        <f>10.6188 * CHOOSE(CONTROL!$C$22, $C$13, 100%, $E$13)</f>
        <v>10.6188</v>
      </c>
      <c r="H571" s="64">
        <f>17.8909* CHOOSE(CONTROL!$C$22, $C$13, 100%, $E$13)</f>
        <v>17.890899999999998</v>
      </c>
      <c r="I571" s="64">
        <f>17.8926 * CHOOSE(CONTROL!$C$22, $C$13, 100%, $E$13)</f>
        <v>17.892600000000002</v>
      </c>
      <c r="J571" s="64">
        <f>10.6171 * CHOOSE(CONTROL!$C$22, $C$13, 100%, $E$13)</f>
        <v>10.617100000000001</v>
      </c>
      <c r="K571" s="64">
        <f>10.6188 * CHOOSE(CONTROL!$C$22, $C$13, 100%, $E$13)</f>
        <v>10.6188</v>
      </c>
    </row>
    <row r="572" spans="1:11" ht="15">
      <c r="A572" s="13">
        <v>59050</v>
      </c>
      <c r="B572" s="63">
        <f>9.1149 * CHOOSE(CONTROL!$C$22, $C$13, 100%, $E$13)</f>
        <v>9.1149000000000004</v>
      </c>
      <c r="C572" s="63">
        <f>9.1149 * CHOOSE(CONTROL!$C$22, $C$13, 100%, $E$13)</f>
        <v>9.1149000000000004</v>
      </c>
      <c r="D572" s="63">
        <f>9.1407 * CHOOSE(CONTROL!$C$22, $C$13, 100%, $E$13)</f>
        <v>9.1407000000000007</v>
      </c>
      <c r="E572" s="64">
        <f>10.6029 * CHOOSE(CONTROL!$C$22, $C$13, 100%, $E$13)</f>
        <v>10.6029</v>
      </c>
      <c r="F572" s="64">
        <f>10.6029 * CHOOSE(CONTROL!$C$22, $C$13, 100%, $E$13)</f>
        <v>10.6029</v>
      </c>
      <c r="G572" s="64">
        <f>10.6046 * CHOOSE(CONTROL!$C$22, $C$13, 100%, $E$13)</f>
        <v>10.6046</v>
      </c>
      <c r="H572" s="64">
        <f>17.9282* CHOOSE(CONTROL!$C$22, $C$13, 100%, $E$13)</f>
        <v>17.9282</v>
      </c>
      <c r="I572" s="64">
        <f>17.9299 * CHOOSE(CONTROL!$C$22, $C$13, 100%, $E$13)</f>
        <v>17.9299</v>
      </c>
      <c r="J572" s="64">
        <f>10.6029 * CHOOSE(CONTROL!$C$22, $C$13, 100%, $E$13)</f>
        <v>10.6029</v>
      </c>
      <c r="K572" s="64">
        <f>10.6046 * CHOOSE(CONTROL!$C$22, $C$13, 100%, $E$13)</f>
        <v>10.6046</v>
      </c>
    </row>
    <row r="573" spans="1:11" ht="15">
      <c r="A573" s="13">
        <v>59080</v>
      </c>
      <c r="B573" s="63">
        <f>9.1271 * CHOOSE(CONTROL!$C$22, $C$13, 100%, $E$13)</f>
        <v>9.1271000000000004</v>
      </c>
      <c r="C573" s="63">
        <f>9.1271 * CHOOSE(CONTROL!$C$22, $C$13, 100%, $E$13)</f>
        <v>9.1271000000000004</v>
      </c>
      <c r="D573" s="63">
        <f>9.14 * CHOOSE(CONTROL!$C$22, $C$13, 100%, $E$13)</f>
        <v>9.14</v>
      </c>
      <c r="E573" s="64">
        <f>10.6379 * CHOOSE(CONTROL!$C$22, $C$13, 100%, $E$13)</f>
        <v>10.6379</v>
      </c>
      <c r="F573" s="64">
        <f>10.6379 * CHOOSE(CONTROL!$C$22, $C$13, 100%, $E$13)</f>
        <v>10.6379</v>
      </c>
      <c r="G573" s="64">
        <f>10.638 * CHOOSE(CONTROL!$C$22, $C$13, 100%, $E$13)</f>
        <v>10.638</v>
      </c>
      <c r="H573" s="64">
        <f>17.9656* CHOOSE(CONTROL!$C$22, $C$13, 100%, $E$13)</f>
        <v>17.965599999999998</v>
      </c>
      <c r="I573" s="64">
        <f>17.9657 * CHOOSE(CONTROL!$C$22, $C$13, 100%, $E$13)</f>
        <v>17.965699999999998</v>
      </c>
      <c r="J573" s="64">
        <f>10.6379 * CHOOSE(CONTROL!$C$22, $C$13, 100%, $E$13)</f>
        <v>10.6379</v>
      </c>
      <c r="K573" s="64">
        <f>10.638 * CHOOSE(CONTROL!$C$22, $C$13, 100%, $E$13)</f>
        <v>10.638</v>
      </c>
    </row>
    <row r="574" spans="1:11" ht="15">
      <c r="A574" s="13">
        <v>59111</v>
      </c>
      <c r="B574" s="63">
        <f>9.1301 * CHOOSE(CONTROL!$C$22, $C$13, 100%, $E$13)</f>
        <v>9.1301000000000005</v>
      </c>
      <c r="C574" s="63">
        <f>9.1301 * CHOOSE(CONTROL!$C$22, $C$13, 100%, $E$13)</f>
        <v>9.1301000000000005</v>
      </c>
      <c r="D574" s="63">
        <f>9.143 * CHOOSE(CONTROL!$C$22, $C$13, 100%, $E$13)</f>
        <v>9.1430000000000007</v>
      </c>
      <c r="E574" s="64">
        <f>10.6642 * CHOOSE(CONTROL!$C$22, $C$13, 100%, $E$13)</f>
        <v>10.664199999999999</v>
      </c>
      <c r="F574" s="64">
        <f>10.6642 * CHOOSE(CONTROL!$C$22, $C$13, 100%, $E$13)</f>
        <v>10.664199999999999</v>
      </c>
      <c r="G574" s="64">
        <f>10.6643 * CHOOSE(CONTROL!$C$22, $C$13, 100%, $E$13)</f>
        <v>10.664300000000001</v>
      </c>
      <c r="H574" s="64">
        <f>18.003* CHOOSE(CONTROL!$C$22, $C$13, 100%, $E$13)</f>
        <v>18.003</v>
      </c>
      <c r="I574" s="64">
        <f>18.0032 * CHOOSE(CONTROL!$C$22, $C$13, 100%, $E$13)</f>
        <v>18.0032</v>
      </c>
      <c r="J574" s="64">
        <f>10.6642 * CHOOSE(CONTROL!$C$22, $C$13, 100%, $E$13)</f>
        <v>10.664199999999999</v>
      </c>
      <c r="K574" s="64">
        <f>10.6643 * CHOOSE(CONTROL!$C$22, $C$13, 100%, $E$13)</f>
        <v>10.664300000000001</v>
      </c>
    </row>
    <row r="575" spans="1:11" ht="15">
      <c r="A575" s="13">
        <v>59141</v>
      </c>
      <c r="B575" s="63">
        <f>9.1301 * CHOOSE(CONTROL!$C$22, $C$13, 100%, $E$13)</f>
        <v>9.1301000000000005</v>
      </c>
      <c r="C575" s="63">
        <f>9.1301 * CHOOSE(CONTROL!$C$22, $C$13, 100%, $E$13)</f>
        <v>9.1301000000000005</v>
      </c>
      <c r="D575" s="63">
        <f>9.143 * CHOOSE(CONTROL!$C$22, $C$13, 100%, $E$13)</f>
        <v>9.1430000000000007</v>
      </c>
      <c r="E575" s="64">
        <f>10.6037 * CHOOSE(CONTROL!$C$22, $C$13, 100%, $E$13)</f>
        <v>10.6037</v>
      </c>
      <c r="F575" s="64">
        <f>10.6037 * CHOOSE(CONTROL!$C$22, $C$13, 100%, $E$13)</f>
        <v>10.6037</v>
      </c>
      <c r="G575" s="64">
        <f>10.6039 * CHOOSE(CONTROL!$C$22, $C$13, 100%, $E$13)</f>
        <v>10.603899999999999</v>
      </c>
      <c r="H575" s="64">
        <f>18.0405* CHOOSE(CONTROL!$C$22, $C$13, 100%, $E$13)</f>
        <v>18.040500000000002</v>
      </c>
      <c r="I575" s="64">
        <f>18.0407 * CHOOSE(CONTROL!$C$22, $C$13, 100%, $E$13)</f>
        <v>18.040700000000001</v>
      </c>
      <c r="J575" s="64">
        <f>10.6037 * CHOOSE(CONTROL!$C$22, $C$13, 100%, $E$13)</f>
        <v>10.6037</v>
      </c>
      <c r="K575" s="64">
        <f>10.6039 * CHOOSE(CONTROL!$C$22, $C$13, 100%, $E$13)</f>
        <v>10.603899999999999</v>
      </c>
    </row>
    <row r="576" spans="1:11" ht="15">
      <c r="A576" s="13">
        <v>59172</v>
      </c>
      <c r="B576" s="63">
        <f>9.2104 * CHOOSE(CONTROL!$C$22, $C$13, 100%, $E$13)</f>
        <v>9.2103999999999999</v>
      </c>
      <c r="C576" s="63">
        <f>9.2104 * CHOOSE(CONTROL!$C$22, $C$13, 100%, $E$13)</f>
        <v>9.2103999999999999</v>
      </c>
      <c r="D576" s="63">
        <f>9.2233 * CHOOSE(CONTROL!$C$22, $C$13, 100%, $E$13)</f>
        <v>9.2233000000000001</v>
      </c>
      <c r="E576" s="64">
        <f>10.7414 * CHOOSE(CONTROL!$C$22, $C$13, 100%, $E$13)</f>
        <v>10.741400000000001</v>
      </c>
      <c r="F576" s="64">
        <f>10.7414 * CHOOSE(CONTROL!$C$22, $C$13, 100%, $E$13)</f>
        <v>10.741400000000001</v>
      </c>
      <c r="G576" s="64">
        <f>10.7416 * CHOOSE(CONTROL!$C$22, $C$13, 100%, $E$13)</f>
        <v>10.7416</v>
      </c>
      <c r="H576" s="64">
        <f>18.0781* CHOOSE(CONTROL!$C$22, $C$13, 100%, $E$13)</f>
        <v>18.078099999999999</v>
      </c>
      <c r="I576" s="64">
        <f>18.0783 * CHOOSE(CONTROL!$C$22, $C$13, 100%, $E$13)</f>
        <v>18.078299999999999</v>
      </c>
      <c r="J576" s="64">
        <f>10.7414 * CHOOSE(CONTROL!$C$22, $C$13, 100%, $E$13)</f>
        <v>10.741400000000001</v>
      </c>
      <c r="K576" s="64">
        <f>10.7416 * CHOOSE(CONTROL!$C$22, $C$13, 100%, $E$13)</f>
        <v>10.7416</v>
      </c>
    </row>
    <row r="577" spans="1:11" ht="15">
      <c r="A577" s="13">
        <v>59203</v>
      </c>
      <c r="B577" s="63">
        <f>9.2074 * CHOOSE(CONTROL!$C$22, $C$13, 100%, $E$13)</f>
        <v>9.2073999999999998</v>
      </c>
      <c r="C577" s="63">
        <f>9.2074 * CHOOSE(CONTROL!$C$22, $C$13, 100%, $E$13)</f>
        <v>9.2073999999999998</v>
      </c>
      <c r="D577" s="63">
        <f>9.2203 * CHOOSE(CONTROL!$C$22, $C$13, 100%, $E$13)</f>
        <v>9.2202999999999999</v>
      </c>
      <c r="E577" s="64">
        <f>10.6219 * CHOOSE(CONTROL!$C$22, $C$13, 100%, $E$13)</f>
        <v>10.6219</v>
      </c>
      <c r="F577" s="64">
        <f>10.6219 * CHOOSE(CONTROL!$C$22, $C$13, 100%, $E$13)</f>
        <v>10.6219</v>
      </c>
      <c r="G577" s="64">
        <f>10.6221 * CHOOSE(CONTROL!$C$22, $C$13, 100%, $E$13)</f>
        <v>10.6221</v>
      </c>
      <c r="H577" s="64">
        <f>18.1158* CHOOSE(CONTROL!$C$22, $C$13, 100%, $E$13)</f>
        <v>18.1158</v>
      </c>
      <c r="I577" s="64">
        <f>18.1159 * CHOOSE(CONTROL!$C$22, $C$13, 100%, $E$13)</f>
        <v>18.1159</v>
      </c>
      <c r="J577" s="64">
        <f>10.6219 * CHOOSE(CONTROL!$C$22, $C$13, 100%, $E$13)</f>
        <v>10.6219</v>
      </c>
      <c r="K577" s="64">
        <f>10.6221 * CHOOSE(CONTROL!$C$22, $C$13, 100%, $E$13)</f>
        <v>10.6221</v>
      </c>
    </row>
    <row r="578" spans="1:11" ht="15">
      <c r="A578" s="13">
        <v>59231</v>
      </c>
      <c r="B578" s="63">
        <f>9.2043 * CHOOSE(CONTROL!$C$22, $C$13, 100%, $E$13)</f>
        <v>9.2042999999999999</v>
      </c>
      <c r="C578" s="63">
        <f>9.2043 * CHOOSE(CONTROL!$C$22, $C$13, 100%, $E$13)</f>
        <v>9.2042999999999999</v>
      </c>
      <c r="D578" s="63">
        <f>9.2172 * CHOOSE(CONTROL!$C$22, $C$13, 100%, $E$13)</f>
        <v>9.2172000000000001</v>
      </c>
      <c r="E578" s="64">
        <f>10.7123 * CHOOSE(CONTROL!$C$22, $C$13, 100%, $E$13)</f>
        <v>10.712300000000001</v>
      </c>
      <c r="F578" s="64">
        <f>10.7123 * CHOOSE(CONTROL!$C$22, $C$13, 100%, $E$13)</f>
        <v>10.712300000000001</v>
      </c>
      <c r="G578" s="64">
        <f>10.7125 * CHOOSE(CONTROL!$C$22, $C$13, 100%, $E$13)</f>
        <v>10.7125</v>
      </c>
      <c r="H578" s="64">
        <f>18.1535* CHOOSE(CONTROL!$C$22, $C$13, 100%, $E$13)</f>
        <v>18.153500000000001</v>
      </c>
      <c r="I578" s="64">
        <f>18.1537 * CHOOSE(CONTROL!$C$22, $C$13, 100%, $E$13)</f>
        <v>18.153700000000001</v>
      </c>
      <c r="J578" s="64">
        <f>10.7123 * CHOOSE(CONTROL!$C$22, $C$13, 100%, $E$13)</f>
        <v>10.712300000000001</v>
      </c>
      <c r="K578" s="64">
        <f>10.7125 * CHOOSE(CONTROL!$C$22, $C$13, 100%, $E$13)</f>
        <v>10.7125</v>
      </c>
    </row>
    <row r="579" spans="1:11" ht="15">
      <c r="A579" s="13">
        <v>59262</v>
      </c>
      <c r="B579" s="63">
        <f>9.2065 * CHOOSE(CONTROL!$C$22, $C$13, 100%, $E$13)</f>
        <v>9.2065000000000001</v>
      </c>
      <c r="C579" s="63">
        <f>9.2065 * CHOOSE(CONTROL!$C$22, $C$13, 100%, $E$13)</f>
        <v>9.2065000000000001</v>
      </c>
      <c r="D579" s="63">
        <f>9.2194 * CHOOSE(CONTROL!$C$22, $C$13, 100%, $E$13)</f>
        <v>9.2194000000000003</v>
      </c>
      <c r="E579" s="64">
        <f>10.8075 * CHOOSE(CONTROL!$C$22, $C$13, 100%, $E$13)</f>
        <v>10.807499999999999</v>
      </c>
      <c r="F579" s="64">
        <f>10.8075 * CHOOSE(CONTROL!$C$22, $C$13, 100%, $E$13)</f>
        <v>10.807499999999999</v>
      </c>
      <c r="G579" s="64">
        <f>10.8077 * CHOOSE(CONTROL!$C$22, $C$13, 100%, $E$13)</f>
        <v>10.807700000000001</v>
      </c>
      <c r="H579" s="64">
        <f>18.1913* CHOOSE(CONTROL!$C$22, $C$13, 100%, $E$13)</f>
        <v>18.191299999999998</v>
      </c>
      <c r="I579" s="64">
        <f>18.1915 * CHOOSE(CONTROL!$C$22, $C$13, 100%, $E$13)</f>
        <v>18.191500000000001</v>
      </c>
      <c r="J579" s="64">
        <f>10.8075 * CHOOSE(CONTROL!$C$22, $C$13, 100%, $E$13)</f>
        <v>10.807499999999999</v>
      </c>
      <c r="K579" s="64">
        <f>10.8077 * CHOOSE(CONTROL!$C$22, $C$13, 100%, $E$13)</f>
        <v>10.807700000000001</v>
      </c>
    </row>
    <row r="580" spans="1:11" ht="15">
      <c r="A580" s="13">
        <v>59292</v>
      </c>
      <c r="B580" s="63">
        <f>9.2065 * CHOOSE(CONTROL!$C$22, $C$13, 100%, $E$13)</f>
        <v>9.2065000000000001</v>
      </c>
      <c r="C580" s="63">
        <f>9.2065 * CHOOSE(CONTROL!$C$22, $C$13, 100%, $E$13)</f>
        <v>9.2065000000000001</v>
      </c>
      <c r="D580" s="63">
        <f>9.2323 * CHOOSE(CONTROL!$C$22, $C$13, 100%, $E$13)</f>
        <v>9.2323000000000004</v>
      </c>
      <c r="E580" s="64">
        <f>10.8448 * CHOOSE(CONTROL!$C$22, $C$13, 100%, $E$13)</f>
        <v>10.844799999999999</v>
      </c>
      <c r="F580" s="64">
        <f>10.8448 * CHOOSE(CONTROL!$C$22, $C$13, 100%, $E$13)</f>
        <v>10.844799999999999</v>
      </c>
      <c r="G580" s="64">
        <f>10.8465 * CHOOSE(CONTROL!$C$22, $C$13, 100%, $E$13)</f>
        <v>10.846500000000001</v>
      </c>
      <c r="H580" s="64">
        <f>18.2292* CHOOSE(CONTROL!$C$22, $C$13, 100%, $E$13)</f>
        <v>18.229199999999999</v>
      </c>
      <c r="I580" s="64">
        <f>18.2309 * CHOOSE(CONTROL!$C$22, $C$13, 100%, $E$13)</f>
        <v>18.230899999999998</v>
      </c>
      <c r="J580" s="64">
        <f>10.8448 * CHOOSE(CONTROL!$C$22, $C$13, 100%, $E$13)</f>
        <v>10.844799999999999</v>
      </c>
      <c r="K580" s="64">
        <f>10.8465 * CHOOSE(CONTROL!$C$22, $C$13, 100%, $E$13)</f>
        <v>10.846500000000001</v>
      </c>
    </row>
    <row r="581" spans="1:11" ht="15">
      <c r="A581" s="13">
        <v>59323</v>
      </c>
      <c r="B581" s="63">
        <f>9.2126 * CHOOSE(CONTROL!$C$22, $C$13, 100%, $E$13)</f>
        <v>9.2126000000000001</v>
      </c>
      <c r="C581" s="63">
        <f>9.2126 * CHOOSE(CONTROL!$C$22, $C$13, 100%, $E$13)</f>
        <v>9.2126000000000001</v>
      </c>
      <c r="D581" s="63">
        <f>9.2383 * CHOOSE(CONTROL!$C$22, $C$13, 100%, $E$13)</f>
        <v>9.2383000000000006</v>
      </c>
      <c r="E581" s="64">
        <f>10.8118 * CHOOSE(CONTROL!$C$22, $C$13, 100%, $E$13)</f>
        <v>10.8118</v>
      </c>
      <c r="F581" s="64">
        <f>10.8118 * CHOOSE(CONTROL!$C$22, $C$13, 100%, $E$13)</f>
        <v>10.8118</v>
      </c>
      <c r="G581" s="64">
        <f>10.8134 * CHOOSE(CONTROL!$C$22, $C$13, 100%, $E$13)</f>
        <v>10.8134</v>
      </c>
      <c r="H581" s="64">
        <f>18.2672* CHOOSE(CONTROL!$C$22, $C$13, 100%, $E$13)</f>
        <v>18.267199999999999</v>
      </c>
      <c r="I581" s="64">
        <f>18.2688 * CHOOSE(CONTROL!$C$22, $C$13, 100%, $E$13)</f>
        <v>18.268799999999999</v>
      </c>
      <c r="J581" s="64">
        <f>10.8118 * CHOOSE(CONTROL!$C$22, $C$13, 100%, $E$13)</f>
        <v>10.8118</v>
      </c>
      <c r="K581" s="64">
        <f>10.8134 * CHOOSE(CONTROL!$C$22, $C$13, 100%, $E$13)</f>
        <v>10.8134</v>
      </c>
    </row>
    <row r="582" spans="1:11" ht="15">
      <c r="A582" s="13">
        <v>59353</v>
      </c>
      <c r="B582" s="63">
        <f>9.3605 * CHOOSE(CONTROL!$C$22, $C$13, 100%, $E$13)</f>
        <v>9.3605</v>
      </c>
      <c r="C582" s="63">
        <f>9.3605 * CHOOSE(CONTROL!$C$22, $C$13, 100%, $E$13)</f>
        <v>9.3605</v>
      </c>
      <c r="D582" s="63">
        <f>9.3862 * CHOOSE(CONTROL!$C$22, $C$13, 100%, $E$13)</f>
        <v>9.3862000000000005</v>
      </c>
      <c r="E582" s="64">
        <f>11.0212 * CHOOSE(CONTROL!$C$22, $C$13, 100%, $E$13)</f>
        <v>11.0212</v>
      </c>
      <c r="F582" s="64">
        <f>11.0212 * CHOOSE(CONTROL!$C$22, $C$13, 100%, $E$13)</f>
        <v>11.0212</v>
      </c>
      <c r="G582" s="64">
        <f>11.0228 * CHOOSE(CONTROL!$C$22, $C$13, 100%, $E$13)</f>
        <v>11.0228</v>
      </c>
      <c r="H582" s="64">
        <f>18.3052* CHOOSE(CONTROL!$C$22, $C$13, 100%, $E$13)</f>
        <v>18.305199999999999</v>
      </c>
      <c r="I582" s="64">
        <f>18.3069 * CHOOSE(CONTROL!$C$22, $C$13, 100%, $E$13)</f>
        <v>18.306899999999999</v>
      </c>
      <c r="J582" s="64">
        <f>11.0212 * CHOOSE(CONTROL!$C$22, $C$13, 100%, $E$13)</f>
        <v>11.0212</v>
      </c>
      <c r="K582" s="64">
        <f>11.0228 * CHOOSE(CONTROL!$C$22, $C$13, 100%, $E$13)</f>
        <v>11.0228</v>
      </c>
    </row>
    <row r="583" spans="1:11" ht="15">
      <c r="A583" s="13">
        <v>59384</v>
      </c>
      <c r="B583" s="63">
        <f>9.3672 * CHOOSE(CONTROL!$C$22, $C$13, 100%, $E$13)</f>
        <v>9.3672000000000004</v>
      </c>
      <c r="C583" s="63">
        <f>9.3672 * CHOOSE(CONTROL!$C$22, $C$13, 100%, $E$13)</f>
        <v>9.3672000000000004</v>
      </c>
      <c r="D583" s="63">
        <f>9.3929 * CHOOSE(CONTROL!$C$22, $C$13, 100%, $E$13)</f>
        <v>9.3928999999999991</v>
      </c>
      <c r="E583" s="64">
        <f>10.914 * CHOOSE(CONTROL!$C$22, $C$13, 100%, $E$13)</f>
        <v>10.914</v>
      </c>
      <c r="F583" s="64">
        <f>10.914 * CHOOSE(CONTROL!$C$22, $C$13, 100%, $E$13)</f>
        <v>10.914</v>
      </c>
      <c r="G583" s="64">
        <f>10.9156 * CHOOSE(CONTROL!$C$22, $C$13, 100%, $E$13)</f>
        <v>10.9156</v>
      </c>
      <c r="H583" s="64">
        <f>18.3434* CHOOSE(CONTROL!$C$22, $C$13, 100%, $E$13)</f>
        <v>18.343399999999999</v>
      </c>
      <c r="I583" s="64">
        <f>18.345 * CHOOSE(CONTROL!$C$22, $C$13, 100%, $E$13)</f>
        <v>18.344999999999999</v>
      </c>
      <c r="J583" s="64">
        <f>10.914 * CHOOSE(CONTROL!$C$22, $C$13, 100%, $E$13)</f>
        <v>10.914</v>
      </c>
      <c r="K583" s="64">
        <f>10.9156 * CHOOSE(CONTROL!$C$22, $C$13, 100%, $E$13)</f>
        <v>10.9156</v>
      </c>
    </row>
    <row r="584" spans="1:11" ht="15">
      <c r="A584" s="13">
        <v>59415</v>
      </c>
      <c r="B584" s="63">
        <f>9.3641 * CHOOSE(CONTROL!$C$22, $C$13, 100%, $E$13)</f>
        <v>9.3641000000000005</v>
      </c>
      <c r="C584" s="63">
        <f>9.3641 * CHOOSE(CONTROL!$C$22, $C$13, 100%, $E$13)</f>
        <v>9.3641000000000005</v>
      </c>
      <c r="D584" s="63">
        <f>9.3899 * CHOOSE(CONTROL!$C$22, $C$13, 100%, $E$13)</f>
        <v>9.3899000000000008</v>
      </c>
      <c r="E584" s="64">
        <f>10.8994 * CHOOSE(CONTROL!$C$22, $C$13, 100%, $E$13)</f>
        <v>10.8994</v>
      </c>
      <c r="F584" s="64">
        <f>10.8994 * CHOOSE(CONTROL!$C$22, $C$13, 100%, $E$13)</f>
        <v>10.8994</v>
      </c>
      <c r="G584" s="64">
        <f>10.9011 * CHOOSE(CONTROL!$C$22, $C$13, 100%, $E$13)</f>
        <v>10.9011</v>
      </c>
      <c r="H584" s="64">
        <f>18.3816* CHOOSE(CONTROL!$C$22, $C$13, 100%, $E$13)</f>
        <v>18.381599999999999</v>
      </c>
      <c r="I584" s="64">
        <f>18.3832 * CHOOSE(CONTROL!$C$22, $C$13, 100%, $E$13)</f>
        <v>18.383199999999999</v>
      </c>
      <c r="J584" s="64">
        <f>10.8994 * CHOOSE(CONTROL!$C$22, $C$13, 100%, $E$13)</f>
        <v>10.8994</v>
      </c>
      <c r="K584" s="64">
        <f>10.9011 * CHOOSE(CONTROL!$C$22, $C$13, 100%, $E$13)</f>
        <v>10.9011</v>
      </c>
    </row>
    <row r="585" spans="1:11" ht="15">
      <c r="A585" s="13">
        <v>59445</v>
      </c>
      <c r="B585" s="63">
        <f>9.3771 * CHOOSE(CONTROL!$C$22, $C$13, 100%, $E$13)</f>
        <v>9.3771000000000004</v>
      </c>
      <c r="C585" s="63">
        <f>9.3771 * CHOOSE(CONTROL!$C$22, $C$13, 100%, $E$13)</f>
        <v>9.3771000000000004</v>
      </c>
      <c r="D585" s="63">
        <f>9.39 * CHOOSE(CONTROL!$C$22, $C$13, 100%, $E$13)</f>
        <v>9.39</v>
      </c>
      <c r="E585" s="64">
        <f>10.9357 * CHOOSE(CONTROL!$C$22, $C$13, 100%, $E$13)</f>
        <v>10.935700000000001</v>
      </c>
      <c r="F585" s="64">
        <f>10.9357 * CHOOSE(CONTROL!$C$22, $C$13, 100%, $E$13)</f>
        <v>10.935700000000001</v>
      </c>
      <c r="G585" s="64">
        <f>10.9359 * CHOOSE(CONTROL!$C$22, $C$13, 100%, $E$13)</f>
        <v>10.9359</v>
      </c>
      <c r="H585" s="64">
        <f>18.4199* CHOOSE(CONTROL!$C$22, $C$13, 100%, $E$13)</f>
        <v>18.419899999999998</v>
      </c>
      <c r="I585" s="64">
        <f>18.4201 * CHOOSE(CONTROL!$C$22, $C$13, 100%, $E$13)</f>
        <v>18.420100000000001</v>
      </c>
      <c r="J585" s="64">
        <f>10.9357 * CHOOSE(CONTROL!$C$22, $C$13, 100%, $E$13)</f>
        <v>10.935700000000001</v>
      </c>
      <c r="K585" s="64">
        <f>10.9359 * CHOOSE(CONTROL!$C$22, $C$13, 100%, $E$13)</f>
        <v>10.9359</v>
      </c>
    </row>
    <row r="586" spans="1:11" ht="15">
      <c r="A586" s="13">
        <v>59476</v>
      </c>
      <c r="B586" s="63">
        <f>9.3802 * CHOOSE(CONTROL!$C$22, $C$13, 100%, $E$13)</f>
        <v>9.3802000000000003</v>
      </c>
      <c r="C586" s="63">
        <f>9.3802 * CHOOSE(CONTROL!$C$22, $C$13, 100%, $E$13)</f>
        <v>9.3802000000000003</v>
      </c>
      <c r="D586" s="63">
        <f>9.393 * CHOOSE(CONTROL!$C$22, $C$13, 100%, $E$13)</f>
        <v>9.3930000000000007</v>
      </c>
      <c r="E586" s="64">
        <f>10.9627 * CHOOSE(CONTROL!$C$22, $C$13, 100%, $E$13)</f>
        <v>10.9627</v>
      </c>
      <c r="F586" s="64">
        <f>10.9627 * CHOOSE(CONTROL!$C$22, $C$13, 100%, $E$13)</f>
        <v>10.9627</v>
      </c>
      <c r="G586" s="64">
        <f>10.9629 * CHOOSE(CONTROL!$C$22, $C$13, 100%, $E$13)</f>
        <v>10.962899999999999</v>
      </c>
      <c r="H586" s="64">
        <f>18.4583* CHOOSE(CONTROL!$C$22, $C$13, 100%, $E$13)</f>
        <v>18.458300000000001</v>
      </c>
      <c r="I586" s="64">
        <f>18.4584 * CHOOSE(CONTROL!$C$22, $C$13, 100%, $E$13)</f>
        <v>18.458400000000001</v>
      </c>
      <c r="J586" s="64">
        <f>10.9627 * CHOOSE(CONTROL!$C$22, $C$13, 100%, $E$13)</f>
        <v>10.9627</v>
      </c>
      <c r="K586" s="64">
        <f>10.9629 * CHOOSE(CONTROL!$C$22, $C$13, 100%, $E$13)</f>
        <v>10.962899999999999</v>
      </c>
    </row>
    <row r="587" spans="1:11" ht="15">
      <c r="A587" s="13">
        <v>59506</v>
      </c>
      <c r="B587" s="63">
        <f>9.3802 * CHOOSE(CONTROL!$C$22, $C$13, 100%, $E$13)</f>
        <v>9.3802000000000003</v>
      </c>
      <c r="C587" s="63">
        <f>9.3802 * CHOOSE(CONTROL!$C$22, $C$13, 100%, $E$13)</f>
        <v>9.3802000000000003</v>
      </c>
      <c r="D587" s="63">
        <f>9.393 * CHOOSE(CONTROL!$C$22, $C$13, 100%, $E$13)</f>
        <v>9.3930000000000007</v>
      </c>
      <c r="E587" s="64">
        <f>10.9005 * CHOOSE(CONTROL!$C$22, $C$13, 100%, $E$13)</f>
        <v>10.900499999999999</v>
      </c>
      <c r="F587" s="64">
        <f>10.9005 * CHOOSE(CONTROL!$C$22, $C$13, 100%, $E$13)</f>
        <v>10.900499999999999</v>
      </c>
      <c r="G587" s="64">
        <f>10.9007 * CHOOSE(CONTROL!$C$22, $C$13, 100%, $E$13)</f>
        <v>10.900700000000001</v>
      </c>
      <c r="H587" s="64">
        <f>18.4967* CHOOSE(CONTROL!$C$22, $C$13, 100%, $E$13)</f>
        <v>18.496700000000001</v>
      </c>
      <c r="I587" s="64">
        <f>18.4969 * CHOOSE(CONTROL!$C$22, $C$13, 100%, $E$13)</f>
        <v>18.4969</v>
      </c>
      <c r="J587" s="64">
        <f>10.9005 * CHOOSE(CONTROL!$C$22, $C$13, 100%, $E$13)</f>
        <v>10.900499999999999</v>
      </c>
      <c r="K587" s="64">
        <f>10.9007 * CHOOSE(CONTROL!$C$22, $C$13, 100%, $E$13)</f>
        <v>10.900700000000001</v>
      </c>
    </row>
    <row r="588" spans="1:11" ht="15">
      <c r="A588" s="13">
        <v>59537</v>
      </c>
      <c r="B588" s="63">
        <f>9.4557 * CHOOSE(CONTROL!$C$22, $C$13, 100%, $E$13)</f>
        <v>9.4557000000000002</v>
      </c>
      <c r="C588" s="63">
        <f>9.4557 * CHOOSE(CONTROL!$C$22, $C$13, 100%, $E$13)</f>
        <v>9.4557000000000002</v>
      </c>
      <c r="D588" s="63">
        <f>9.4686 * CHOOSE(CONTROL!$C$22, $C$13, 100%, $E$13)</f>
        <v>9.4686000000000003</v>
      </c>
      <c r="E588" s="64">
        <f>11.0338 * CHOOSE(CONTROL!$C$22, $C$13, 100%, $E$13)</f>
        <v>11.033799999999999</v>
      </c>
      <c r="F588" s="64">
        <f>11.0338 * CHOOSE(CONTROL!$C$22, $C$13, 100%, $E$13)</f>
        <v>11.033799999999999</v>
      </c>
      <c r="G588" s="64">
        <f>11.034 * CHOOSE(CONTROL!$C$22, $C$13, 100%, $E$13)</f>
        <v>11.034000000000001</v>
      </c>
      <c r="H588" s="64">
        <f>18.524* CHOOSE(CONTROL!$C$22, $C$13, 100%, $E$13)</f>
        <v>18.524000000000001</v>
      </c>
      <c r="I588" s="64">
        <f>18.5242 * CHOOSE(CONTROL!$C$22, $C$13, 100%, $E$13)</f>
        <v>18.5242</v>
      </c>
      <c r="J588" s="64">
        <f>11.0338 * CHOOSE(CONTROL!$C$22, $C$13, 100%, $E$13)</f>
        <v>11.033799999999999</v>
      </c>
      <c r="K588" s="64">
        <f>11.034 * CHOOSE(CONTROL!$C$22, $C$13, 100%, $E$13)</f>
        <v>11.034000000000001</v>
      </c>
    </row>
    <row r="589" spans="1:11" ht="15">
      <c r="A589" s="13">
        <v>59568</v>
      </c>
      <c r="B589" s="63">
        <f>9.4527 * CHOOSE(CONTROL!$C$22, $C$13, 100%, $E$13)</f>
        <v>9.4527000000000001</v>
      </c>
      <c r="C589" s="63">
        <f>9.4527 * CHOOSE(CONTROL!$C$22, $C$13, 100%, $E$13)</f>
        <v>9.4527000000000001</v>
      </c>
      <c r="D589" s="63">
        <f>9.4656 * CHOOSE(CONTROL!$C$22, $C$13, 100%, $E$13)</f>
        <v>9.4656000000000002</v>
      </c>
      <c r="E589" s="64">
        <f>10.9111 * CHOOSE(CONTROL!$C$22, $C$13, 100%, $E$13)</f>
        <v>10.911099999999999</v>
      </c>
      <c r="F589" s="64">
        <f>10.9111 * CHOOSE(CONTROL!$C$22, $C$13, 100%, $E$13)</f>
        <v>10.911099999999999</v>
      </c>
      <c r="G589" s="64">
        <f>10.9113 * CHOOSE(CONTROL!$C$22, $C$13, 100%, $E$13)</f>
        <v>10.911300000000001</v>
      </c>
      <c r="H589" s="64">
        <f>18.5626* CHOOSE(CONTROL!$C$22, $C$13, 100%, $E$13)</f>
        <v>18.5626</v>
      </c>
      <c r="I589" s="64">
        <f>18.5628 * CHOOSE(CONTROL!$C$22, $C$13, 100%, $E$13)</f>
        <v>18.562799999999999</v>
      </c>
      <c r="J589" s="64">
        <f>10.9111 * CHOOSE(CONTROL!$C$22, $C$13, 100%, $E$13)</f>
        <v>10.911099999999999</v>
      </c>
      <c r="K589" s="64">
        <f>10.9113 * CHOOSE(CONTROL!$C$22, $C$13, 100%, $E$13)</f>
        <v>10.911300000000001</v>
      </c>
    </row>
    <row r="590" spans="1:11" ht="15">
      <c r="A590" s="13">
        <v>59596</v>
      </c>
      <c r="B590" s="63">
        <f>9.4497 * CHOOSE(CONTROL!$C$22, $C$13, 100%, $E$13)</f>
        <v>9.4497</v>
      </c>
      <c r="C590" s="63">
        <f>9.4497 * CHOOSE(CONTROL!$C$22, $C$13, 100%, $E$13)</f>
        <v>9.4497</v>
      </c>
      <c r="D590" s="63">
        <f>9.4625 * CHOOSE(CONTROL!$C$22, $C$13, 100%, $E$13)</f>
        <v>9.4625000000000004</v>
      </c>
      <c r="E590" s="64">
        <f>11.0041 * CHOOSE(CONTROL!$C$22, $C$13, 100%, $E$13)</f>
        <v>11.004099999999999</v>
      </c>
      <c r="F590" s="64">
        <f>11.0041 * CHOOSE(CONTROL!$C$22, $C$13, 100%, $E$13)</f>
        <v>11.004099999999999</v>
      </c>
      <c r="G590" s="64">
        <f>11.0042 * CHOOSE(CONTROL!$C$22, $C$13, 100%, $E$13)</f>
        <v>11.004200000000001</v>
      </c>
      <c r="H590" s="64">
        <f>18.6012* CHOOSE(CONTROL!$C$22, $C$13, 100%, $E$13)</f>
        <v>18.601199999999999</v>
      </c>
      <c r="I590" s="64">
        <f>18.6014 * CHOOSE(CONTROL!$C$22, $C$13, 100%, $E$13)</f>
        <v>18.601400000000002</v>
      </c>
      <c r="J590" s="64">
        <f>11.0041 * CHOOSE(CONTROL!$C$22, $C$13, 100%, $E$13)</f>
        <v>11.004099999999999</v>
      </c>
      <c r="K590" s="64">
        <f>11.0042 * CHOOSE(CONTROL!$C$22, $C$13, 100%, $E$13)</f>
        <v>11.004200000000001</v>
      </c>
    </row>
    <row r="591" spans="1:11" ht="15">
      <c r="A591" s="13">
        <v>59627</v>
      </c>
      <c r="B591" s="63">
        <f>9.452 * CHOOSE(CONTROL!$C$22, $C$13, 100%, $E$13)</f>
        <v>9.452</v>
      </c>
      <c r="C591" s="63">
        <f>9.452 * CHOOSE(CONTROL!$C$22, $C$13, 100%, $E$13)</f>
        <v>9.452</v>
      </c>
      <c r="D591" s="63">
        <f>9.4649 * CHOOSE(CONTROL!$C$22, $C$13, 100%, $E$13)</f>
        <v>9.4649000000000001</v>
      </c>
      <c r="E591" s="64">
        <f>11.102 * CHOOSE(CONTROL!$C$22, $C$13, 100%, $E$13)</f>
        <v>11.102</v>
      </c>
      <c r="F591" s="64">
        <f>11.102 * CHOOSE(CONTROL!$C$22, $C$13, 100%, $E$13)</f>
        <v>11.102</v>
      </c>
      <c r="G591" s="64">
        <f>11.1022 * CHOOSE(CONTROL!$C$22, $C$13, 100%, $E$13)</f>
        <v>11.1022</v>
      </c>
      <c r="H591" s="64">
        <f>18.64* CHOOSE(CONTROL!$C$22, $C$13, 100%, $E$13)</f>
        <v>18.64</v>
      </c>
      <c r="I591" s="64">
        <f>18.6402 * CHOOSE(CONTROL!$C$22, $C$13, 100%, $E$13)</f>
        <v>18.6402</v>
      </c>
      <c r="J591" s="64">
        <f>11.102 * CHOOSE(CONTROL!$C$22, $C$13, 100%, $E$13)</f>
        <v>11.102</v>
      </c>
      <c r="K591" s="64">
        <f>11.1022 * CHOOSE(CONTROL!$C$22, $C$13, 100%, $E$13)</f>
        <v>11.1022</v>
      </c>
    </row>
    <row r="592" spans="1:11" ht="15">
      <c r="A592" s="13">
        <v>59657</v>
      </c>
      <c r="B592" s="63">
        <f>9.452 * CHOOSE(CONTROL!$C$22, $C$13, 100%, $E$13)</f>
        <v>9.452</v>
      </c>
      <c r="C592" s="63">
        <f>9.452 * CHOOSE(CONTROL!$C$22, $C$13, 100%, $E$13)</f>
        <v>9.452</v>
      </c>
      <c r="D592" s="63">
        <f>9.4778 * CHOOSE(CONTROL!$C$22, $C$13, 100%, $E$13)</f>
        <v>9.4778000000000002</v>
      </c>
      <c r="E592" s="64">
        <f>11.1403 * CHOOSE(CONTROL!$C$22, $C$13, 100%, $E$13)</f>
        <v>11.1403</v>
      </c>
      <c r="F592" s="64">
        <f>11.1403 * CHOOSE(CONTROL!$C$22, $C$13, 100%, $E$13)</f>
        <v>11.1403</v>
      </c>
      <c r="G592" s="64">
        <f>11.1419 * CHOOSE(CONTROL!$C$22, $C$13, 100%, $E$13)</f>
        <v>11.1419</v>
      </c>
      <c r="H592" s="64">
        <f>18.6788* CHOOSE(CONTROL!$C$22, $C$13, 100%, $E$13)</f>
        <v>18.678799999999999</v>
      </c>
      <c r="I592" s="64">
        <f>18.6805 * CHOOSE(CONTROL!$C$22, $C$13, 100%, $E$13)</f>
        <v>18.680499999999999</v>
      </c>
      <c r="J592" s="64">
        <f>11.1403 * CHOOSE(CONTROL!$C$22, $C$13, 100%, $E$13)</f>
        <v>11.1403</v>
      </c>
      <c r="K592" s="64">
        <f>11.1419 * CHOOSE(CONTROL!$C$22, $C$13, 100%, $E$13)</f>
        <v>11.1419</v>
      </c>
    </row>
    <row r="593" spans="1:11" ht="15">
      <c r="A593" s="13">
        <v>59688</v>
      </c>
      <c r="B593" s="63">
        <f>9.4581 * CHOOSE(CONTROL!$C$22, $C$13, 100%, $E$13)</f>
        <v>9.4581</v>
      </c>
      <c r="C593" s="63">
        <f>9.4581 * CHOOSE(CONTROL!$C$22, $C$13, 100%, $E$13)</f>
        <v>9.4581</v>
      </c>
      <c r="D593" s="63">
        <f>9.4839 * CHOOSE(CONTROL!$C$22, $C$13, 100%, $E$13)</f>
        <v>9.4839000000000002</v>
      </c>
      <c r="E593" s="64">
        <f>11.1062 * CHOOSE(CONTROL!$C$22, $C$13, 100%, $E$13)</f>
        <v>11.106199999999999</v>
      </c>
      <c r="F593" s="64">
        <f>11.1062 * CHOOSE(CONTROL!$C$22, $C$13, 100%, $E$13)</f>
        <v>11.106199999999999</v>
      </c>
      <c r="G593" s="64">
        <f>11.1078 * CHOOSE(CONTROL!$C$22, $C$13, 100%, $E$13)</f>
        <v>11.107799999999999</v>
      </c>
      <c r="H593" s="64">
        <f>18.7177* CHOOSE(CONTROL!$C$22, $C$13, 100%, $E$13)</f>
        <v>18.717700000000001</v>
      </c>
      <c r="I593" s="64">
        <f>18.7194 * CHOOSE(CONTROL!$C$22, $C$13, 100%, $E$13)</f>
        <v>18.7194</v>
      </c>
      <c r="J593" s="64">
        <f>11.1062 * CHOOSE(CONTROL!$C$22, $C$13, 100%, $E$13)</f>
        <v>11.106199999999999</v>
      </c>
      <c r="K593" s="64">
        <f>11.1078 * CHOOSE(CONTROL!$C$22, $C$13, 100%, $E$13)</f>
        <v>11.107799999999999</v>
      </c>
    </row>
    <row r="594" spans="1:11" ht="15">
      <c r="A594" s="13">
        <v>59718</v>
      </c>
      <c r="B594" s="63">
        <f>9.6097 * CHOOSE(CONTROL!$C$22, $C$13, 100%, $E$13)</f>
        <v>9.6097000000000001</v>
      </c>
      <c r="C594" s="63">
        <f>9.6097 * CHOOSE(CONTROL!$C$22, $C$13, 100%, $E$13)</f>
        <v>9.6097000000000001</v>
      </c>
      <c r="D594" s="63">
        <f>9.6355 * CHOOSE(CONTROL!$C$22, $C$13, 100%, $E$13)</f>
        <v>9.6355000000000004</v>
      </c>
      <c r="E594" s="64">
        <f>11.321 * CHOOSE(CONTROL!$C$22, $C$13, 100%, $E$13)</f>
        <v>11.321</v>
      </c>
      <c r="F594" s="64">
        <f>11.321 * CHOOSE(CONTROL!$C$22, $C$13, 100%, $E$13)</f>
        <v>11.321</v>
      </c>
      <c r="G594" s="64">
        <f>11.3227 * CHOOSE(CONTROL!$C$22, $C$13, 100%, $E$13)</f>
        <v>11.322699999999999</v>
      </c>
      <c r="H594" s="64">
        <f>18.7567* CHOOSE(CONTROL!$C$22, $C$13, 100%, $E$13)</f>
        <v>18.756699999999999</v>
      </c>
      <c r="I594" s="64">
        <f>18.7584 * CHOOSE(CONTROL!$C$22, $C$13, 100%, $E$13)</f>
        <v>18.758400000000002</v>
      </c>
      <c r="J594" s="64">
        <f>11.321 * CHOOSE(CONTROL!$C$22, $C$13, 100%, $E$13)</f>
        <v>11.321</v>
      </c>
      <c r="K594" s="64">
        <f>11.3227 * CHOOSE(CONTROL!$C$22, $C$13, 100%, $E$13)</f>
        <v>11.322699999999999</v>
      </c>
    </row>
    <row r="595" spans="1:11" ht="15">
      <c r="A595" s="13">
        <v>59749</v>
      </c>
      <c r="B595" s="63">
        <f>9.6164 * CHOOSE(CONTROL!$C$22, $C$13, 100%, $E$13)</f>
        <v>9.6164000000000005</v>
      </c>
      <c r="C595" s="63">
        <f>9.6164 * CHOOSE(CONTROL!$C$22, $C$13, 100%, $E$13)</f>
        <v>9.6164000000000005</v>
      </c>
      <c r="D595" s="63">
        <f>9.6421 * CHOOSE(CONTROL!$C$22, $C$13, 100%, $E$13)</f>
        <v>9.6420999999999992</v>
      </c>
      <c r="E595" s="64">
        <f>11.2108 * CHOOSE(CONTROL!$C$22, $C$13, 100%, $E$13)</f>
        <v>11.210800000000001</v>
      </c>
      <c r="F595" s="64">
        <f>11.2108 * CHOOSE(CONTROL!$C$22, $C$13, 100%, $E$13)</f>
        <v>11.210800000000001</v>
      </c>
      <c r="G595" s="64">
        <f>11.2124 * CHOOSE(CONTROL!$C$22, $C$13, 100%, $E$13)</f>
        <v>11.212400000000001</v>
      </c>
      <c r="H595" s="64">
        <f>18.7958* CHOOSE(CONTROL!$C$22, $C$13, 100%, $E$13)</f>
        <v>18.7958</v>
      </c>
      <c r="I595" s="64">
        <f>18.7975 * CHOOSE(CONTROL!$C$22, $C$13, 100%, $E$13)</f>
        <v>18.797499999999999</v>
      </c>
      <c r="J595" s="64">
        <f>11.2108 * CHOOSE(CONTROL!$C$22, $C$13, 100%, $E$13)</f>
        <v>11.210800000000001</v>
      </c>
      <c r="K595" s="64">
        <f>11.2124 * CHOOSE(CONTROL!$C$22, $C$13, 100%, $E$13)</f>
        <v>11.212400000000001</v>
      </c>
    </row>
    <row r="596" spans="1:11" ht="15">
      <c r="A596" s="13">
        <v>59780</v>
      </c>
      <c r="B596" s="63">
        <f>9.6134 * CHOOSE(CONTROL!$C$22, $C$13, 100%, $E$13)</f>
        <v>9.6134000000000004</v>
      </c>
      <c r="C596" s="63">
        <f>9.6134 * CHOOSE(CONTROL!$C$22, $C$13, 100%, $E$13)</f>
        <v>9.6134000000000004</v>
      </c>
      <c r="D596" s="63">
        <f>9.6391 * CHOOSE(CONTROL!$C$22, $C$13, 100%, $E$13)</f>
        <v>9.6390999999999991</v>
      </c>
      <c r="E596" s="64">
        <f>11.1959 * CHOOSE(CONTROL!$C$22, $C$13, 100%, $E$13)</f>
        <v>11.1959</v>
      </c>
      <c r="F596" s="64">
        <f>11.1959 * CHOOSE(CONTROL!$C$22, $C$13, 100%, $E$13)</f>
        <v>11.1959</v>
      </c>
      <c r="G596" s="64">
        <f>11.1975 * CHOOSE(CONTROL!$C$22, $C$13, 100%, $E$13)</f>
        <v>11.1975</v>
      </c>
      <c r="H596" s="64">
        <f>18.835* CHOOSE(CONTROL!$C$22, $C$13, 100%, $E$13)</f>
        <v>18.835000000000001</v>
      </c>
      <c r="I596" s="64">
        <f>18.8366 * CHOOSE(CONTROL!$C$22, $C$13, 100%, $E$13)</f>
        <v>18.836600000000001</v>
      </c>
      <c r="J596" s="64">
        <f>11.1959 * CHOOSE(CONTROL!$C$22, $C$13, 100%, $E$13)</f>
        <v>11.1959</v>
      </c>
      <c r="K596" s="64">
        <f>11.1975 * CHOOSE(CONTROL!$C$22, $C$13, 100%, $E$13)</f>
        <v>11.1975</v>
      </c>
    </row>
    <row r="597" spans="1:11" ht="15">
      <c r="A597" s="13">
        <v>59810</v>
      </c>
      <c r="B597" s="63">
        <f>9.6271 * CHOOSE(CONTROL!$C$22, $C$13, 100%, $E$13)</f>
        <v>9.6271000000000004</v>
      </c>
      <c r="C597" s="63">
        <f>9.6271 * CHOOSE(CONTROL!$C$22, $C$13, 100%, $E$13)</f>
        <v>9.6271000000000004</v>
      </c>
      <c r="D597" s="63">
        <f>9.64 * CHOOSE(CONTROL!$C$22, $C$13, 100%, $E$13)</f>
        <v>9.64</v>
      </c>
      <c r="E597" s="64">
        <f>11.2336 * CHOOSE(CONTROL!$C$22, $C$13, 100%, $E$13)</f>
        <v>11.233599999999999</v>
      </c>
      <c r="F597" s="64">
        <f>11.2336 * CHOOSE(CONTROL!$C$22, $C$13, 100%, $E$13)</f>
        <v>11.233599999999999</v>
      </c>
      <c r="G597" s="64">
        <f>11.2337 * CHOOSE(CONTROL!$C$22, $C$13, 100%, $E$13)</f>
        <v>11.233700000000001</v>
      </c>
      <c r="H597" s="64">
        <f>18.8742* CHOOSE(CONTROL!$C$22, $C$13, 100%, $E$13)</f>
        <v>18.874199999999998</v>
      </c>
      <c r="I597" s="64">
        <f>18.8744 * CHOOSE(CONTROL!$C$22, $C$13, 100%, $E$13)</f>
        <v>18.874400000000001</v>
      </c>
      <c r="J597" s="64">
        <f>11.2336 * CHOOSE(CONTROL!$C$22, $C$13, 100%, $E$13)</f>
        <v>11.233599999999999</v>
      </c>
      <c r="K597" s="64">
        <f>11.2337 * CHOOSE(CONTROL!$C$22, $C$13, 100%, $E$13)</f>
        <v>11.233700000000001</v>
      </c>
    </row>
    <row r="598" spans="1:11" ht="15">
      <c r="A598" s="13">
        <v>59841</v>
      </c>
      <c r="B598" s="63">
        <f>9.6302 * CHOOSE(CONTROL!$C$22, $C$13, 100%, $E$13)</f>
        <v>9.6302000000000003</v>
      </c>
      <c r="C598" s="63">
        <f>9.6302 * CHOOSE(CONTROL!$C$22, $C$13, 100%, $E$13)</f>
        <v>9.6302000000000003</v>
      </c>
      <c r="D598" s="63">
        <f>9.643 * CHOOSE(CONTROL!$C$22, $C$13, 100%, $E$13)</f>
        <v>9.6430000000000007</v>
      </c>
      <c r="E598" s="64">
        <f>11.2612 * CHOOSE(CONTROL!$C$22, $C$13, 100%, $E$13)</f>
        <v>11.261200000000001</v>
      </c>
      <c r="F598" s="64">
        <f>11.2612 * CHOOSE(CONTROL!$C$22, $C$13, 100%, $E$13)</f>
        <v>11.261200000000001</v>
      </c>
      <c r="G598" s="64">
        <f>11.2614 * CHOOSE(CONTROL!$C$22, $C$13, 100%, $E$13)</f>
        <v>11.2614</v>
      </c>
      <c r="H598" s="64">
        <f>18.9135* CHOOSE(CONTROL!$C$22, $C$13, 100%, $E$13)</f>
        <v>18.913499999999999</v>
      </c>
      <c r="I598" s="64">
        <f>18.9137 * CHOOSE(CONTROL!$C$22, $C$13, 100%, $E$13)</f>
        <v>18.913699999999999</v>
      </c>
      <c r="J598" s="64">
        <f>11.2612 * CHOOSE(CONTROL!$C$22, $C$13, 100%, $E$13)</f>
        <v>11.261200000000001</v>
      </c>
      <c r="K598" s="64">
        <f>11.2614 * CHOOSE(CONTROL!$C$22, $C$13, 100%, $E$13)</f>
        <v>11.2614</v>
      </c>
    </row>
    <row r="599" spans="1:11" ht="15">
      <c r="A599" s="13">
        <v>59871</v>
      </c>
      <c r="B599" s="63">
        <f>9.6302 * CHOOSE(CONTROL!$C$22, $C$13, 100%, $E$13)</f>
        <v>9.6302000000000003</v>
      </c>
      <c r="C599" s="63">
        <f>9.6302 * CHOOSE(CONTROL!$C$22, $C$13, 100%, $E$13)</f>
        <v>9.6302000000000003</v>
      </c>
      <c r="D599" s="63">
        <f>9.643 * CHOOSE(CONTROL!$C$22, $C$13, 100%, $E$13)</f>
        <v>9.6430000000000007</v>
      </c>
      <c r="E599" s="64">
        <f>11.1974 * CHOOSE(CONTROL!$C$22, $C$13, 100%, $E$13)</f>
        <v>11.1974</v>
      </c>
      <c r="F599" s="64">
        <f>11.1974 * CHOOSE(CONTROL!$C$22, $C$13, 100%, $E$13)</f>
        <v>11.1974</v>
      </c>
      <c r="G599" s="64">
        <f>11.1976 * CHOOSE(CONTROL!$C$22, $C$13, 100%, $E$13)</f>
        <v>11.1976</v>
      </c>
      <c r="H599" s="64">
        <f>18.9529* CHOOSE(CONTROL!$C$22, $C$13, 100%, $E$13)</f>
        <v>18.9529</v>
      </c>
      <c r="I599" s="64">
        <f>18.9531 * CHOOSE(CONTROL!$C$22, $C$13, 100%, $E$13)</f>
        <v>18.953099999999999</v>
      </c>
      <c r="J599" s="64">
        <f>11.1974 * CHOOSE(CONTROL!$C$22, $C$13, 100%, $E$13)</f>
        <v>11.1974</v>
      </c>
      <c r="K599" s="64">
        <f>11.1976 * CHOOSE(CONTROL!$C$22, $C$13, 100%, $E$13)</f>
        <v>11.1976</v>
      </c>
    </row>
    <row r="600" spans="1:11" ht="15">
      <c r="A600" s="13">
        <v>59902</v>
      </c>
      <c r="B600" s="63">
        <f>9.7011 * CHOOSE(CONTROL!$C$22, $C$13, 100%, $E$13)</f>
        <v>9.7011000000000003</v>
      </c>
      <c r="C600" s="63">
        <f>9.7011 * CHOOSE(CONTROL!$C$22, $C$13, 100%, $E$13)</f>
        <v>9.7011000000000003</v>
      </c>
      <c r="D600" s="63">
        <f>9.7139 * CHOOSE(CONTROL!$C$22, $C$13, 100%, $E$13)</f>
        <v>9.7139000000000006</v>
      </c>
      <c r="E600" s="64">
        <f>11.3263 * CHOOSE(CONTROL!$C$22, $C$13, 100%, $E$13)</f>
        <v>11.3263</v>
      </c>
      <c r="F600" s="64">
        <f>11.3263 * CHOOSE(CONTROL!$C$22, $C$13, 100%, $E$13)</f>
        <v>11.3263</v>
      </c>
      <c r="G600" s="64">
        <f>11.3264 * CHOOSE(CONTROL!$C$22, $C$13, 100%, $E$13)</f>
        <v>11.3264</v>
      </c>
      <c r="H600" s="64">
        <f>18.9699* CHOOSE(CONTROL!$C$22, $C$13, 100%, $E$13)</f>
        <v>18.969899999999999</v>
      </c>
      <c r="I600" s="64">
        <f>18.97 * CHOOSE(CONTROL!$C$22, $C$13, 100%, $E$13)</f>
        <v>18.97</v>
      </c>
      <c r="J600" s="64">
        <f>11.3263 * CHOOSE(CONTROL!$C$22, $C$13, 100%, $E$13)</f>
        <v>11.3263</v>
      </c>
      <c r="K600" s="64">
        <f>11.3264 * CHOOSE(CONTROL!$C$22, $C$13, 100%, $E$13)</f>
        <v>11.3264</v>
      </c>
    </row>
    <row r="601" spans="1:11" ht="15">
      <c r="A601" s="13">
        <v>59933</v>
      </c>
      <c r="B601" s="63">
        <f>9.698 * CHOOSE(CONTROL!$C$22, $C$13, 100%, $E$13)</f>
        <v>9.6980000000000004</v>
      </c>
      <c r="C601" s="63">
        <f>9.698 * CHOOSE(CONTROL!$C$22, $C$13, 100%, $E$13)</f>
        <v>9.6980000000000004</v>
      </c>
      <c r="D601" s="63">
        <f>9.7109 * CHOOSE(CONTROL!$C$22, $C$13, 100%, $E$13)</f>
        <v>9.7109000000000005</v>
      </c>
      <c r="E601" s="64">
        <f>11.2003 * CHOOSE(CONTROL!$C$22, $C$13, 100%, $E$13)</f>
        <v>11.2003</v>
      </c>
      <c r="F601" s="64">
        <f>11.2003 * CHOOSE(CONTROL!$C$22, $C$13, 100%, $E$13)</f>
        <v>11.2003</v>
      </c>
      <c r="G601" s="64">
        <f>11.2005 * CHOOSE(CONTROL!$C$22, $C$13, 100%, $E$13)</f>
        <v>11.2005</v>
      </c>
      <c r="H601" s="64">
        <f>19.0094* CHOOSE(CONTROL!$C$22, $C$13, 100%, $E$13)</f>
        <v>19.009399999999999</v>
      </c>
      <c r="I601" s="64">
        <f>19.0096 * CHOOSE(CONTROL!$C$22, $C$13, 100%, $E$13)</f>
        <v>19.009599999999999</v>
      </c>
      <c r="J601" s="64">
        <f>11.2003 * CHOOSE(CONTROL!$C$22, $C$13, 100%, $E$13)</f>
        <v>11.2003</v>
      </c>
      <c r="K601" s="64">
        <f>11.2005 * CHOOSE(CONTROL!$C$22, $C$13, 100%, $E$13)</f>
        <v>11.2005</v>
      </c>
    </row>
    <row r="602" spans="1:11" ht="15">
      <c r="A602" s="13">
        <v>59962</v>
      </c>
      <c r="B602" s="63">
        <f>9.695 * CHOOSE(CONTROL!$C$22, $C$13, 100%, $E$13)</f>
        <v>9.6950000000000003</v>
      </c>
      <c r="C602" s="63">
        <f>9.695 * CHOOSE(CONTROL!$C$22, $C$13, 100%, $E$13)</f>
        <v>9.6950000000000003</v>
      </c>
      <c r="D602" s="63">
        <f>9.7079 * CHOOSE(CONTROL!$C$22, $C$13, 100%, $E$13)</f>
        <v>9.7079000000000004</v>
      </c>
      <c r="E602" s="64">
        <f>11.2958 * CHOOSE(CONTROL!$C$22, $C$13, 100%, $E$13)</f>
        <v>11.2958</v>
      </c>
      <c r="F602" s="64">
        <f>11.2958 * CHOOSE(CONTROL!$C$22, $C$13, 100%, $E$13)</f>
        <v>11.2958</v>
      </c>
      <c r="G602" s="64">
        <f>11.296 * CHOOSE(CONTROL!$C$22, $C$13, 100%, $E$13)</f>
        <v>11.295999999999999</v>
      </c>
      <c r="H602" s="64">
        <f>19.049* CHOOSE(CONTROL!$C$22, $C$13, 100%, $E$13)</f>
        <v>19.048999999999999</v>
      </c>
      <c r="I602" s="64">
        <f>19.0492 * CHOOSE(CONTROL!$C$22, $C$13, 100%, $E$13)</f>
        <v>19.049199999999999</v>
      </c>
      <c r="J602" s="64">
        <f>11.2958 * CHOOSE(CONTROL!$C$22, $C$13, 100%, $E$13)</f>
        <v>11.2958</v>
      </c>
      <c r="K602" s="64">
        <f>11.296 * CHOOSE(CONTROL!$C$22, $C$13, 100%, $E$13)</f>
        <v>11.295999999999999</v>
      </c>
    </row>
    <row r="603" spans="1:11" ht="15">
      <c r="A603" s="13">
        <v>59993</v>
      </c>
      <c r="B603" s="63">
        <f>9.6976 * CHOOSE(CONTROL!$C$22, $C$13, 100%, $E$13)</f>
        <v>9.6975999999999996</v>
      </c>
      <c r="C603" s="63">
        <f>9.6976 * CHOOSE(CONTROL!$C$22, $C$13, 100%, $E$13)</f>
        <v>9.6975999999999996</v>
      </c>
      <c r="D603" s="63">
        <f>9.7104 * CHOOSE(CONTROL!$C$22, $C$13, 100%, $E$13)</f>
        <v>9.7103999999999999</v>
      </c>
      <c r="E603" s="64">
        <f>11.3964 * CHOOSE(CONTROL!$C$22, $C$13, 100%, $E$13)</f>
        <v>11.3964</v>
      </c>
      <c r="F603" s="64">
        <f>11.3964 * CHOOSE(CONTROL!$C$22, $C$13, 100%, $E$13)</f>
        <v>11.3964</v>
      </c>
      <c r="G603" s="64">
        <f>11.3966 * CHOOSE(CONTROL!$C$22, $C$13, 100%, $E$13)</f>
        <v>11.396599999999999</v>
      </c>
      <c r="H603" s="64">
        <f>19.0887* CHOOSE(CONTROL!$C$22, $C$13, 100%, $E$13)</f>
        <v>19.088699999999999</v>
      </c>
      <c r="I603" s="64">
        <f>19.0889 * CHOOSE(CONTROL!$C$22, $C$13, 100%, $E$13)</f>
        <v>19.088899999999999</v>
      </c>
      <c r="J603" s="64">
        <f>11.3964 * CHOOSE(CONTROL!$C$22, $C$13, 100%, $E$13)</f>
        <v>11.3964</v>
      </c>
      <c r="K603" s="64">
        <f>11.3966 * CHOOSE(CONTROL!$C$22, $C$13, 100%, $E$13)</f>
        <v>11.396599999999999</v>
      </c>
    </row>
    <row r="604" spans="1:11" ht="15">
      <c r="A604" s="13">
        <v>60023</v>
      </c>
      <c r="B604" s="63">
        <f>9.6976 * CHOOSE(CONTROL!$C$22, $C$13, 100%, $E$13)</f>
        <v>9.6975999999999996</v>
      </c>
      <c r="C604" s="63">
        <f>9.6976 * CHOOSE(CONTROL!$C$22, $C$13, 100%, $E$13)</f>
        <v>9.6975999999999996</v>
      </c>
      <c r="D604" s="63">
        <f>9.7233 * CHOOSE(CONTROL!$C$22, $C$13, 100%, $E$13)</f>
        <v>9.7233000000000001</v>
      </c>
      <c r="E604" s="64">
        <f>11.4357 * CHOOSE(CONTROL!$C$22, $C$13, 100%, $E$13)</f>
        <v>11.435700000000001</v>
      </c>
      <c r="F604" s="64">
        <f>11.4357 * CHOOSE(CONTROL!$C$22, $C$13, 100%, $E$13)</f>
        <v>11.435700000000001</v>
      </c>
      <c r="G604" s="64">
        <f>11.4374 * CHOOSE(CONTROL!$C$22, $C$13, 100%, $E$13)</f>
        <v>11.4374</v>
      </c>
      <c r="H604" s="64">
        <f>19.1284* CHOOSE(CONTROL!$C$22, $C$13, 100%, $E$13)</f>
        <v>19.128399999999999</v>
      </c>
      <c r="I604" s="64">
        <f>19.1301 * CHOOSE(CONTROL!$C$22, $C$13, 100%, $E$13)</f>
        <v>19.130099999999999</v>
      </c>
      <c r="J604" s="64">
        <f>11.4357 * CHOOSE(CONTROL!$C$22, $C$13, 100%, $E$13)</f>
        <v>11.435700000000001</v>
      </c>
      <c r="K604" s="64">
        <f>11.4374 * CHOOSE(CONTROL!$C$22, $C$13, 100%, $E$13)</f>
        <v>11.4374</v>
      </c>
    </row>
    <row r="605" spans="1:11" ht="15">
      <c r="A605" s="13">
        <v>60054</v>
      </c>
      <c r="B605" s="63">
        <f>9.7037 * CHOOSE(CONTROL!$C$22, $C$13, 100%, $E$13)</f>
        <v>9.7036999999999995</v>
      </c>
      <c r="C605" s="63">
        <f>9.7037 * CHOOSE(CONTROL!$C$22, $C$13, 100%, $E$13)</f>
        <v>9.7036999999999995</v>
      </c>
      <c r="D605" s="63">
        <f>9.7294 * CHOOSE(CONTROL!$C$22, $C$13, 100%, $E$13)</f>
        <v>9.7294</v>
      </c>
      <c r="E605" s="64">
        <f>11.4007 * CHOOSE(CONTROL!$C$22, $C$13, 100%, $E$13)</f>
        <v>11.400700000000001</v>
      </c>
      <c r="F605" s="64">
        <f>11.4007 * CHOOSE(CONTROL!$C$22, $C$13, 100%, $E$13)</f>
        <v>11.400700000000001</v>
      </c>
      <c r="G605" s="64">
        <f>11.4023 * CHOOSE(CONTROL!$C$22, $C$13, 100%, $E$13)</f>
        <v>11.4023</v>
      </c>
      <c r="H605" s="64">
        <f>19.1683* CHOOSE(CONTROL!$C$22, $C$13, 100%, $E$13)</f>
        <v>19.168299999999999</v>
      </c>
      <c r="I605" s="64">
        <f>19.1699 * CHOOSE(CONTROL!$C$22, $C$13, 100%, $E$13)</f>
        <v>19.169899999999998</v>
      </c>
      <c r="J605" s="64">
        <f>11.4007 * CHOOSE(CONTROL!$C$22, $C$13, 100%, $E$13)</f>
        <v>11.400700000000001</v>
      </c>
      <c r="K605" s="64">
        <f>11.4023 * CHOOSE(CONTROL!$C$22, $C$13, 100%, $E$13)</f>
        <v>11.4023</v>
      </c>
    </row>
    <row r="606" spans="1:11" ht="15">
      <c r="A606" s="13">
        <v>60084</v>
      </c>
      <c r="B606" s="63">
        <f>9.8589 * CHOOSE(CONTROL!$C$22, $C$13, 100%, $E$13)</f>
        <v>9.8589000000000002</v>
      </c>
      <c r="C606" s="63">
        <f>9.8589 * CHOOSE(CONTROL!$C$22, $C$13, 100%, $E$13)</f>
        <v>9.8589000000000002</v>
      </c>
      <c r="D606" s="63">
        <f>9.8847 * CHOOSE(CONTROL!$C$22, $C$13, 100%, $E$13)</f>
        <v>9.8847000000000005</v>
      </c>
      <c r="E606" s="64">
        <f>11.6209 * CHOOSE(CONTROL!$C$22, $C$13, 100%, $E$13)</f>
        <v>11.620900000000001</v>
      </c>
      <c r="F606" s="64">
        <f>11.6209 * CHOOSE(CONTROL!$C$22, $C$13, 100%, $E$13)</f>
        <v>11.620900000000001</v>
      </c>
      <c r="G606" s="64">
        <f>11.6226 * CHOOSE(CONTROL!$C$22, $C$13, 100%, $E$13)</f>
        <v>11.6226</v>
      </c>
      <c r="H606" s="64">
        <f>19.2082* CHOOSE(CONTROL!$C$22, $C$13, 100%, $E$13)</f>
        <v>19.208200000000001</v>
      </c>
      <c r="I606" s="64">
        <f>19.2099 * CHOOSE(CONTROL!$C$22, $C$13, 100%, $E$13)</f>
        <v>19.209900000000001</v>
      </c>
      <c r="J606" s="64">
        <f>11.6209 * CHOOSE(CONTROL!$C$22, $C$13, 100%, $E$13)</f>
        <v>11.620900000000001</v>
      </c>
      <c r="K606" s="64">
        <f>11.6226 * CHOOSE(CONTROL!$C$22, $C$13, 100%, $E$13)</f>
        <v>11.6226</v>
      </c>
    </row>
    <row r="607" spans="1:11" ht="15">
      <c r="A607" s="13">
        <v>60115</v>
      </c>
      <c r="B607" s="63">
        <f>9.8656 * CHOOSE(CONTROL!$C$22, $C$13, 100%, $E$13)</f>
        <v>9.8656000000000006</v>
      </c>
      <c r="C607" s="63">
        <f>9.8656 * CHOOSE(CONTROL!$C$22, $C$13, 100%, $E$13)</f>
        <v>9.8656000000000006</v>
      </c>
      <c r="D607" s="63">
        <f>9.8914 * CHOOSE(CONTROL!$C$22, $C$13, 100%, $E$13)</f>
        <v>9.8914000000000009</v>
      </c>
      <c r="E607" s="64">
        <f>11.5076 * CHOOSE(CONTROL!$C$22, $C$13, 100%, $E$13)</f>
        <v>11.5076</v>
      </c>
      <c r="F607" s="64">
        <f>11.5076 * CHOOSE(CONTROL!$C$22, $C$13, 100%, $E$13)</f>
        <v>11.5076</v>
      </c>
      <c r="G607" s="64">
        <f>11.5093 * CHOOSE(CONTROL!$C$22, $C$13, 100%, $E$13)</f>
        <v>11.5093</v>
      </c>
      <c r="H607" s="64">
        <f>19.2483* CHOOSE(CONTROL!$C$22, $C$13, 100%, $E$13)</f>
        <v>19.2483</v>
      </c>
      <c r="I607" s="64">
        <f>19.2499 * CHOOSE(CONTROL!$C$22, $C$13, 100%, $E$13)</f>
        <v>19.2499</v>
      </c>
      <c r="J607" s="64">
        <f>11.5076 * CHOOSE(CONTROL!$C$22, $C$13, 100%, $E$13)</f>
        <v>11.5076</v>
      </c>
      <c r="K607" s="64">
        <f>11.5093 * CHOOSE(CONTROL!$C$22, $C$13, 100%, $E$13)</f>
        <v>11.5093</v>
      </c>
    </row>
    <row r="608" spans="1:11" ht="15">
      <c r="A608" s="13">
        <v>60146</v>
      </c>
      <c r="B608" s="63">
        <f>9.8626 * CHOOSE(CONTROL!$C$22, $C$13, 100%, $E$13)</f>
        <v>9.8626000000000005</v>
      </c>
      <c r="C608" s="63">
        <f>9.8626 * CHOOSE(CONTROL!$C$22, $C$13, 100%, $E$13)</f>
        <v>9.8626000000000005</v>
      </c>
      <c r="D608" s="63">
        <f>9.8883 * CHOOSE(CONTROL!$C$22, $C$13, 100%, $E$13)</f>
        <v>9.8882999999999992</v>
      </c>
      <c r="E608" s="64">
        <f>11.4924 * CHOOSE(CONTROL!$C$22, $C$13, 100%, $E$13)</f>
        <v>11.4924</v>
      </c>
      <c r="F608" s="64">
        <f>11.4924 * CHOOSE(CONTROL!$C$22, $C$13, 100%, $E$13)</f>
        <v>11.4924</v>
      </c>
      <c r="G608" s="64">
        <f>11.494 * CHOOSE(CONTROL!$C$22, $C$13, 100%, $E$13)</f>
        <v>11.494</v>
      </c>
      <c r="H608" s="64">
        <f>19.2884* CHOOSE(CONTROL!$C$22, $C$13, 100%, $E$13)</f>
        <v>19.288399999999999</v>
      </c>
      <c r="I608" s="64">
        <f>19.29 * CHOOSE(CONTROL!$C$22, $C$13, 100%, $E$13)</f>
        <v>19.29</v>
      </c>
      <c r="J608" s="64">
        <f>11.4924 * CHOOSE(CONTROL!$C$22, $C$13, 100%, $E$13)</f>
        <v>11.4924</v>
      </c>
      <c r="K608" s="64">
        <f>11.494 * CHOOSE(CONTROL!$C$22, $C$13, 100%, $E$13)</f>
        <v>11.494</v>
      </c>
    </row>
    <row r="609" spans="1:11" ht="15">
      <c r="A609" s="13">
        <v>60176</v>
      </c>
      <c r="B609" s="63">
        <f>9.8772 * CHOOSE(CONTROL!$C$22, $C$13, 100%, $E$13)</f>
        <v>9.8772000000000002</v>
      </c>
      <c r="C609" s="63">
        <f>9.8772 * CHOOSE(CONTROL!$C$22, $C$13, 100%, $E$13)</f>
        <v>9.8772000000000002</v>
      </c>
      <c r="D609" s="63">
        <f>9.89 * CHOOSE(CONTROL!$C$22, $C$13, 100%, $E$13)</f>
        <v>9.89</v>
      </c>
      <c r="E609" s="64">
        <f>11.5314 * CHOOSE(CONTROL!$C$22, $C$13, 100%, $E$13)</f>
        <v>11.5314</v>
      </c>
      <c r="F609" s="64">
        <f>11.5314 * CHOOSE(CONTROL!$C$22, $C$13, 100%, $E$13)</f>
        <v>11.5314</v>
      </c>
      <c r="G609" s="64">
        <f>11.5316 * CHOOSE(CONTROL!$C$22, $C$13, 100%, $E$13)</f>
        <v>11.531599999999999</v>
      </c>
      <c r="H609" s="64">
        <f>19.3285* CHOOSE(CONTROL!$C$22, $C$13, 100%, $E$13)</f>
        <v>19.328499999999998</v>
      </c>
      <c r="I609" s="64">
        <f>19.3287 * CHOOSE(CONTROL!$C$22, $C$13, 100%, $E$13)</f>
        <v>19.328700000000001</v>
      </c>
      <c r="J609" s="64">
        <f>11.5314 * CHOOSE(CONTROL!$C$22, $C$13, 100%, $E$13)</f>
        <v>11.5314</v>
      </c>
      <c r="K609" s="64">
        <f>11.5316 * CHOOSE(CONTROL!$C$22, $C$13, 100%, $E$13)</f>
        <v>11.531599999999999</v>
      </c>
    </row>
    <row r="610" spans="1:11" ht="15">
      <c r="A610" s="13">
        <v>60207</v>
      </c>
      <c r="B610" s="63">
        <f>9.8802 * CHOOSE(CONTROL!$C$22, $C$13, 100%, $E$13)</f>
        <v>9.8802000000000003</v>
      </c>
      <c r="C610" s="63">
        <f>9.8802 * CHOOSE(CONTROL!$C$22, $C$13, 100%, $E$13)</f>
        <v>9.8802000000000003</v>
      </c>
      <c r="D610" s="63">
        <f>9.8931 * CHOOSE(CONTROL!$C$22, $C$13, 100%, $E$13)</f>
        <v>9.8931000000000004</v>
      </c>
      <c r="E610" s="64">
        <f>11.5597 * CHOOSE(CONTROL!$C$22, $C$13, 100%, $E$13)</f>
        <v>11.559699999999999</v>
      </c>
      <c r="F610" s="64">
        <f>11.5597 * CHOOSE(CONTROL!$C$22, $C$13, 100%, $E$13)</f>
        <v>11.559699999999999</v>
      </c>
      <c r="G610" s="64">
        <f>11.5599 * CHOOSE(CONTROL!$C$22, $C$13, 100%, $E$13)</f>
        <v>11.559900000000001</v>
      </c>
      <c r="H610" s="64">
        <f>19.3688* CHOOSE(CONTROL!$C$22, $C$13, 100%, $E$13)</f>
        <v>19.3688</v>
      </c>
      <c r="I610" s="64">
        <f>19.369 * CHOOSE(CONTROL!$C$22, $C$13, 100%, $E$13)</f>
        <v>19.369</v>
      </c>
      <c r="J610" s="64">
        <f>11.5597 * CHOOSE(CONTROL!$C$22, $C$13, 100%, $E$13)</f>
        <v>11.559699999999999</v>
      </c>
      <c r="K610" s="64">
        <f>11.5599 * CHOOSE(CONTROL!$C$22, $C$13, 100%, $E$13)</f>
        <v>11.559900000000001</v>
      </c>
    </row>
    <row r="611" spans="1:11" ht="15">
      <c r="A611" s="13">
        <v>60237</v>
      </c>
      <c r="B611" s="63">
        <f>9.8802 * CHOOSE(CONTROL!$C$22, $C$13, 100%, $E$13)</f>
        <v>9.8802000000000003</v>
      </c>
      <c r="C611" s="63">
        <f>9.8802 * CHOOSE(CONTROL!$C$22, $C$13, 100%, $E$13)</f>
        <v>9.8802000000000003</v>
      </c>
      <c r="D611" s="63">
        <f>9.8931 * CHOOSE(CONTROL!$C$22, $C$13, 100%, $E$13)</f>
        <v>9.8931000000000004</v>
      </c>
      <c r="E611" s="64">
        <f>11.4942 * CHOOSE(CONTROL!$C$22, $C$13, 100%, $E$13)</f>
        <v>11.494199999999999</v>
      </c>
      <c r="F611" s="64">
        <f>11.4942 * CHOOSE(CONTROL!$C$22, $C$13, 100%, $E$13)</f>
        <v>11.494199999999999</v>
      </c>
      <c r="G611" s="64">
        <f>11.4944 * CHOOSE(CONTROL!$C$22, $C$13, 100%, $E$13)</f>
        <v>11.494400000000001</v>
      </c>
      <c r="H611" s="64">
        <f>19.4092* CHOOSE(CONTROL!$C$22, $C$13, 100%, $E$13)</f>
        <v>19.409199999999998</v>
      </c>
      <c r="I611" s="64">
        <f>19.4093 * CHOOSE(CONTROL!$C$22, $C$13, 100%, $E$13)</f>
        <v>19.409300000000002</v>
      </c>
      <c r="J611" s="64">
        <f>11.4942 * CHOOSE(CONTROL!$C$22, $C$13, 100%, $E$13)</f>
        <v>11.494199999999999</v>
      </c>
      <c r="K611" s="64">
        <f>11.4944 * CHOOSE(CONTROL!$C$22, $C$13, 100%, $E$13)</f>
        <v>11.494400000000001</v>
      </c>
    </row>
    <row r="612" spans="1:11" ht="15">
      <c r="A612" s="13">
        <v>60268</v>
      </c>
      <c r="B612" s="63">
        <f>9.9464 * CHOOSE(CONTROL!$C$22, $C$13, 100%, $E$13)</f>
        <v>9.9464000000000006</v>
      </c>
      <c r="C612" s="63">
        <f>9.9464 * CHOOSE(CONTROL!$C$22, $C$13, 100%, $E$13)</f>
        <v>9.9464000000000006</v>
      </c>
      <c r="D612" s="63">
        <f>9.9593 * CHOOSE(CONTROL!$C$22, $C$13, 100%, $E$13)</f>
        <v>9.9593000000000007</v>
      </c>
      <c r="E612" s="64">
        <f>11.6187 * CHOOSE(CONTROL!$C$22, $C$13, 100%, $E$13)</f>
        <v>11.6187</v>
      </c>
      <c r="F612" s="64">
        <f>11.6187 * CHOOSE(CONTROL!$C$22, $C$13, 100%, $E$13)</f>
        <v>11.6187</v>
      </c>
      <c r="G612" s="64">
        <f>11.6188 * CHOOSE(CONTROL!$C$22, $C$13, 100%, $E$13)</f>
        <v>11.6188</v>
      </c>
      <c r="H612" s="64">
        <f>19.4158* CHOOSE(CONTROL!$C$22, $C$13, 100%, $E$13)</f>
        <v>19.415800000000001</v>
      </c>
      <c r="I612" s="64">
        <f>19.4159 * CHOOSE(CONTROL!$C$22, $C$13, 100%, $E$13)</f>
        <v>19.415900000000001</v>
      </c>
      <c r="J612" s="64">
        <f>11.6187 * CHOOSE(CONTROL!$C$22, $C$13, 100%, $E$13)</f>
        <v>11.6187</v>
      </c>
      <c r="K612" s="64">
        <f>11.6188 * CHOOSE(CONTROL!$C$22, $C$13, 100%, $E$13)</f>
        <v>11.6188</v>
      </c>
    </row>
    <row r="613" spans="1:11" ht="15">
      <c r="A613" s="13">
        <v>60299</v>
      </c>
      <c r="B613" s="63">
        <f>9.9433 * CHOOSE(CONTROL!$C$22, $C$13, 100%, $E$13)</f>
        <v>9.9433000000000007</v>
      </c>
      <c r="C613" s="63">
        <f>9.9433 * CHOOSE(CONTROL!$C$22, $C$13, 100%, $E$13)</f>
        <v>9.9433000000000007</v>
      </c>
      <c r="D613" s="63">
        <f>9.9562 * CHOOSE(CONTROL!$C$22, $C$13, 100%, $E$13)</f>
        <v>9.9562000000000008</v>
      </c>
      <c r="E613" s="64">
        <f>11.4895 * CHOOSE(CONTROL!$C$22, $C$13, 100%, $E$13)</f>
        <v>11.4895</v>
      </c>
      <c r="F613" s="64">
        <f>11.4895 * CHOOSE(CONTROL!$C$22, $C$13, 100%, $E$13)</f>
        <v>11.4895</v>
      </c>
      <c r="G613" s="64">
        <f>11.4897 * CHOOSE(CONTROL!$C$22, $C$13, 100%, $E$13)</f>
        <v>11.489699999999999</v>
      </c>
      <c r="H613" s="64">
        <f>19.4562* CHOOSE(CONTROL!$C$22, $C$13, 100%, $E$13)</f>
        <v>19.456199999999999</v>
      </c>
      <c r="I613" s="64">
        <f>19.4564 * CHOOSE(CONTROL!$C$22, $C$13, 100%, $E$13)</f>
        <v>19.456399999999999</v>
      </c>
      <c r="J613" s="64">
        <f>11.4895 * CHOOSE(CONTROL!$C$22, $C$13, 100%, $E$13)</f>
        <v>11.4895</v>
      </c>
      <c r="K613" s="64">
        <f>11.4897 * CHOOSE(CONTROL!$C$22, $C$13, 100%, $E$13)</f>
        <v>11.489699999999999</v>
      </c>
    </row>
    <row r="614" spans="1:11" ht="15">
      <c r="A614" s="13">
        <v>60327</v>
      </c>
      <c r="B614" s="63">
        <f>9.9403 * CHOOSE(CONTROL!$C$22, $C$13, 100%, $E$13)</f>
        <v>9.9403000000000006</v>
      </c>
      <c r="C614" s="63">
        <f>9.9403 * CHOOSE(CONTROL!$C$22, $C$13, 100%, $E$13)</f>
        <v>9.9403000000000006</v>
      </c>
      <c r="D614" s="63">
        <f>9.9532 * CHOOSE(CONTROL!$C$22, $C$13, 100%, $E$13)</f>
        <v>9.9532000000000007</v>
      </c>
      <c r="E614" s="64">
        <f>11.5875 * CHOOSE(CONTROL!$C$22, $C$13, 100%, $E$13)</f>
        <v>11.5875</v>
      </c>
      <c r="F614" s="64">
        <f>11.5875 * CHOOSE(CONTROL!$C$22, $C$13, 100%, $E$13)</f>
        <v>11.5875</v>
      </c>
      <c r="G614" s="64">
        <f>11.5877 * CHOOSE(CONTROL!$C$22, $C$13, 100%, $E$13)</f>
        <v>11.5877</v>
      </c>
      <c r="H614" s="64">
        <f>19.4967* CHOOSE(CONTROL!$C$22, $C$13, 100%, $E$13)</f>
        <v>19.496700000000001</v>
      </c>
      <c r="I614" s="64">
        <f>19.4969 * CHOOSE(CONTROL!$C$22, $C$13, 100%, $E$13)</f>
        <v>19.4969</v>
      </c>
      <c r="J614" s="64">
        <f>11.5875 * CHOOSE(CONTROL!$C$22, $C$13, 100%, $E$13)</f>
        <v>11.5875</v>
      </c>
      <c r="K614" s="64">
        <f>11.5877 * CHOOSE(CONTROL!$C$22, $C$13, 100%, $E$13)</f>
        <v>11.5877</v>
      </c>
    </row>
    <row r="615" spans="1:11" ht="15">
      <c r="A615" s="13">
        <v>60358</v>
      </c>
      <c r="B615" s="63">
        <f>9.9431 * CHOOSE(CONTROL!$C$22, $C$13, 100%, $E$13)</f>
        <v>9.9430999999999994</v>
      </c>
      <c r="C615" s="63">
        <f>9.9431 * CHOOSE(CONTROL!$C$22, $C$13, 100%, $E$13)</f>
        <v>9.9430999999999994</v>
      </c>
      <c r="D615" s="63">
        <f>9.956 * CHOOSE(CONTROL!$C$22, $C$13, 100%, $E$13)</f>
        <v>9.9559999999999995</v>
      </c>
      <c r="E615" s="64">
        <f>11.6909 * CHOOSE(CONTROL!$C$22, $C$13, 100%, $E$13)</f>
        <v>11.690899999999999</v>
      </c>
      <c r="F615" s="64">
        <f>11.6909 * CHOOSE(CONTROL!$C$22, $C$13, 100%, $E$13)</f>
        <v>11.690899999999999</v>
      </c>
      <c r="G615" s="64">
        <f>11.691 * CHOOSE(CONTROL!$C$22, $C$13, 100%, $E$13)</f>
        <v>11.691000000000001</v>
      </c>
      <c r="H615" s="64">
        <f>19.5374* CHOOSE(CONTROL!$C$22, $C$13, 100%, $E$13)</f>
        <v>19.537400000000002</v>
      </c>
      <c r="I615" s="64">
        <f>19.5375 * CHOOSE(CONTROL!$C$22, $C$13, 100%, $E$13)</f>
        <v>19.537500000000001</v>
      </c>
      <c r="J615" s="64">
        <f>11.6909 * CHOOSE(CONTROL!$C$22, $C$13, 100%, $E$13)</f>
        <v>11.690899999999999</v>
      </c>
      <c r="K615" s="64">
        <f>11.691 * CHOOSE(CONTROL!$C$22, $C$13, 100%, $E$13)</f>
        <v>11.691000000000001</v>
      </c>
    </row>
    <row r="616" spans="1:11" ht="15">
      <c r="A616" s="13">
        <v>60388</v>
      </c>
      <c r="B616" s="63">
        <f>9.9431 * CHOOSE(CONTROL!$C$22, $C$13, 100%, $E$13)</f>
        <v>9.9430999999999994</v>
      </c>
      <c r="C616" s="63">
        <f>9.9431 * CHOOSE(CONTROL!$C$22, $C$13, 100%, $E$13)</f>
        <v>9.9430999999999994</v>
      </c>
      <c r="D616" s="63">
        <f>9.9688 * CHOOSE(CONTROL!$C$22, $C$13, 100%, $E$13)</f>
        <v>9.9687999999999999</v>
      </c>
      <c r="E616" s="64">
        <f>11.7312 * CHOOSE(CONTROL!$C$22, $C$13, 100%, $E$13)</f>
        <v>11.731199999999999</v>
      </c>
      <c r="F616" s="64">
        <f>11.7312 * CHOOSE(CONTROL!$C$22, $C$13, 100%, $E$13)</f>
        <v>11.731199999999999</v>
      </c>
      <c r="G616" s="64">
        <f>11.7328 * CHOOSE(CONTROL!$C$22, $C$13, 100%, $E$13)</f>
        <v>11.732799999999999</v>
      </c>
      <c r="H616" s="64">
        <f>19.5781* CHOOSE(CONTROL!$C$22, $C$13, 100%, $E$13)</f>
        <v>19.578099999999999</v>
      </c>
      <c r="I616" s="64">
        <f>19.5797 * CHOOSE(CONTROL!$C$22, $C$13, 100%, $E$13)</f>
        <v>19.579699999999999</v>
      </c>
      <c r="J616" s="64">
        <f>11.7312 * CHOOSE(CONTROL!$C$22, $C$13, 100%, $E$13)</f>
        <v>11.731199999999999</v>
      </c>
      <c r="K616" s="64">
        <f>11.7328 * CHOOSE(CONTROL!$C$22, $C$13, 100%, $E$13)</f>
        <v>11.732799999999999</v>
      </c>
    </row>
    <row r="617" spans="1:11" ht="15">
      <c r="A617" s="13">
        <v>60419</v>
      </c>
      <c r="B617" s="63">
        <f>9.9492 * CHOOSE(CONTROL!$C$22, $C$13, 100%, $E$13)</f>
        <v>9.9491999999999994</v>
      </c>
      <c r="C617" s="63">
        <f>9.9492 * CHOOSE(CONTROL!$C$22, $C$13, 100%, $E$13)</f>
        <v>9.9491999999999994</v>
      </c>
      <c r="D617" s="63">
        <f>9.9749 * CHOOSE(CONTROL!$C$22, $C$13, 100%, $E$13)</f>
        <v>9.9748999999999999</v>
      </c>
      <c r="E617" s="64">
        <f>11.6951 * CHOOSE(CONTROL!$C$22, $C$13, 100%, $E$13)</f>
        <v>11.6951</v>
      </c>
      <c r="F617" s="64">
        <f>11.6951 * CHOOSE(CONTROL!$C$22, $C$13, 100%, $E$13)</f>
        <v>11.6951</v>
      </c>
      <c r="G617" s="64">
        <f>11.6967 * CHOOSE(CONTROL!$C$22, $C$13, 100%, $E$13)</f>
        <v>11.6967</v>
      </c>
      <c r="H617" s="64">
        <f>19.6189* CHOOSE(CONTROL!$C$22, $C$13, 100%, $E$13)</f>
        <v>19.6189</v>
      </c>
      <c r="I617" s="64">
        <f>19.6205 * CHOOSE(CONTROL!$C$22, $C$13, 100%, $E$13)</f>
        <v>19.6205</v>
      </c>
      <c r="J617" s="64">
        <f>11.6951 * CHOOSE(CONTROL!$C$22, $C$13, 100%, $E$13)</f>
        <v>11.6951</v>
      </c>
      <c r="K617" s="64">
        <f>11.6967 * CHOOSE(CONTROL!$C$22, $C$13, 100%, $E$13)</f>
        <v>11.6967</v>
      </c>
    </row>
    <row r="618" spans="1:11" ht="15">
      <c r="A618" s="13">
        <v>60449</v>
      </c>
      <c r="B618" s="63">
        <f>10.1081 * CHOOSE(CONTROL!$C$22, $C$13, 100%, $E$13)</f>
        <v>10.1081</v>
      </c>
      <c r="C618" s="63">
        <f>10.1081 * CHOOSE(CONTROL!$C$22, $C$13, 100%, $E$13)</f>
        <v>10.1081</v>
      </c>
      <c r="D618" s="63">
        <f>10.1339 * CHOOSE(CONTROL!$C$22, $C$13, 100%, $E$13)</f>
        <v>10.133900000000001</v>
      </c>
      <c r="E618" s="64">
        <f>11.9208 * CHOOSE(CONTROL!$C$22, $C$13, 100%, $E$13)</f>
        <v>11.9208</v>
      </c>
      <c r="F618" s="64">
        <f>11.9208 * CHOOSE(CONTROL!$C$22, $C$13, 100%, $E$13)</f>
        <v>11.9208</v>
      </c>
      <c r="G618" s="64">
        <f>11.9224 * CHOOSE(CONTROL!$C$22, $C$13, 100%, $E$13)</f>
        <v>11.9224</v>
      </c>
      <c r="H618" s="64">
        <f>19.6597* CHOOSE(CONTROL!$C$22, $C$13, 100%, $E$13)</f>
        <v>19.659700000000001</v>
      </c>
      <c r="I618" s="64">
        <f>19.6614 * CHOOSE(CONTROL!$C$22, $C$13, 100%, $E$13)</f>
        <v>19.6614</v>
      </c>
      <c r="J618" s="64">
        <f>11.9208 * CHOOSE(CONTROL!$C$22, $C$13, 100%, $E$13)</f>
        <v>11.9208</v>
      </c>
      <c r="K618" s="64">
        <f>11.9224 * CHOOSE(CONTROL!$C$22, $C$13, 100%, $E$13)</f>
        <v>11.9224</v>
      </c>
    </row>
    <row r="619" spans="1:11" ht="15">
      <c r="A619" s="13">
        <v>60480</v>
      </c>
      <c r="B619" s="63">
        <f>10.1148 * CHOOSE(CONTROL!$C$22, $C$13, 100%, $E$13)</f>
        <v>10.114800000000001</v>
      </c>
      <c r="C619" s="63">
        <f>10.1148 * CHOOSE(CONTROL!$C$22, $C$13, 100%, $E$13)</f>
        <v>10.114800000000001</v>
      </c>
      <c r="D619" s="63">
        <f>10.1406 * CHOOSE(CONTROL!$C$22, $C$13, 100%, $E$13)</f>
        <v>10.140599999999999</v>
      </c>
      <c r="E619" s="64">
        <f>11.8045 * CHOOSE(CONTROL!$C$22, $C$13, 100%, $E$13)</f>
        <v>11.804500000000001</v>
      </c>
      <c r="F619" s="64">
        <f>11.8045 * CHOOSE(CONTROL!$C$22, $C$13, 100%, $E$13)</f>
        <v>11.804500000000001</v>
      </c>
      <c r="G619" s="64">
        <f>11.8061 * CHOOSE(CONTROL!$C$22, $C$13, 100%, $E$13)</f>
        <v>11.806100000000001</v>
      </c>
      <c r="H619" s="64">
        <f>19.7007* CHOOSE(CONTROL!$C$22, $C$13, 100%, $E$13)</f>
        <v>19.700700000000001</v>
      </c>
      <c r="I619" s="64">
        <f>19.7023 * CHOOSE(CONTROL!$C$22, $C$13, 100%, $E$13)</f>
        <v>19.702300000000001</v>
      </c>
      <c r="J619" s="64">
        <f>11.8045 * CHOOSE(CONTROL!$C$22, $C$13, 100%, $E$13)</f>
        <v>11.804500000000001</v>
      </c>
      <c r="K619" s="64">
        <f>11.8061 * CHOOSE(CONTROL!$C$22, $C$13, 100%, $E$13)</f>
        <v>11.806100000000001</v>
      </c>
    </row>
    <row r="620" spans="1:11" ht="15">
      <c r="A620" s="13">
        <v>60511</v>
      </c>
      <c r="B620" s="63">
        <f>10.1118 * CHOOSE(CONTROL!$C$22, $C$13, 100%, $E$13)</f>
        <v>10.111800000000001</v>
      </c>
      <c r="C620" s="63">
        <f>10.1118 * CHOOSE(CONTROL!$C$22, $C$13, 100%, $E$13)</f>
        <v>10.111800000000001</v>
      </c>
      <c r="D620" s="63">
        <f>10.1375 * CHOOSE(CONTROL!$C$22, $C$13, 100%, $E$13)</f>
        <v>10.137499999999999</v>
      </c>
      <c r="E620" s="64">
        <f>11.7889 * CHOOSE(CONTROL!$C$22, $C$13, 100%, $E$13)</f>
        <v>11.7889</v>
      </c>
      <c r="F620" s="64">
        <f>11.7889 * CHOOSE(CONTROL!$C$22, $C$13, 100%, $E$13)</f>
        <v>11.7889</v>
      </c>
      <c r="G620" s="64">
        <f>11.7905 * CHOOSE(CONTROL!$C$22, $C$13, 100%, $E$13)</f>
        <v>11.7905</v>
      </c>
      <c r="H620" s="64">
        <f>19.7417* CHOOSE(CONTROL!$C$22, $C$13, 100%, $E$13)</f>
        <v>19.741700000000002</v>
      </c>
      <c r="I620" s="64">
        <f>19.7434 * CHOOSE(CONTROL!$C$22, $C$13, 100%, $E$13)</f>
        <v>19.743400000000001</v>
      </c>
      <c r="J620" s="64">
        <f>11.7889 * CHOOSE(CONTROL!$C$22, $C$13, 100%, $E$13)</f>
        <v>11.7889</v>
      </c>
      <c r="K620" s="64">
        <f>11.7905 * CHOOSE(CONTROL!$C$22, $C$13, 100%, $E$13)</f>
        <v>11.7905</v>
      </c>
    </row>
    <row r="621" spans="1:11" ht="15">
      <c r="A621" s="13">
        <v>60541</v>
      </c>
      <c r="B621" s="63">
        <f>10.1272 * CHOOSE(CONTROL!$C$22, $C$13, 100%, $E$13)</f>
        <v>10.1272</v>
      </c>
      <c r="C621" s="63">
        <f>10.1272 * CHOOSE(CONTROL!$C$22, $C$13, 100%, $E$13)</f>
        <v>10.1272</v>
      </c>
      <c r="D621" s="63">
        <f>10.14 * CHOOSE(CONTROL!$C$22, $C$13, 100%, $E$13)</f>
        <v>10.14</v>
      </c>
      <c r="E621" s="64">
        <f>11.8293 * CHOOSE(CONTROL!$C$22, $C$13, 100%, $E$13)</f>
        <v>11.8293</v>
      </c>
      <c r="F621" s="64">
        <f>11.8293 * CHOOSE(CONTROL!$C$22, $C$13, 100%, $E$13)</f>
        <v>11.8293</v>
      </c>
      <c r="G621" s="64">
        <f>11.8294 * CHOOSE(CONTROL!$C$22, $C$13, 100%, $E$13)</f>
        <v>11.8294</v>
      </c>
      <c r="H621" s="64">
        <f>19.7829* CHOOSE(CONTROL!$C$22, $C$13, 100%, $E$13)</f>
        <v>19.782900000000001</v>
      </c>
      <c r="I621" s="64">
        <f>19.783 * CHOOSE(CONTROL!$C$22, $C$13, 100%, $E$13)</f>
        <v>19.783000000000001</v>
      </c>
      <c r="J621" s="64">
        <f>11.8293 * CHOOSE(CONTROL!$C$22, $C$13, 100%, $E$13)</f>
        <v>11.8293</v>
      </c>
      <c r="K621" s="64">
        <f>11.8294 * CHOOSE(CONTROL!$C$22, $C$13, 100%, $E$13)</f>
        <v>11.8294</v>
      </c>
    </row>
    <row r="622" spans="1:11" ht="15">
      <c r="A622" s="13">
        <v>60572</v>
      </c>
      <c r="B622" s="63">
        <f>10.1302 * CHOOSE(CONTROL!$C$22, $C$13, 100%, $E$13)</f>
        <v>10.1302</v>
      </c>
      <c r="C622" s="63">
        <f>10.1302 * CHOOSE(CONTROL!$C$22, $C$13, 100%, $E$13)</f>
        <v>10.1302</v>
      </c>
      <c r="D622" s="63">
        <f>10.1431 * CHOOSE(CONTROL!$C$22, $C$13, 100%, $E$13)</f>
        <v>10.1431</v>
      </c>
      <c r="E622" s="64">
        <f>11.8583 * CHOOSE(CONTROL!$C$22, $C$13, 100%, $E$13)</f>
        <v>11.8583</v>
      </c>
      <c r="F622" s="64">
        <f>11.8583 * CHOOSE(CONTROL!$C$22, $C$13, 100%, $E$13)</f>
        <v>11.8583</v>
      </c>
      <c r="G622" s="64">
        <f>11.8584 * CHOOSE(CONTROL!$C$22, $C$13, 100%, $E$13)</f>
        <v>11.8584</v>
      </c>
      <c r="H622" s="64">
        <f>19.8241* CHOOSE(CONTROL!$C$22, $C$13, 100%, $E$13)</f>
        <v>19.824100000000001</v>
      </c>
      <c r="I622" s="64">
        <f>19.8242 * CHOOSE(CONTROL!$C$22, $C$13, 100%, $E$13)</f>
        <v>19.824200000000001</v>
      </c>
      <c r="J622" s="64">
        <f>11.8583 * CHOOSE(CONTROL!$C$22, $C$13, 100%, $E$13)</f>
        <v>11.8583</v>
      </c>
      <c r="K622" s="64">
        <f>11.8584 * CHOOSE(CONTROL!$C$22, $C$13, 100%, $E$13)</f>
        <v>11.8584</v>
      </c>
    </row>
    <row r="623" spans="1:11" ht="15">
      <c r="A623" s="13">
        <v>60602</v>
      </c>
      <c r="B623" s="63">
        <f>10.1302 * CHOOSE(CONTROL!$C$22, $C$13, 100%, $E$13)</f>
        <v>10.1302</v>
      </c>
      <c r="C623" s="63">
        <f>10.1302 * CHOOSE(CONTROL!$C$22, $C$13, 100%, $E$13)</f>
        <v>10.1302</v>
      </c>
      <c r="D623" s="63">
        <f>10.1431 * CHOOSE(CONTROL!$C$22, $C$13, 100%, $E$13)</f>
        <v>10.1431</v>
      </c>
      <c r="E623" s="64">
        <f>11.791 * CHOOSE(CONTROL!$C$22, $C$13, 100%, $E$13)</f>
        <v>11.791</v>
      </c>
      <c r="F623" s="64">
        <f>11.791 * CHOOSE(CONTROL!$C$22, $C$13, 100%, $E$13)</f>
        <v>11.791</v>
      </c>
      <c r="G623" s="64">
        <f>11.7912 * CHOOSE(CONTROL!$C$22, $C$13, 100%, $E$13)</f>
        <v>11.7912</v>
      </c>
      <c r="H623" s="64">
        <f>19.8654* CHOOSE(CONTROL!$C$22, $C$13, 100%, $E$13)</f>
        <v>19.865400000000001</v>
      </c>
      <c r="I623" s="64">
        <f>19.8655 * CHOOSE(CONTROL!$C$22, $C$13, 100%, $E$13)</f>
        <v>19.865500000000001</v>
      </c>
      <c r="J623" s="64">
        <f>11.791 * CHOOSE(CONTROL!$C$22, $C$13, 100%, $E$13)</f>
        <v>11.791</v>
      </c>
      <c r="K623" s="64">
        <f>11.7912 * CHOOSE(CONTROL!$C$22, $C$13, 100%, $E$13)</f>
        <v>11.7912</v>
      </c>
    </row>
    <row r="624" spans="1:11" ht="15">
      <c r="A624" s="13">
        <v>60633</v>
      </c>
      <c r="B624" s="63">
        <f>10.1917 * CHOOSE(CONTROL!$C$22, $C$13, 100%, $E$13)</f>
        <v>10.191700000000001</v>
      </c>
      <c r="C624" s="63">
        <f>10.1917 * CHOOSE(CONTROL!$C$22, $C$13, 100%, $E$13)</f>
        <v>10.191700000000001</v>
      </c>
      <c r="D624" s="63">
        <f>10.2046 * CHOOSE(CONTROL!$C$22, $C$13, 100%, $E$13)</f>
        <v>10.204599999999999</v>
      </c>
      <c r="E624" s="64">
        <f>11.9111 * CHOOSE(CONTROL!$C$22, $C$13, 100%, $E$13)</f>
        <v>11.911099999999999</v>
      </c>
      <c r="F624" s="64">
        <f>11.9111 * CHOOSE(CONTROL!$C$22, $C$13, 100%, $E$13)</f>
        <v>11.911099999999999</v>
      </c>
      <c r="G624" s="64">
        <f>11.9113 * CHOOSE(CONTROL!$C$22, $C$13, 100%, $E$13)</f>
        <v>11.911300000000001</v>
      </c>
      <c r="H624" s="64">
        <f>19.8617* CHOOSE(CONTROL!$C$22, $C$13, 100%, $E$13)</f>
        <v>19.861699999999999</v>
      </c>
      <c r="I624" s="64">
        <f>19.8618 * CHOOSE(CONTROL!$C$22, $C$13, 100%, $E$13)</f>
        <v>19.861799999999999</v>
      </c>
      <c r="J624" s="64">
        <f>11.9111 * CHOOSE(CONTROL!$C$22, $C$13, 100%, $E$13)</f>
        <v>11.911099999999999</v>
      </c>
      <c r="K624" s="64">
        <f>11.9113 * CHOOSE(CONTROL!$C$22, $C$13, 100%, $E$13)</f>
        <v>11.911300000000001</v>
      </c>
    </row>
    <row r="625" spans="1:11" ht="15">
      <c r="A625" s="13">
        <v>60664</v>
      </c>
      <c r="B625" s="63">
        <f>10.1887 * CHOOSE(CONTROL!$C$22, $C$13, 100%, $E$13)</f>
        <v>10.188700000000001</v>
      </c>
      <c r="C625" s="63">
        <f>10.1887 * CHOOSE(CONTROL!$C$22, $C$13, 100%, $E$13)</f>
        <v>10.188700000000001</v>
      </c>
      <c r="D625" s="63">
        <f>10.2015 * CHOOSE(CONTROL!$C$22, $C$13, 100%, $E$13)</f>
        <v>10.201499999999999</v>
      </c>
      <c r="E625" s="64">
        <f>11.7787 * CHOOSE(CONTROL!$C$22, $C$13, 100%, $E$13)</f>
        <v>11.778700000000001</v>
      </c>
      <c r="F625" s="64">
        <f>11.7787 * CHOOSE(CONTROL!$C$22, $C$13, 100%, $E$13)</f>
        <v>11.778700000000001</v>
      </c>
      <c r="G625" s="64">
        <f>11.7789 * CHOOSE(CONTROL!$C$22, $C$13, 100%, $E$13)</f>
        <v>11.7789</v>
      </c>
      <c r="H625" s="64">
        <f>19.903* CHOOSE(CONTROL!$C$22, $C$13, 100%, $E$13)</f>
        <v>19.902999999999999</v>
      </c>
      <c r="I625" s="64">
        <f>19.9032 * CHOOSE(CONTROL!$C$22, $C$13, 100%, $E$13)</f>
        <v>19.903199999999998</v>
      </c>
      <c r="J625" s="64">
        <f>11.7787 * CHOOSE(CONTROL!$C$22, $C$13, 100%, $E$13)</f>
        <v>11.778700000000001</v>
      </c>
      <c r="K625" s="64">
        <f>11.7789 * CHOOSE(CONTROL!$C$22, $C$13, 100%, $E$13)</f>
        <v>11.7789</v>
      </c>
    </row>
    <row r="626" spans="1:11" ht="15">
      <c r="A626" s="13">
        <v>60692</v>
      </c>
      <c r="B626" s="63">
        <f>10.1856 * CHOOSE(CONTROL!$C$22, $C$13, 100%, $E$13)</f>
        <v>10.185600000000001</v>
      </c>
      <c r="C626" s="63">
        <f>10.1856 * CHOOSE(CONTROL!$C$22, $C$13, 100%, $E$13)</f>
        <v>10.185600000000001</v>
      </c>
      <c r="D626" s="63">
        <f>10.1985 * CHOOSE(CONTROL!$C$22, $C$13, 100%, $E$13)</f>
        <v>10.198499999999999</v>
      </c>
      <c r="E626" s="64">
        <f>11.8793 * CHOOSE(CONTROL!$C$22, $C$13, 100%, $E$13)</f>
        <v>11.879300000000001</v>
      </c>
      <c r="F626" s="64">
        <f>11.8793 * CHOOSE(CONTROL!$C$22, $C$13, 100%, $E$13)</f>
        <v>11.879300000000001</v>
      </c>
      <c r="G626" s="64">
        <f>11.8794 * CHOOSE(CONTROL!$C$22, $C$13, 100%, $E$13)</f>
        <v>11.8794</v>
      </c>
      <c r="H626" s="64">
        <f>19.9445* CHOOSE(CONTROL!$C$22, $C$13, 100%, $E$13)</f>
        <v>19.944500000000001</v>
      </c>
      <c r="I626" s="64">
        <f>19.9447 * CHOOSE(CONTROL!$C$22, $C$13, 100%, $E$13)</f>
        <v>19.944700000000001</v>
      </c>
      <c r="J626" s="64">
        <f>11.8793 * CHOOSE(CONTROL!$C$22, $C$13, 100%, $E$13)</f>
        <v>11.879300000000001</v>
      </c>
      <c r="K626" s="64">
        <f>11.8794 * CHOOSE(CONTROL!$C$22, $C$13, 100%, $E$13)</f>
        <v>11.8794</v>
      </c>
    </row>
    <row r="627" spans="1:11" ht="15">
      <c r="A627" s="13">
        <v>60723</v>
      </c>
      <c r="B627" s="63">
        <f>10.1886 * CHOOSE(CONTROL!$C$22, $C$13, 100%, $E$13)</f>
        <v>10.188599999999999</v>
      </c>
      <c r="C627" s="63">
        <f>10.1886 * CHOOSE(CONTROL!$C$22, $C$13, 100%, $E$13)</f>
        <v>10.188599999999999</v>
      </c>
      <c r="D627" s="63">
        <f>10.2015 * CHOOSE(CONTROL!$C$22, $C$13, 100%, $E$13)</f>
        <v>10.201499999999999</v>
      </c>
      <c r="E627" s="64">
        <f>11.9853 * CHOOSE(CONTROL!$C$22, $C$13, 100%, $E$13)</f>
        <v>11.985300000000001</v>
      </c>
      <c r="F627" s="64">
        <f>11.9853 * CHOOSE(CONTROL!$C$22, $C$13, 100%, $E$13)</f>
        <v>11.985300000000001</v>
      </c>
      <c r="G627" s="64">
        <f>11.9855 * CHOOSE(CONTROL!$C$22, $C$13, 100%, $E$13)</f>
        <v>11.9855</v>
      </c>
      <c r="H627" s="64">
        <f>19.986* CHOOSE(CONTROL!$C$22, $C$13, 100%, $E$13)</f>
        <v>19.986000000000001</v>
      </c>
      <c r="I627" s="64">
        <f>19.9862 * CHOOSE(CONTROL!$C$22, $C$13, 100%, $E$13)</f>
        <v>19.9862</v>
      </c>
      <c r="J627" s="64">
        <f>11.9853 * CHOOSE(CONTROL!$C$22, $C$13, 100%, $E$13)</f>
        <v>11.985300000000001</v>
      </c>
      <c r="K627" s="64">
        <f>11.9855 * CHOOSE(CONTROL!$C$22, $C$13, 100%, $E$13)</f>
        <v>11.9855</v>
      </c>
    </row>
    <row r="628" spans="1:11" ht="15">
      <c r="A628" s="13">
        <v>60753</v>
      </c>
      <c r="B628" s="63">
        <f>10.1886 * CHOOSE(CONTROL!$C$22, $C$13, 100%, $E$13)</f>
        <v>10.188599999999999</v>
      </c>
      <c r="C628" s="63">
        <f>10.1886 * CHOOSE(CONTROL!$C$22, $C$13, 100%, $E$13)</f>
        <v>10.188599999999999</v>
      </c>
      <c r="D628" s="63">
        <f>10.2144 * CHOOSE(CONTROL!$C$22, $C$13, 100%, $E$13)</f>
        <v>10.214399999999999</v>
      </c>
      <c r="E628" s="64">
        <f>12.0267 * CHOOSE(CONTROL!$C$22, $C$13, 100%, $E$13)</f>
        <v>12.0267</v>
      </c>
      <c r="F628" s="64">
        <f>12.0267 * CHOOSE(CONTROL!$C$22, $C$13, 100%, $E$13)</f>
        <v>12.0267</v>
      </c>
      <c r="G628" s="64">
        <f>12.0283 * CHOOSE(CONTROL!$C$22, $C$13, 100%, $E$13)</f>
        <v>12.0283</v>
      </c>
      <c r="H628" s="64">
        <f>20.0277* CHOOSE(CONTROL!$C$22, $C$13, 100%, $E$13)</f>
        <v>20.027699999999999</v>
      </c>
      <c r="I628" s="64">
        <f>20.0293 * CHOOSE(CONTROL!$C$22, $C$13, 100%, $E$13)</f>
        <v>20.029299999999999</v>
      </c>
      <c r="J628" s="64">
        <f>12.0267 * CHOOSE(CONTROL!$C$22, $C$13, 100%, $E$13)</f>
        <v>12.0267</v>
      </c>
      <c r="K628" s="64">
        <f>12.0283 * CHOOSE(CONTROL!$C$22, $C$13, 100%, $E$13)</f>
        <v>12.0283</v>
      </c>
    </row>
    <row r="629" spans="1:11" ht="15">
      <c r="A629" s="13">
        <v>60784</v>
      </c>
      <c r="B629" s="63">
        <f>10.1947 * CHOOSE(CONTROL!$C$22, $C$13, 100%, $E$13)</f>
        <v>10.194699999999999</v>
      </c>
      <c r="C629" s="63">
        <f>10.1947 * CHOOSE(CONTROL!$C$22, $C$13, 100%, $E$13)</f>
        <v>10.194699999999999</v>
      </c>
      <c r="D629" s="63">
        <f>10.2204 * CHOOSE(CONTROL!$C$22, $C$13, 100%, $E$13)</f>
        <v>10.2204</v>
      </c>
      <c r="E629" s="64">
        <f>11.9896 * CHOOSE(CONTROL!$C$22, $C$13, 100%, $E$13)</f>
        <v>11.989599999999999</v>
      </c>
      <c r="F629" s="64">
        <f>11.9896 * CHOOSE(CONTROL!$C$22, $C$13, 100%, $E$13)</f>
        <v>11.989599999999999</v>
      </c>
      <c r="G629" s="64">
        <f>11.9912 * CHOOSE(CONTROL!$C$22, $C$13, 100%, $E$13)</f>
        <v>11.991199999999999</v>
      </c>
      <c r="H629" s="64">
        <f>20.0694* CHOOSE(CONTROL!$C$22, $C$13, 100%, $E$13)</f>
        <v>20.069400000000002</v>
      </c>
      <c r="I629" s="64">
        <f>20.0711 * CHOOSE(CONTROL!$C$22, $C$13, 100%, $E$13)</f>
        <v>20.071100000000001</v>
      </c>
      <c r="J629" s="64">
        <f>11.9896 * CHOOSE(CONTROL!$C$22, $C$13, 100%, $E$13)</f>
        <v>11.989599999999999</v>
      </c>
      <c r="K629" s="64">
        <f>11.9912 * CHOOSE(CONTROL!$C$22, $C$13, 100%, $E$13)</f>
        <v>11.991199999999999</v>
      </c>
    </row>
    <row r="630" spans="1:11" ht="15">
      <c r="A630" s="13">
        <v>60814</v>
      </c>
      <c r="B630" s="63">
        <f>10.3574 * CHOOSE(CONTROL!$C$22, $C$13, 100%, $E$13)</f>
        <v>10.3574</v>
      </c>
      <c r="C630" s="63">
        <f>10.3574 * CHOOSE(CONTROL!$C$22, $C$13, 100%, $E$13)</f>
        <v>10.3574</v>
      </c>
      <c r="D630" s="63">
        <f>10.3831 * CHOOSE(CONTROL!$C$22, $C$13, 100%, $E$13)</f>
        <v>10.383100000000001</v>
      </c>
      <c r="E630" s="64">
        <f>12.2207 * CHOOSE(CONTROL!$C$22, $C$13, 100%, $E$13)</f>
        <v>12.220700000000001</v>
      </c>
      <c r="F630" s="64">
        <f>12.2207 * CHOOSE(CONTROL!$C$22, $C$13, 100%, $E$13)</f>
        <v>12.220700000000001</v>
      </c>
      <c r="G630" s="64">
        <f>12.2223 * CHOOSE(CONTROL!$C$22, $C$13, 100%, $E$13)</f>
        <v>12.222300000000001</v>
      </c>
      <c r="H630" s="64">
        <f>20.1112* CHOOSE(CONTROL!$C$22, $C$13, 100%, $E$13)</f>
        <v>20.1112</v>
      </c>
      <c r="I630" s="64">
        <f>20.1129 * CHOOSE(CONTROL!$C$22, $C$13, 100%, $E$13)</f>
        <v>20.1129</v>
      </c>
      <c r="J630" s="64">
        <f>12.2207 * CHOOSE(CONTROL!$C$22, $C$13, 100%, $E$13)</f>
        <v>12.220700000000001</v>
      </c>
      <c r="K630" s="64">
        <f>12.2223 * CHOOSE(CONTROL!$C$22, $C$13, 100%, $E$13)</f>
        <v>12.222300000000001</v>
      </c>
    </row>
    <row r="631" spans="1:11" ht="15">
      <c r="A631" s="13">
        <v>60845</v>
      </c>
      <c r="B631" s="63">
        <f>10.364 * CHOOSE(CONTROL!$C$22, $C$13, 100%, $E$13)</f>
        <v>10.364000000000001</v>
      </c>
      <c r="C631" s="63">
        <f>10.364 * CHOOSE(CONTROL!$C$22, $C$13, 100%, $E$13)</f>
        <v>10.364000000000001</v>
      </c>
      <c r="D631" s="63">
        <f>10.3898 * CHOOSE(CONTROL!$C$22, $C$13, 100%, $E$13)</f>
        <v>10.389799999999999</v>
      </c>
      <c r="E631" s="64">
        <f>12.1013 * CHOOSE(CONTROL!$C$22, $C$13, 100%, $E$13)</f>
        <v>12.1013</v>
      </c>
      <c r="F631" s="64">
        <f>12.1013 * CHOOSE(CONTROL!$C$22, $C$13, 100%, $E$13)</f>
        <v>12.1013</v>
      </c>
      <c r="G631" s="64">
        <f>12.1029 * CHOOSE(CONTROL!$C$22, $C$13, 100%, $E$13)</f>
        <v>12.1029</v>
      </c>
      <c r="H631" s="64">
        <f>20.1531* CHOOSE(CONTROL!$C$22, $C$13, 100%, $E$13)</f>
        <v>20.153099999999998</v>
      </c>
      <c r="I631" s="64">
        <f>20.1548 * CHOOSE(CONTROL!$C$22, $C$13, 100%, $E$13)</f>
        <v>20.154800000000002</v>
      </c>
      <c r="J631" s="64">
        <f>12.1013 * CHOOSE(CONTROL!$C$22, $C$13, 100%, $E$13)</f>
        <v>12.1013</v>
      </c>
      <c r="K631" s="64">
        <f>12.1029 * CHOOSE(CONTROL!$C$22, $C$13, 100%, $E$13)</f>
        <v>12.1029</v>
      </c>
    </row>
    <row r="632" spans="1:11" ht="15">
      <c r="A632" s="13">
        <v>60876</v>
      </c>
      <c r="B632" s="63">
        <f>10.361 * CHOOSE(CONTROL!$C$22, $C$13, 100%, $E$13)</f>
        <v>10.361000000000001</v>
      </c>
      <c r="C632" s="63">
        <f>10.361 * CHOOSE(CONTROL!$C$22, $C$13, 100%, $E$13)</f>
        <v>10.361000000000001</v>
      </c>
      <c r="D632" s="63">
        <f>10.3867 * CHOOSE(CONTROL!$C$22, $C$13, 100%, $E$13)</f>
        <v>10.386699999999999</v>
      </c>
      <c r="E632" s="64">
        <f>12.0854 * CHOOSE(CONTROL!$C$22, $C$13, 100%, $E$13)</f>
        <v>12.0854</v>
      </c>
      <c r="F632" s="64">
        <f>12.0854 * CHOOSE(CONTROL!$C$22, $C$13, 100%, $E$13)</f>
        <v>12.0854</v>
      </c>
      <c r="G632" s="64">
        <f>12.087 * CHOOSE(CONTROL!$C$22, $C$13, 100%, $E$13)</f>
        <v>12.087</v>
      </c>
      <c r="H632" s="64">
        <f>20.1951* CHOOSE(CONTROL!$C$22, $C$13, 100%, $E$13)</f>
        <v>20.1951</v>
      </c>
      <c r="I632" s="64">
        <f>20.1967 * CHOOSE(CONTROL!$C$22, $C$13, 100%, $E$13)</f>
        <v>20.1967</v>
      </c>
      <c r="J632" s="64">
        <f>12.0854 * CHOOSE(CONTROL!$C$22, $C$13, 100%, $E$13)</f>
        <v>12.0854</v>
      </c>
      <c r="K632" s="64">
        <f>12.087 * CHOOSE(CONTROL!$C$22, $C$13, 100%, $E$13)</f>
        <v>12.087</v>
      </c>
    </row>
    <row r="633" spans="1:11" ht="15">
      <c r="A633" s="13">
        <v>60906</v>
      </c>
      <c r="B633" s="63">
        <f>10.3772 * CHOOSE(CONTROL!$C$22, $C$13, 100%, $E$13)</f>
        <v>10.3772</v>
      </c>
      <c r="C633" s="63">
        <f>10.3772 * CHOOSE(CONTROL!$C$22, $C$13, 100%, $E$13)</f>
        <v>10.3772</v>
      </c>
      <c r="D633" s="63">
        <f>10.3901 * CHOOSE(CONTROL!$C$22, $C$13, 100%, $E$13)</f>
        <v>10.3901</v>
      </c>
      <c r="E633" s="64">
        <f>12.1271 * CHOOSE(CONTROL!$C$22, $C$13, 100%, $E$13)</f>
        <v>12.1271</v>
      </c>
      <c r="F633" s="64">
        <f>12.1271 * CHOOSE(CONTROL!$C$22, $C$13, 100%, $E$13)</f>
        <v>12.1271</v>
      </c>
      <c r="G633" s="64">
        <f>12.1273 * CHOOSE(CONTROL!$C$22, $C$13, 100%, $E$13)</f>
        <v>12.1273</v>
      </c>
      <c r="H633" s="64">
        <f>20.2372* CHOOSE(CONTROL!$C$22, $C$13, 100%, $E$13)</f>
        <v>20.237200000000001</v>
      </c>
      <c r="I633" s="64">
        <f>20.2374 * CHOOSE(CONTROL!$C$22, $C$13, 100%, $E$13)</f>
        <v>20.237400000000001</v>
      </c>
      <c r="J633" s="64">
        <f>12.1271 * CHOOSE(CONTROL!$C$22, $C$13, 100%, $E$13)</f>
        <v>12.1271</v>
      </c>
      <c r="K633" s="64">
        <f>12.1273 * CHOOSE(CONTROL!$C$22, $C$13, 100%, $E$13)</f>
        <v>12.1273</v>
      </c>
    </row>
    <row r="634" spans="1:11" ht="15">
      <c r="A634" s="13">
        <v>60937</v>
      </c>
      <c r="B634" s="63">
        <f>10.3802 * CHOOSE(CONTROL!$C$22, $C$13, 100%, $E$13)</f>
        <v>10.3802</v>
      </c>
      <c r="C634" s="63">
        <f>10.3802 * CHOOSE(CONTROL!$C$22, $C$13, 100%, $E$13)</f>
        <v>10.3802</v>
      </c>
      <c r="D634" s="63">
        <f>10.3931 * CHOOSE(CONTROL!$C$22, $C$13, 100%, $E$13)</f>
        <v>10.3931</v>
      </c>
      <c r="E634" s="64">
        <f>12.1568 * CHOOSE(CONTROL!$C$22, $C$13, 100%, $E$13)</f>
        <v>12.1568</v>
      </c>
      <c r="F634" s="64">
        <f>12.1568 * CHOOSE(CONTROL!$C$22, $C$13, 100%, $E$13)</f>
        <v>12.1568</v>
      </c>
      <c r="G634" s="64">
        <f>12.157 * CHOOSE(CONTROL!$C$22, $C$13, 100%, $E$13)</f>
        <v>12.157</v>
      </c>
      <c r="H634" s="64">
        <f>20.2793* CHOOSE(CONTROL!$C$22, $C$13, 100%, $E$13)</f>
        <v>20.279299999999999</v>
      </c>
      <c r="I634" s="64">
        <f>20.2795 * CHOOSE(CONTROL!$C$22, $C$13, 100%, $E$13)</f>
        <v>20.279499999999999</v>
      </c>
      <c r="J634" s="64">
        <f>12.1568 * CHOOSE(CONTROL!$C$22, $C$13, 100%, $E$13)</f>
        <v>12.1568</v>
      </c>
      <c r="K634" s="64">
        <f>12.157 * CHOOSE(CONTROL!$C$22, $C$13, 100%, $E$13)</f>
        <v>12.157</v>
      </c>
    </row>
    <row r="635" spans="1:11" ht="15">
      <c r="A635" s="13">
        <v>60967</v>
      </c>
      <c r="B635" s="63">
        <f>10.3802 * CHOOSE(CONTROL!$C$22, $C$13, 100%, $E$13)</f>
        <v>10.3802</v>
      </c>
      <c r="C635" s="63">
        <f>10.3802 * CHOOSE(CONTROL!$C$22, $C$13, 100%, $E$13)</f>
        <v>10.3802</v>
      </c>
      <c r="D635" s="63">
        <f>10.3931 * CHOOSE(CONTROL!$C$22, $C$13, 100%, $E$13)</f>
        <v>10.3931</v>
      </c>
      <c r="E635" s="64">
        <f>12.0879 * CHOOSE(CONTROL!$C$22, $C$13, 100%, $E$13)</f>
        <v>12.087899999999999</v>
      </c>
      <c r="F635" s="64">
        <f>12.0879 * CHOOSE(CONTROL!$C$22, $C$13, 100%, $E$13)</f>
        <v>12.087899999999999</v>
      </c>
      <c r="G635" s="64">
        <f>12.088 * CHOOSE(CONTROL!$C$22, $C$13, 100%, $E$13)</f>
        <v>12.087999999999999</v>
      </c>
      <c r="H635" s="64">
        <f>20.3216* CHOOSE(CONTROL!$C$22, $C$13, 100%, $E$13)</f>
        <v>20.3216</v>
      </c>
      <c r="I635" s="64">
        <f>20.3218 * CHOOSE(CONTROL!$C$22, $C$13, 100%, $E$13)</f>
        <v>20.3218</v>
      </c>
      <c r="J635" s="64">
        <f>12.0879 * CHOOSE(CONTROL!$C$22, $C$13, 100%, $E$13)</f>
        <v>12.087899999999999</v>
      </c>
      <c r="K635" s="64">
        <f>12.088 * CHOOSE(CONTROL!$C$22, $C$13, 100%, $E$13)</f>
        <v>12.087999999999999</v>
      </c>
    </row>
    <row r="636" spans="1:11" ht="15">
      <c r="A636" s="13">
        <v>60998</v>
      </c>
      <c r="B636" s="63">
        <f>10.437 * CHOOSE(CONTROL!$C$22, $C$13, 100%, $E$13)</f>
        <v>10.436999999999999</v>
      </c>
      <c r="C636" s="63">
        <f>10.437 * CHOOSE(CONTROL!$C$22, $C$13, 100%, $E$13)</f>
        <v>10.436999999999999</v>
      </c>
      <c r="D636" s="63">
        <f>10.4499 * CHOOSE(CONTROL!$C$22, $C$13, 100%, $E$13)</f>
        <v>10.4499</v>
      </c>
      <c r="E636" s="64">
        <f>12.2035 * CHOOSE(CONTROL!$C$22, $C$13, 100%, $E$13)</f>
        <v>12.2035</v>
      </c>
      <c r="F636" s="64">
        <f>12.2035 * CHOOSE(CONTROL!$C$22, $C$13, 100%, $E$13)</f>
        <v>12.2035</v>
      </c>
      <c r="G636" s="64">
        <f>12.2037 * CHOOSE(CONTROL!$C$22, $C$13, 100%, $E$13)</f>
        <v>12.2037</v>
      </c>
      <c r="H636" s="64">
        <f>20.3075* CHOOSE(CONTROL!$C$22, $C$13, 100%, $E$13)</f>
        <v>20.307500000000001</v>
      </c>
      <c r="I636" s="64">
        <f>20.3077 * CHOOSE(CONTROL!$C$22, $C$13, 100%, $E$13)</f>
        <v>20.307700000000001</v>
      </c>
      <c r="J636" s="64">
        <f>12.2035 * CHOOSE(CONTROL!$C$22, $C$13, 100%, $E$13)</f>
        <v>12.2035</v>
      </c>
      <c r="K636" s="64">
        <f>12.2037 * CHOOSE(CONTROL!$C$22, $C$13, 100%, $E$13)</f>
        <v>12.2037</v>
      </c>
    </row>
    <row r="637" spans="1:11" ht="15">
      <c r="A637" s="13">
        <v>61029</v>
      </c>
      <c r="B637" s="63">
        <f>10.434 * CHOOSE(CONTROL!$C$22, $C$13, 100%, $E$13)</f>
        <v>10.433999999999999</v>
      </c>
      <c r="C637" s="63">
        <f>10.434 * CHOOSE(CONTROL!$C$22, $C$13, 100%, $E$13)</f>
        <v>10.433999999999999</v>
      </c>
      <c r="D637" s="63">
        <f>10.4469 * CHOOSE(CONTROL!$C$22, $C$13, 100%, $E$13)</f>
        <v>10.446899999999999</v>
      </c>
      <c r="E637" s="64">
        <f>12.0679 * CHOOSE(CONTROL!$C$22, $C$13, 100%, $E$13)</f>
        <v>12.0679</v>
      </c>
      <c r="F637" s="64">
        <f>12.0679 * CHOOSE(CONTROL!$C$22, $C$13, 100%, $E$13)</f>
        <v>12.0679</v>
      </c>
      <c r="G637" s="64">
        <f>12.0681 * CHOOSE(CONTROL!$C$22, $C$13, 100%, $E$13)</f>
        <v>12.068099999999999</v>
      </c>
      <c r="H637" s="64">
        <f>20.3499* CHOOSE(CONTROL!$C$22, $C$13, 100%, $E$13)</f>
        <v>20.349900000000002</v>
      </c>
      <c r="I637" s="64">
        <f>20.35 * CHOOSE(CONTROL!$C$22, $C$13, 100%, $E$13)</f>
        <v>20.350000000000001</v>
      </c>
      <c r="J637" s="64">
        <f>12.0679 * CHOOSE(CONTROL!$C$22, $C$13, 100%, $E$13)</f>
        <v>12.0679</v>
      </c>
      <c r="K637" s="64">
        <f>12.0681 * CHOOSE(CONTROL!$C$22, $C$13, 100%, $E$13)</f>
        <v>12.068099999999999</v>
      </c>
    </row>
    <row r="638" spans="1:11" ht="15">
      <c r="A638" s="13">
        <v>61057</v>
      </c>
      <c r="B638" s="63">
        <f>10.4309 * CHOOSE(CONTROL!$C$22, $C$13, 100%, $E$13)</f>
        <v>10.430899999999999</v>
      </c>
      <c r="C638" s="63">
        <f>10.4309 * CHOOSE(CONTROL!$C$22, $C$13, 100%, $E$13)</f>
        <v>10.430899999999999</v>
      </c>
      <c r="D638" s="63">
        <f>10.4438 * CHOOSE(CONTROL!$C$22, $C$13, 100%, $E$13)</f>
        <v>10.4438</v>
      </c>
      <c r="E638" s="64">
        <f>12.171 * CHOOSE(CONTROL!$C$22, $C$13, 100%, $E$13)</f>
        <v>12.170999999999999</v>
      </c>
      <c r="F638" s="64">
        <f>12.171 * CHOOSE(CONTROL!$C$22, $C$13, 100%, $E$13)</f>
        <v>12.170999999999999</v>
      </c>
      <c r="G638" s="64">
        <f>12.1712 * CHOOSE(CONTROL!$C$22, $C$13, 100%, $E$13)</f>
        <v>12.171200000000001</v>
      </c>
      <c r="H638" s="64">
        <f>20.3922* CHOOSE(CONTROL!$C$22, $C$13, 100%, $E$13)</f>
        <v>20.392199999999999</v>
      </c>
      <c r="I638" s="64">
        <f>20.3924 * CHOOSE(CONTROL!$C$22, $C$13, 100%, $E$13)</f>
        <v>20.392399999999999</v>
      </c>
      <c r="J638" s="64">
        <f>12.171 * CHOOSE(CONTROL!$C$22, $C$13, 100%, $E$13)</f>
        <v>12.170999999999999</v>
      </c>
      <c r="K638" s="64">
        <f>12.1712 * CHOOSE(CONTROL!$C$22, $C$13, 100%, $E$13)</f>
        <v>12.171200000000001</v>
      </c>
    </row>
    <row r="639" spans="1:11" ht="15">
      <c r="A639" s="13">
        <v>61088</v>
      </c>
      <c r="B639" s="63">
        <f>10.4341 * CHOOSE(CONTROL!$C$22, $C$13, 100%, $E$13)</f>
        <v>10.434100000000001</v>
      </c>
      <c r="C639" s="63">
        <f>10.4341 * CHOOSE(CONTROL!$C$22, $C$13, 100%, $E$13)</f>
        <v>10.434100000000001</v>
      </c>
      <c r="D639" s="63">
        <f>10.447 * CHOOSE(CONTROL!$C$22, $C$13, 100%, $E$13)</f>
        <v>10.446999999999999</v>
      </c>
      <c r="E639" s="64">
        <f>12.2798 * CHOOSE(CONTROL!$C$22, $C$13, 100%, $E$13)</f>
        <v>12.2798</v>
      </c>
      <c r="F639" s="64">
        <f>12.2798 * CHOOSE(CONTROL!$C$22, $C$13, 100%, $E$13)</f>
        <v>12.2798</v>
      </c>
      <c r="G639" s="64">
        <f>12.2799 * CHOOSE(CONTROL!$C$22, $C$13, 100%, $E$13)</f>
        <v>12.2799</v>
      </c>
      <c r="H639" s="64">
        <f>20.4347* CHOOSE(CONTROL!$C$22, $C$13, 100%, $E$13)</f>
        <v>20.434699999999999</v>
      </c>
      <c r="I639" s="64">
        <f>20.4349 * CHOOSE(CONTROL!$C$22, $C$13, 100%, $E$13)</f>
        <v>20.434899999999999</v>
      </c>
      <c r="J639" s="64">
        <f>12.2798 * CHOOSE(CONTROL!$C$22, $C$13, 100%, $E$13)</f>
        <v>12.2798</v>
      </c>
      <c r="K639" s="64">
        <f>12.2799 * CHOOSE(CONTROL!$C$22, $C$13, 100%, $E$13)</f>
        <v>12.2799</v>
      </c>
    </row>
    <row r="640" spans="1:11" ht="15">
      <c r="A640" s="13">
        <v>61118</v>
      </c>
      <c r="B640" s="63">
        <f>10.4341 * CHOOSE(CONTROL!$C$22, $C$13, 100%, $E$13)</f>
        <v>10.434100000000001</v>
      </c>
      <c r="C640" s="63">
        <f>10.4341 * CHOOSE(CONTROL!$C$22, $C$13, 100%, $E$13)</f>
        <v>10.434100000000001</v>
      </c>
      <c r="D640" s="63">
        <f>10.4599 * CHOOSE(CONTROL!$C$22, $C$13, 100%, $E$13)</f>
        <v>10.459899999999999</v>
      </c>
      <c r="E640" s="64">
        <f>12.3221 * CHOOSE(CONTROL!$C$22, $C$13, 100%, $E$13)</f>
        <v>12.322100000000001</v>
      </c>
      <c r="F640" s="64">
        <f>12.3221 * CHOOSE(CONTROL!$C$22, $C$13, 100%, $E$13)</f>
        <v>12.322100000000001</v>
      </c>
      <c r="G640" s="64">
        <f>12.3238 * CHOOSE(CONTROL!$C$22, $C$13, 100%, $E$13)</f>
        <v>12.3238</v>
      </c>
      <c r="H640" s="64">
        <f>20.4773* CHOOSE(CONTROL!$C$22, $C$13, 100%, $E$13)</f>
        <v>20.4773</v>
      </c>
      <c r="I640" s="64">
        <f>20.4789 * CHOOSE(CONTROL!$C$22, $C$13, 100%, $E$13)</f>
        <v>20.478899999999999</v>
      </c>
      <c r="J640" s="64">
        <f>12.3221 * CHOOSE(CONTROL!$C$22, $C$13, 100%, $E$13)</f>
        <v>12.322100000000001</v>
      </c>
      <c r="K640" s="64">
        <f>12.3238 * CHOOSE(CONTROL!$C$22, $C$13, 100%, $E$13)</f>
        <v>12.3238</v>
      </c>
    </row>
    <row r="641" spans="1:11" ht="15">
      <c r="A641" s="13">
        <v>61149</v>
      </c>
      <c r="B641" s="63">
        <f>10.4402 * CHOOSE(CONTROL!$C$22, $C$13, 100%, $E$13)</f>
        <v>10.440200000000001</v>
      </c>
      <c r="C641" s="63">
        <f>10.4402 * CHOOSE(CONTROL!$C$22, $C$13, 100%, $E$13)</f>
        <v>10.440200000000001</v>
      </c>
      <c r="D641" s="63">
        <f>10.466 * CHOOSE(CONTROL!$C$22, $C$13, 100%, $E$13)</f>
        <v>10.465999999999999</v>
      </c>
      <c r="E641" s="64">
        <f>12.284 * CHOOSE(CONTROL!$C$22, $C$13, 100%, $E$13)</f>
        <v>12.284000000000001</v>
      </c>
      <c r="F641" s="64">
        <f>12.284 * CHOOSE(CONTROL!$C$22, $C$13, 100%, $E$13)</f>
        <v>12.284000000000001</v>
      </c>
      <c r="G641" s="64">
        <f>12.2856 * CHOOSE(CONTROL!$C$22, $C$13, 100%, $E$13)</f>
        <v>12.285600000000001</v>
      </c>
      <c r="H641" s="64">
        <f>20.52* CHOOSE(CONTROL!$C$22, $C$13, 100%, $E$13)</f>
        <v>20.52</v>
      </c>
      <c r="I641" s="64">
        <f>20.5216 * CHOOSE(CONTROL!$C$22, $C$13, 100%, $E$13)</f>
        <v>20.521599999999999</v>
      </c>
      <c r="J641" s="64">
        <f>12.284 * CHOOSE(CONTROL!$C$22, $C$13, 100%, $E$13)</f>
        <v>12.284000000000001</v>
      </c>
      <c r="K641" s="64">
        <f>12.2856 * CHOOSE(CONTROL!$C$22, $C$13, 100%, $E$13)</f>
        <v>12.285600000000001</v>
      </c>
    </row>
    <row r="642" spans="1:11" ht="15">
      <c r="A642" s="13">
        <v>61179</v>
      </c>
      <c r="B642" s="63">
        <f>10.6066 * CHOOSE(CONTROL!$C$22, $C$13, 100%, $E$13)</f>
        <v>10.6066</v>
      </c>
      <c r="C642" s="63">
        <f>10.6066 * CHOOSE(CONTROL!$C$22, $C$13, 100%, $E$13)</f>
        <v>10.6066</v>
      </c>
      <c r="D642" s="63">
        <f>10.6323 * CHOOSE(CONTROL!$C$22, $C$13, 100%, $E$13)</f>
        <v>10.632300000000001</v>
      </c>
      <c r="E642" s="64">
        <f>12.5206 * CHOOSE(CONTROL!$C$22, $C$13, 100%, $E$13)</f>
        <v>12.5206</v>
      </c>
      <c r="F642" s="64">
        <f>12.5206 * CHOOSE(CONTROL!$C$22, $C$13, 100%, $E$13)</f>
        <v>12.5206</v>
      </c>
      <c r="G642" s="64">
        <f>12.5222 * CHOOSE(CONTROL!$C$22, $C$13, 100%, $E$13)</f>
        <v>12.5222</v>
      </c>
      <c r="H642" s="64">
        <f>20.5627* CHOOSE(CONTROL!$C$22, $C$13, 100%, $E$13)</f>
        <v>20.5627</v>
      </c>
      <c r="I642" s="64">
        <f>20.5644 * CHOOSE(CONTROL!$C$22, $C$13, 100%, $E$13)</f>
        <v>20.564399999999999</v>
      </c>
      <c r="J642" s="64">
        <f>12.5206 * CHOOSE(CONTROL!$C$22, $C$13, 100%, $E$13)</f>
        <v>12.5206</v>
      </c>
      <c r="K642" s="64">
        <f>12.5222 * CHOOSE(CONTROL!$C$22, $C$13, 100%, $E$13)</f>
        <v>12.5222</v>
      </c>
    </row>
    <row r="643" spans="1:11" ht="15">
      <c r="A643" s="13">
        <v>61210</v>
      </c>
      <c r="B643" s="63">
        <f>10.6133 * CHOOSE(CONTROL!$C$22, $C$13, 100%, $E$13)</f>
        <v>10.613300000000001</v>
      </c>
      <c r="C643" s="63">
        <f>10.6133 * CHOOSE(CONTROL!$C$22, $C$13, 100%, $E$13)</f>
        <v>10.613300000000001</v>
      </c>
      <c r="D643" s="63">
        <f>10.639 * CHOOSE(CONTROL!$C$22, $C$13, 100%, $E$13)</f>
        <v>10.638999999999999</v>
      </c>
      <c r="E643" s="64">
        <f>12.3981 * CHOOSE(CONTROL!$C$22, $C$13, 100%, $E$13)</f>
        <v>12.398099999999999</v>
      </c>
      <c r="F643" s="64">
        <f>12.3981 * CHOOSE(CONTROL!$C$22, $C$13, 100%, $E$13)</f>
        <v>12.398099999999999</v>
      </c>
      <c r="G643" s="64">
        <f>12.3998 * CHOOSE(CONTROL!$C$22, $C$13, 100%, $E$13)</f>
        <v>12.399800000000001</v>
      </c>
      <c r="H643" s="64">
        <f>20.6056* CHOOSE(CONTROL!$C$22, $C$13, 100%, $E$13)</f>
        <v>20.605599999999999</v>
      </c>
      <c r="I643" s="64">
        <f>20.6072 * CHOOSE(CONTROL!$C$22, $C$13, 100%, $E$13)</f>
        <v>20.607199999999999</v>
      </c>
      <c r="J643" s="64">
        <f>12.3981 * CHOOSE(CONTROL!$C$22, $C$13, 100%, $E$13)</f>
        <v>12.398099999999999</v>
      </c>
      <c r="K643" s="64">
        <f>12.3998 * CHOOSE(CONTROL!$C$22, $C$13, 100%, $E$13)</f>
        <v>12.399800000000001</v>
      </c>
    </row>
    <row r="644" spans="1:11" ht="15">
      <c r="A644" s="13">
        <v>61241</v>
      </c>
      <c r="B644" s="63">
        <f>10.6102 * CHOOSE(CONTROL!$C$22, $C$13, 100%, $E$13)</f>
        <v>10.610200000000001</v>
      </c>
      <c r="C644" s="63">
        <f>10.6102 * CHOOSE(CONTROL!$C$22, $C$13, 100%, $E$13)</f>
        <v>10.610200000000001</v>
      </c>
      <c r="D644" s="63">
        <f>10.636 * CHOOSE(CONTROL!$C$22, $C$13, 100%, $E$13)</f>
        <v>10.635999999999999</v>
      </c>
      <c r="E644" s="64">
        <f>12.3819 * CHOOSE(CONTROL!$C$22, $C$13, 100%, $E$13)</f>
        <v>12.3819</v>
      </c>
      <c r="F644" s="64">
        <f>12.3819 * CHOOSE(CONTROL!$C$22, $C$13, 100%, $E$13)</f>
        <v>12.3819</v>
      </c>
      <c r="G644" s="64">
        <f>12.3835 * CHOOSE(CONTROL!$C$22, $C$13, 100%, $E$13)</f>
        <v>12.3835</v>
      </c>
      <c r="H644" s="64">
        <f>20.6485* CHOOSE(CONTROL!$C$22, $C$13, 100%, $E$13)</f>
        <v>20.648499999999999</v>
      </c>
      <c r="I644" s="64">
        <f>20.6501 * CHOOSE(CONTROL!$C$22, $C$13, 100%, $E$13)</f>
        <v>20.650099999999998</v>
      </c>
      <c r="J644" s="64">
        <f>12.3819 * CHOOSE(CONTROL!$C$22, $C$13, 100%, $E$13)</f>
        <v>12.3819</v>
      </c>
      <c r="K644" s="64">
        <f>12.3835 * CHOOSE(CONTROL!$C$22, $C$13, 100%, $E$13)</f>
        <v>12.3835</v>
      </c>
    </row>
    <row r="645" spans="1:11" ht="15">
      <c r="A645" s="13">
        <v>61271</v>
      </c>
      <c r="B645" s="63">
        <f>10.6272 * CHOOSE(CONTROL!$C$22, $C$13, 100%, $E$13)</f>
        <v>10.6272</v>
      </c>
      <c r="C645" s="63">
        <f>10.6272 * CHOOSE(CONTROL!$C$22, $C$13, 100%, $E$13)</f>
        <v>10.6272</v>
      </c>
      <c r="D645" s="63">
        <f>10.6401 * CHOOSE(CONTROL!$C$22, $C$13, 100%, $E$13)</f>
        <v>10.6401</v>
      </c>
      <c r="E645" s="64">
        <f>12.425 * CHOOSE(CONTROL!$C$22, $C$13, 100%, $E$13)</f>
        <v>12.425000000000001</v>
      </c>
      <c r="F645" s="64">
        <f>12.425 * CHOOSE(CONTROL!$C$22, $C$13, 100%, $E$13)</f>
        <v>12.425000000000001</v>
      </c>
      <c r="G645" s="64">
        <f>12.4251 * CHOOSE(CONTROL!$C$22, $C$13, 100%, $E$13)</f>
        <v>12.4251</v>
      </c>
      <c r="H645" s="64">
        <f>20.6915* CHOOSE(CONTROL!$C$22, $C$13, 100%, $E$13)</f>
        <v>20.691500000000001</v>
      </c>
      <c r="I645" s="64">
        <f>20.6917 * CHOOSE(CONTROL!$C$22, $C$13, 100%, $E$13)</f>
        <v>20.691700000000001</v>
      </c>
      <c r="J645" s="64">
        <f>12.425 * CHOOSE(CONTROL!$C$22, $C$13, 100%, $E$13)</f>
        <v>12.425000000000001</v>
      </c>
      <c r="K645" s="64">
        <f>12.4251 * CHOOSE(CONTROL!$C$22, $C$13, 100%, $E$13)</f>
        <v>12.4251</v>
      </c>
    </row>
    <row r="646" spans="1:11" ht="15">
      <c r="A646" s="13">
        <v>61302</v>
      </c>
      <c r="B646" s="63">
        <f>10.6302 * CHOOSE(CONTROL!$C$22, $C$13, 100%, $E$13)</f>
        <v>10.6302</v>
      </c>
      <c r="C646" s="63">
        <f>10.6302 * CHOOSE(CONTROL!$C$22, $C$13, 100%, $E$13)</f>
        <v>10.6302</v>
      </c>
      <c r="D646" s="63">
        <f>10.6431 * CHOOSE(CONTROL!$C$22, $C$13, 100%, $E$13)</f>
        <v>10.6431</v>
      </c>
      <c r="E646" s="64">
        <f>12.4553 * CHOOSE(CONTROL!$C$22, $C$13, 100%, $E$13)</f>
        <v>12.455299999999999</v>
      </c>
      <c r="F646" s="64">
        <f>12.4553 * CHOOSE(CONTROL!$C$22, $C$13, 100%, $E$13)</f>
        <v>12.455299999999999</v>
      </c>
      <c r="G646" s="64">
        <f>12.4555 * CHOOSE(CONTROL!$C$22, $C$13, 100%, $E$13)</f>
        <v>12.455500000000001</v>
      </c>
      <c r="H646" s="64">
        <f>20.7346* CHOOSE(CONTROL!$C$22, $C$13, 100%, $E$13)</f>
        <v>20.7346</v>
      </c>
      <c r="I646" s="64">
        <f>20.7348 * CHOOSE(CONTROL!$C$22, $C$13, 100%, $E$13)</f>
        <v>20.7348</v>
      </c>
      <c r="J646" s="64">
        <f>12.4553 * CHOOSE(CONTROL!$C$22, $C$13, 100%, $E$13)</f>
        <v>12.455299999999999</v>
      </c>
      <c r="K646" s="64">
        <f>12.4555 * CHOOSE(CONTROL!$C$22, $C$13, 100%, $E$13)</f>
        <v>12.455500000000001</v>
      </c>
    </row>
    <row r="647" spans="1:11" ht="15">
      <c r="A647" s="13">
        <v>61332</v>
      </c>
      <c r="B647" s="63">
        <f>10.6302 * CHOOSE(CONTROL!$C$22, $C$13, 100%, $E$13)</f>
        <v>10.6302</v>
      </c>
      <c r="C647" s="63">
        <f>10.6302 * CHOOSE(CONTROL!$C$22, $C$13, 100%, $E$13)</f>
        <v>10.6302</v>
      </c>
      <c r="D647" s="63">
        <f>10.6431 * CHOOSE(CONTROL!$C$22, $C$13, 100%, $E$13)</f>
        <v>10.6431</v>
      </c>
      <c r="E647" s="64">
        <f>12.3847 * CHOOSE(CONTROL!$C$22, $C$13, 100%, $E$13)</f>
        <v>12.3847</v>
      </c>
      <c r="F647" s="64">
        <f>12.3847 * CHOOSE(CONTROL!$C$22, $C$13, 100%, $E$13)</f>
        <v>12.3847</v>
      </c>
      <c r="G647" s="64">
        <f>12.3849 * CHOOSE(CONTROL!$C$22, $C$13, 100%, $E$13)</f>
        <v>12.3849</v>
      </c>
      <c r="H647" s="64">
        <f>20.7778* CHOOSE(CONTROL!$C$22, $C$13, 100%, $E$13)</f>
        <v>20.777799999999999</v>
      </c>
      <c r="I647" s="64">
        <f>20.778 * CHOOSE(CONTROL!$C$22, $C$13, 100%, $E$13)</f>
        <v>20.777999999999999</v>
      </c>
      <c r="J647" s="64">
        <f>12.3847 * CHOOSE(CONTROL!$C$22, $C$13, 100%, $E$13)</f>
        <v>12.3847</v>
      </c>
      <c r="K647" s="64">
        <f>12.3849 * CHOOSE(CONTROL!$C$22, $C$13, 100%, $E$13)</f>
        <v>12.3849</v>
      </c>
    </row>
    <row r="648" spans="1:11" ht="15">
      <c r="A648" s="13">
        <v>61363</v>
      </c>
      <c r="B648" s="63">
        <f>10.6823 * CHOOSE(CONTROL!$C$22, $C$13, 100%, $E$13)</f>
        <v>10.6823</v>
      </c>
      <c r="C648" s="63">
        <f>10.6823 * CHOOSE(CONTROL!$C$22, $C$13, 100%, $E$13)</f>
        <v>10.6823</v>
      </c>
      <c r="D648" s="63">
        <f>10.6952 * CHOOSE(CONTROL!$C$22, $C$13, 100%, $E$13)</f>
        <v>10.6952</v>
      </c>
      <c r="E648" s="64">
        <f>12.4959 * CHOOSE(CONTROL!$C$22, $C$13, 100%, $E$13)</f>
        <v>12.495900000000001</v>
      </c>
      <c r="F648" s="64">
        <f>12.4959 * CHOOSE(CONTROL!$C$22, $C$13, 100%, $E$13)</f>
        <v>12.495900000000001</v>
      </c>
      <c r="G648" s="64">
        <f>12.4961 * CHOOSE(CONTROL!$C$22, $C$13, 100%, $E$13)</f>
        <v>12.4961</v>
      </c>
      <c r="H648" s="64">
        <f>20.7534* CHOOSE(CONTROL!$C$22, $C$13, 100%, $E$13)</f>
        <v>20.753399999999999</v>
      </c>
      <c r="I648" s="64">
        <f>20.7536 * CHOOSE(CONTROL!$C$22, $C$13, 100%, $E$13)</f>
        <v>20.753599999999999</v>
      </c>
      <c r="J648" s="64">
        <f>12.4959 * CHOOSE(CONTROL!$C$22, $C$13, 100%, $E$13)</f>
        <v>12.495900000000001</v>
      </c>
      <c r="K648" s="64">
        <f>12.4961 * CHOOSE(CONTROL!$C$22, $C$13, 100%, $E$13)</f>
        <v>12.4961</v>
      </c>
    </row>
    <row r="649" spans="1:11" ht="15">
      <c r="A649" s="13">
        <v>61394</v>
      </c>
      <c r="B649" s="63">
        <f>10.6793 * CHOOSE(CONTROL!$C$22, $C$13, 100%, $E$13)</f>
        <v>10.6793</v>
      </c>
      <c r="C649" s="63">
        <f>10.6793 * CHOOSE(CONTROL!$C$22, $C$13, 100%, $E$13)</f>
        <v>10.6793</v>
      </c>
      <c r="D649" s="63">
        <f>10.6922 * CHOOSE(CONTROL!$C$22, $C$13, 100%, $E$13)</f>
        <v>10.6922</v>
      </c>
      <c r="E649" s="64">
        <f>12.3571 * CHOOSE(CONTROL!$C$22, $C$13, 100%, $E$13)</f>
        <v>12.357100000000001</v>
      </c>
      <c r="F649" s="64">
        <f>12.3571 * CHOOSE(CONTROL!$C$22, $C$13, 100%, $E$13)</f>
        <v>12.357100000000001</v>
      </c>
      <c r="G649" s="64">
        <f>12.3573 * CHOOSE(CONTROL!$C$22, $C$13, 100%, $E$13)</f>
        <v>12.3573</v>
      </c>
      <c r="H649" s="64">
        <f>20.7967* CHOOSE(CONTROL!$C$22, $C$13, 100%, $E$13)</f>
        <v>20.796700000000001</v>
      </c>
      <c r="I649" s="64">
        <f>20.7969 * CHOOSE(CONTROL!$C$22, $C$13, 100%, $E$13)</f>
        <v>20.796900000000001</v>
      </c>
      <c r="J649" s="64">
        <f>12.3571 * CHOOSE(CONTROL!$C$22, $C$13, 100%, $E$13)</f>
        <v>12.357100000000001</v>
      </c>
      <c r="K649" s="64">
        <f>12.3573 * CHOOSE(CONTROL!$C$22, $C$13, 100%, $E$13)</f>
        <v>12.3573</v>
      </c>
    </row>
    <row r="650" spans="1:11" ht="15">
      <c r="A650" s="13">
        <v>61423</v>
      </c>
      <c r="B650" s="63">
        <f>10.6763 * CHOOSE(CONTROL!$C$22, $C$13, 100%, $E$13)</f>
        <v>10.676299999999999</v>
      </c>
      <c r="C650" s="63">
        <f>10.6763 * CHOOSE(CONTROL!$C$22, $C$13, 100%, $E$13)</f>
        <v>10.676299999999999</v>
      </c>
      <c r="D650" s="63">
        <f>10.6891 * CHOOSE(CONTROL!$C$22, $C$13, 100%, $E$13)</f>
        <v>10.6891</v>
      </c>
      <c r="E650" s="64">
        <f>12.4627 * CHOOSE(CONTROL!$C$22, $C$13, 100%, $E$13)</f>
        <v>12.4627</v>
      </c>
      <c r="F650" s="64">
        <f>12.4627 * CHOOSE(CONTROL!$C$22, $C$13, 100%, $E$13)</f>
        <v>12.4627</v>
      </c>
      <c r="G650" s="64">
        <f>12.4629 * CHOOSE(CONTROL!$C$22, $C$13, 100%, $E$13)</f>
        <v>12.462899999999999</v>
      </c>
      <c r="H650" s="64">
        <f>20.84* CHOOSE(CONTROL!$C$22, $C$13, 100%, $E$13)</f>
        <v>20.84</v>
      </c>
      <c r="I650" s="64">
        <f>20.8402 * CHOOSE(CONTROL!$C$22, $C$13, 100%, $E$13)</f>
        <v>20.840199999999999</v>
      </c>
      <c r="J650" s="64">
        <f>12.4627 * CHOOSE(CONTROL!$C$22, $C$13, 100%, $E$13)</f>
        <v>12.4627</v>
      </c>
      <c r="K650" s="64">
        <f>12.4629 * CHOOSE(CONTROL!$C$22, $C$13, 100%, $E$13)</f>
        <v>12.462899999999999</v>
      </c>
    </row>
    <row r="651" spans="1:11" ht="15">
      <c r="A651" s="13">
        <v>61454</v>
      </c>
      <c r="B651" s="63">
        <f>10.6797 * CHOOSE(CONTROL!$C$22, $C$13, 100%, $E$13)</f>
        <v>10.6797</v>
      </c>
      <c r="C651" s="63">
        <f>10.6797 * CHOOSE(CONTROL!$C$22, $C$13, 100%, $E$13)</f>
        <v>10.6797</v>
      </c>
      <c r="D651" s="63">
        <f>10.6925 * CHOOSE(CONTROL!$C$22, $C$13, 100%, $E$13)</f>
        <v>10.692500000000001</v>
      </c>
      <c r="E651" s="64">
        <f>12.5742 * CHOOSE(CONTROL!$C$22, $C$13, 100%, $E$13)</f>
        <v>12.574199999999999</v>
      </c>
      <c r="F651" s="64">
        <f>12.5742 * CHOOSE(CONTROL!$C$22, $C$13, 100%, $E$13)</f>
        <v>12.574199999999999</v>
      </c>
      <c r="G651" s="64">
        <f>12.5744 * CHOOSE(CONTROL!$C$22, $C$13, 100%, $E$13)</f>
        <v>12.574400000000001</v>
      </c>
      <c r="H651" s="64">
        <f>20.8834* CHOOSE(CONTROL!$C$22, $C$13, 100%, $E$13)</f>
        <v>20.883400000000002</v>
      </c>
      <c r="I651" s="64">
        <f>20.8836 * CHOOSE(CONTROL!$C$22, $C$13, 100%, $E$13)</f>
        <v>20.883600000000001</v>
      </c>
      <c r="J651" s="64">
        <f>12.5742 * CHOOSE(CONTROL!$C$22, $C$13, 100%, $E$13)</f>
        <v>12.574199999999999</v>
      </c>
      <c r="K651" s="64">
        <f>12.5744 * CHOOSE(CONTROL!$C$22, $C$13, 100%, $E$13)</f>
        <v>12.574400000000001</v>
      </c>
    </row>
    <row r="652" spans="1:11" ht="15">
      <c r="A652" s="13">
        <v>61484</v>
      </c>
      <c r="B652" s="63">
        <f>10.6797 * CHOOSE(CONTROL!$C$22, $C$13, 100%, $E$13)</f>
        <v>10.6797</v>
      </c>
      <c r="C652" s="63">
        <f>10.6797 * CHOOSE(CONTROL!$C$22, $C$13, 100%, $E$13)</f>
        <v>10.6797</v>
      </c>
      <c r="D652" s="63">
        <f>10.7054 * CHOOSE(CONTROL!$C$22, $C$13, 100%, $E$13)</f>
        <v>10.705399999999999</v>
      </c>
      <c r="E652" s="64">
        <f>12.6176 * CHOOSE(CONTROL!$C$22, $C$13, 100%, $E$13)</f>
        <v>12.617599999999999</v>
      </c>
      <c r="F652" s="64">
        <f>12.6176 * CHOOSE(CONTROL!$C$22, $C$13, 100%, $E$13)</f>
        <v>12.617599999999999</v>
      </c>
      <c r="G652" s="64">
        <f>12.6192 * CHOOSE(CONTROL!$C$22, $C$13, 100%, $E$13)</f>
        <v>12.619199999999999</v>
      </c>
      <c r="H652" s="64">
        <f>20.9269* CHOOSE(CONTROL!$C$22, $C$13, 100%, $E$13)</f>
        <v>20.9269</v>
      </c>
      <c r="I652" s="64">
        <f>20.9286 * CHOOSE(CONTROL!$C$22, $C$13, 100%, $E$13)</f>
        <v>20.928599999999999</v>
      </c>
      <c r="J652" s="64">
        <f>12.6176 * CHOOSE(CONTROL!$C$22, $C$13, 100%, $E$13)</f>
        <v>12.617599999999999</v>
      </c>
      <c r="K652" s="64">
        <f>12.6192 * CHOOSE(CONTROL!$C$22, $C$13, 100%, $E$13)</f>
        <v>12.619199999999999</v>
      </c>
    </row>
    <row r="653" spans="1:11" ht="15">
      <c r="A653" s="13">
        <v>61515</v>
      </c>
      <c r="B653" s="63">
        <f>10.6858 * CHOOSE(CONTROL!$C$22, $C$13, 100%, $E$13)</f>
        <v>10.6858</v>
      </c>
      <c r="C653" s="63">
        <f>10.6858 * CHOOSE(CONTROL!$C$22, $C$13, 100%, $E$13)</f>
        <v>10.6858</v>
      </c>
      <c r="D653" s="63">
        <f>10.7115 * CHOOSE(CONTROL!$C$22, $C$13, 100%, $E$13)</f>
        <v>10.711499999999999</v>
      </c>
      <c r="E653" s="64">
        <f>12.5784 * CHOOSE(CONTROL!$C$22, $C$13, 100%, $E$13)</f>
        <v>12.5784</v>
      </c>
      <c r="F653" s="64">
        <f>12.5784 * CHOOSE(CONTROL!$C$22, $C$13, 100%, $E$13)</f>
        <v>12.5784</v>
      </c>
      <c r="G653" s="64">
        <f>12.5801 * CHOOSE(CONTROL!$C$22, $C$13, 100%, $E$13)</f>
        <v>12.5801</v>
      </c>
      <c r="H653" s="64">
        <f>20.9705* CHOOSE(CONTROL!$C$22, $C$13, 100%, $E$13)</f>
        <v>20.970500000000001</v>
      </c>
      <c r="I653" s="64">
        <f>20.9722 * CHOOSE(CONTROL!$C$22, $C$13, 100%, $E$13)</f>
        <v>20.972200000000001</v>
      </c>
      <c r="J653" s="64">
        <f>12.5784 * CHOOSE(CONTROL!$C$22, $C$13, 100%, $E$13)</f>
        <v>12.5784</v>
      </c>
      <c r="K653" s="64">
        <f>12.5801 * CHOOSE(CONTROL!$C$22, $C$13, 100%, $E$13)</f>
        <v>12.5801</v>
      </c>
    </row>
    <row r="654" spans="1:11" ht="15">
      <c r="A654" s="13">
        <v>61545</v>
      </c>
      <c r="B654" s="63">
        <f>10.8558 * CHOOSE(CONTROL!$C$22, $C$13, 100%, $E$13)</f>
        <v>10.8558</v>
      </c>
      <c r="C654" s="63">
        <f>10.8558 * CHOOSE(CONTROL!$C$22, $C$13, 100%, $E$13)</f>
        <v>10.8558</v>
      </c>
      <c r="D654" s="63">
        <f>10.8815 * CHOOSE(CONTROL!$C$22, $C$13, 100%, $E$13)</f>
        <v>10.881500000000001</v>
      </c>
      <c r="E654" s="64">
        <f>12.8205 * CHOOSE(CONTROL!$C$22, $C$13, 100%, $E$13)</f>
        <v>12.820499999999999</v>
      </c>
      <c r="F654" s="64">
        <f>12.8205 * CHOOSE(CONTROL!$C$22, $C$13, 100%, $E$13)</f>
        <v>12.820499999999999</v>
      </c>
      <c r="G654" s="64">
        <f>12.8221 * CHOOSE(CONTROL!$C$22, $C$13, 100%, $E$13)</f>
        <v>12.822100000000001</v>
      </c>
      <c r="H654" s="64">
        <f>21.0142* CHOOSE(CONTROL!$C$22, $C$13, 100%, $E$13)</f>
        <v>21.014199999999999</v>
      </c>
      <c r="I654" s="64">
        <f>21.0158 * CHOOSE(CONTROL!$C$22, $C$13, 100%, $E$13)</f>
        <v>21.015799999999999</v>
      </c>
      <c r="J654" s="64">
        <f>12.8205 * CHOOSE(CONTROL!$C$22, $C$13, 100%, $E$13)</f>
        <v>12.820499999999999</v>
      </c>
      <c r="K654" s="64">
        <f>12.8221 * CHOOSE(CONTROL!$C$22, $C$13, 100%, $E$13)</f>
        <v>12.822100000000001</v>
      </c>
    </row>
    <row r="655" spans="1:11" ht="15">
      <c r="A655" s="13">
        <v>61576</v>
      </c>
      <c r="B655" s="63">
        <f>10.8625 * CHOOSE(CONTROL!$C$22, $C$13, 100%, $E$13)</f>
        <v>10.862500000000001</v>
      </c>
      <c r="C655" s="63">
        <f>10.8625 * CHOOSE(CONTROL!$C$22, $C$13, 100%, $E$13)</f>
        <v>10.862500000000001</v>
      </c>
      <c r="D655" s="63">
        <f>10.8882 * CHOOSE(CONTROL!$C$22, $C$13, 100%, $E$13)</f>
        <v>10.888199999999999</v>
      </c>
      <c r="E655" s="64">
        <f>12.6949 * CHOOSE(CONTROL!$C$22, $C$13, 100%, $E$13)</f>
        <v>12.694900000000001</v>
      </c>
      <c r="F655" s="64">
        <f>12.6949 * CHOOSE(CONTROL!$C$22, $C$13, 100%, $E$13)</f>
        <v>12.694900000000001</v>
      </c>
      <c r="G655" s="64">
        <f>12.6966 * CHOOSE(CONTROL!$C$22, $C$13, 100%, $E$13)</f>
        <v>12.6966</v>
      </c>
      <c r="H655" s="64">
        <f>21.058* CHOOSE(CONTROL!$C$22, $C$13, 100%, $E$13)</f>
        <v>21.058</v>
      </c>
      <c r="I655" s="64">
        <f>21.0596 * CHOOSE(CONTROL!$C$22, $C$13, 100%, $E$13)</f>
        <v>21.0596</v>
      </c>
      <c r="J655" s="64">
        <f>12.6949 * CHOOSE(CONTROL!$C$22, $C$13, 100%, $E$13)</f>
        <v>12.694900000000001</v>
      </c>
      <c r="K655" s="64">
        <f>12.6966 * CHOOSE(CONTROL!$C$22, $C$13, 100%, $E$13)</f>
        <v>12.6966</v>
      </c>
    </row>
    <row r="656" spans="1:11" ht="15">
      <c r="A656" s="13">
        <v>61607</v>
      </c>
      <c r="B656" s="63">
        <f>10.8594 * CHOOSE(CONTROL!$C$22, $C$13, 100%, $E$13)</f>
        <v>10.859400000000001</v>
      </c>
      <c r="C656" s="63">
        <f>10.8594 * CHOOSE(CONTROL!$C$22, $C$13, 100%, $E$13)</f>
        <v>10.859400000000001</v>
      </c>
      <c r="D656" s="63">
        <f>10.8852 * CHOOSE(CONTROL!$C$22, $C$13, 100%, $E$13)</f>
        <v>10.885199999999999</v>
      </c>
      <c r="E656" s="64">
        <f>12.6784 * CHOOSE(CONTROL!$C$22, $C$13, 100%, $E$13)</f>
        <v>12.6784</v>
      </c>
      <c r="F656" s="64">
        <f>12.6784 * CHOOSE(CONTROL!$C$22, $C$13, 100%, $E$13)</f>
        <v>12.6784</v>
      </c>
      <c r="G656" s="64">
        <f>12.68 * CHOOSE(CONTROL!$C$22, $C$13, 100%, $E$13)</f>
        <v>12.68</v>
      </c>
      <c r="H656" s="64">
        <f>21.1019* CHOOSE(CONTROL!$C$22, $C$13, 100%, $E$13)</f>
        <v>21.101900000000001</v>
      </c>
      <c r="I656" s="64">
        <f>21.1035 * CHOOSE(CONTROL!$C$22, $C$13, 100%, $E$13)</f>
        <v>21.1035</v>
      </c>
      <c r="J656" s="64">
        <f>12.6784 * CHOOSE(CONTROL!$C$22, $C$13, 100%, $E$13)</f>
        <v>12.6784</v>
      </c>
      <c r="K656" s="64">
        <f>12.68 * CHOOSE(CONTROL!$C$22, $C$13, 100%, $E$13)</f>
        <v>12.68</v>
      </c>
    </row>
    <row r="657" spans="1:11" ht="15">
      <c r="A657" s="13">
        <v>61637</v>
      </c>
      <c r="B657" s="63">
        <f>10.8772 * CHOOSE(CONTROL!$C$22, $C$13, 100%, $E$13)</f>
        <v>10.8772</v>
      </c>
      <c r="C657" s="63">
        <f>10.8772 * CHOOSE(CONTROL!$C$22, $C$13, 100%, $E$13)</f>
        <v>10.8772</v>
      </c>
      <c r="D657" s="63">
        <f>10.8901 * CHOOSE(CONTROL!$C$22, $C$13, 100%, $E$13)</f>
        <v>10.8901</v>
      </c>
      <c r="E657" s="64">
        <f>12.7228 * CHOOSE(CONTROL!$C$22, $C$13, 100%, $E$13)</f>
        <v>12.722799999999999</v>
      </c>
      <c r="F657" s="64">
        <f>12.7228 * CHOOSE(CONTROL!$C$22, $C$13, 100%, $E$13)</f>
        <v>12.722799999999999</v>
      </c>
      <c r="G657" s="64">
        <f>12.723 * CHOOSE(CONTROL!$C$22, $C$13, 100%, $E$13)</f>
        <v>12.723000000000001</v>
      </c>
      <c r="H657" s="64">
        <f>21.1458* CHOOSE(CONTROL!$C$22, $C$13, 100%, $E$13)</f>
        <v>21.145800000000001</v>
      </c>
      <c r="I657" s="64">
        <f>21.146 * CHOOSE(CONTROL!$C$22, $C$13, 100%, $E$13)</f>
        <v>21.146000000000001</v>
      </c>
      <c r="J657" s="64">
        <f>12.7228 * CHOOSE(CONTROL!$C$22, $C$13, 100%, $E$13)</f>
        <v>12.722799999999999</v>
      </c>
      <c r="K657" s="64">
        <f>12.723 * CHOOSE(CONTROL!$C$22, $C$13, 100%, $E$13)</f>
        <v>12.723000000000001</v>
      </c>
    </row>
    <row r="658" spans="1:11" ht="15">
      <c r="A658" s="13">
        <v>61668</v>
      </c>
      <c r="B658" s="63">
        <f>10.8803 * CHOOSE(CONTROL!$C$22, $C$13, 100%, $E$13)</f>
        <v>10.8803</v>
      </c>
      <c r="C658" s="63">
        <f>10.8803 * CHOOSE(CONTROL!$C$22, $C$13, 100%, $E$13)</f>
        <v>10.8803</v>
      </c>
      <c r="D658" s="63">
        <f>10.8931 * CHOOSE(CONTROL!$C$22, $C$13, 100%, $E$13)</f>
        <v>10.8931</v>
      </c>
      <c r="E658" s="64">
        <f>12.7538 * CHOOSE(CONTROL!$C$22, $C$13, 100%, $E$13)</f>
        <v>12.7538</v>
      </c>
      <c r="F658" s="64">
        <f>12.7538 * CHOOSE(CONTROL!$C$22, $C$13, 100%, $E$13)</f>
        <v>12.7538</v>
      </c>
      <c r="G658" s="64">
        <f>12.754 * CHOOSE(CONTROL!$C$22, $C$13, 100%, $E$13)</f>
        <v>12.754</v>
      </c>
      <c r="H658" s="64">
        <f>21.1899* CHOOSE(CONTROL!$C$22, $C$13, 100%, $E$13)</f>
        <v>21.189900000000002</v>
      </c>
      <c r="I658" s="64">
        <f>21.1901 * CHOOSE(CONTROL!$C$22, $C$13, 100%, $E$13)</f>
        <v>21.190100000000001</v>
      </c>
      <c r="J658" s="64">
        <f>12.7538 * CHOOSE(CONTROL!$C$22, $C$13, 100%, $E$13)</f>
        <v>12.7538</v>
      </c>
      <c r="K658" s="64">
        <f>12.754 * CHOOSE(CONTROL!$C$22, $C$13, 100%, $E$13)</f>
        <v>12.754</v>
      </c>
    </row>
    <row r="659" spans="1:11" ht="15">
      <c r="A659" s="13">
        <v>61698</v>
      </c>
      <c r="B659" s="63">
        <f>10.8803 * CHOOSE(CONTROL!$C$22, $C$13, 100%, $E$13)</f>
        <v>10.8803</v>
      </c>
      <c r="C659" s="63">
        <f>10.8803 * CHOOSE(CONTROL!$C$22, $C$13, 100%, $E$13)</f>
        <v>10.8803</v>
      </c>
      <c r="D659" s="63">
        <f>10.8931 * CHOOSE(CONTROL!$C$22, $C$13, 100%, $E$13)</f>
        <v>10.8931</v>
      </c>
      <c r="E659" s="64">
        <f>12.6815 * CHOOSE(CONTROL!$C$22, $C$13, 100%, $E$13)</f>
        <v>12.6815</v>
      </c>
      <c r="F659" s="64">
        <f>12.6815 * CHOOSE(CONTROL!$C$22, $C$13, 100%, $E$13)</f>
        <v>12.6815</v>
      </c>
      <c r="G659" s="64">
        <f>12.6817 * CHOOSE(CONTROL!$C$22, $C$13, 100%, $E$13)</f>
        <v>12.681699999999999</v>
      </c>
      <c r="H659" s="64">
        <f>21.234* CHOOSE(CONTROL!$C$22, $C$13, 100%, $E$13)</f>
        <v>21.234000000000002</v>
      </c>
      <c r="I659" s="64">
        <f>21.2342 * CHOOSE(CONTROL!$C$22, $C$13, 100%, $E$13)</f>
        <v>21.234200000000001</v>
      </c>
      <c r="J659" s="64">
        <f>12.6815 * CHOOSE(CONTROL!$C$22, $C$13, 100%, $E$13)</f>
        <v>12.6815</v>
      </c>
      <c r="K659" s="64">
        <f>12.6817 * CHOOSE(CONTROL!$C$22, $C$13, 100%, $E$13)</f>
        <v>12.681699999999999</v>
      </c>
    </row>
    <row r="660" spans="1:11" ht="15">
      <c r="A660" s="13">
        <v>61729</v>
      </c>
      <c r="B660" s="63">
        <f>10.9277 * CHOOSE(CONTROL!$C$22, $C$13, 100%, $E$13)</f>
        <v>10.9277</v>
      </c>
      <c r="C660" s="63">
        <f>10.9277 * CHOOSE(CONTROL!$C$22, $C$13, 100%, $E$13)</f>
        <v>10.9277</v>
      </c>
      <c r="D660" s="63">
        <f>10.9405 * CHOOSE(CONTROL!$C$22, $C$13, 100%, $E$13)</f>
        <v>10.9405</v>
      </c>
      <c r="E660" s="64">
        <f>12.7883 * CHOOSE(CONTROL!$C$22, $C$13, 100%, $E$13)</f>
        <v>12.7883</v>
      </c>
      <c r="F660" s="64">
        <f>12.7883 * CHOOSE(CONTROL!$C$22, $C$13, 100%, $E$13)</f>
        <v>12.7883</v>
      </c>
      <c r="G660" s="64">
        <f>12.7885 * CHOOSE(CONTROL!$C$22, $C$13, 100%, $E$13)</f>
        <v>12.788500000000001</v>
      </c>
      <c r="H660" s="64">
        <f>21.1993* CHOOSE(CONTROL!$C$22, $C$13, 100%, $E$13)</f>
        <v>21.199300000000001</v>
      </c>
      <c r="I660" s="64">
        <f>21.1995 * CHOOSE(CONTROL!$C$22, $C$13, 100%, $E$13)</f>
        <v>21.1995</v>
      </c>
      <c r="J660" s="64">
        <f>12.7883 * CHOOSE(CONTROL!$C$22, $C$13, 100%, $E$13)</f>
        <v>12.7883</v>
      </c>
      <c r="K660" s="64">
        <f>12.7885 * CHOOSE(CONTROL!$C$22, $C$13, 100%, $E$13)</f>
        <v>12.788500000000001</v>
      </c>
    </row>
    <row r="661" spans="1:11" ht="15">
      <c r="A661" s="13">
        <v>61760</v>
      </c>
      <c r="B661" s="63">
        <f>10.9246 * CHOOSE(CONTROL!$C$22, $C$13, 100%, $E$13)</f>
        <v>10.9246</v>
      </c>
      <c r="C661" s="63">
        <f>10.9246 * CHOOSE(CONTROL!$C$22, $C$13, 100%, $E$13)</f>
        <v>10.9246</v>
      </c>
      <c r="D661" s="63">
        <f>10.9375 * CHOOSE(CONTROL!$C$22, $C$13, 100%, $E$13)</f>
        <v>10.9375</v>
      </c>
      <c r="E661" s="64">
        <f>12.6463 * CHOOSE(CONTROL!$C$22, $C$13, 100%, $E$13)</f>
        <v>12.6463</v>
      </c>
      <c r="F661" s="64">
        <f>12.6463 * CHOOSE(CONTROL!$C$22, $C$13, 100%, $E$13)</f>
        <v>12.6463</v>
      </c>
      <c r="G661" s="64">
        <f>12.6465 * CHOOSE(CONTROL!$C$22, $C$13, 100%, $E$13)</f>
        <v>12.6465</v>
      </c>
      <c r="H661" s="64">
        <f>21.2435* CHOOSE(CONTROL!$C$22, $C$13, 100%, $E$13)</f>
        <v>21.243500000000001</v>
      </c>
      <c r="I661" s="64">
        <f>21.2437 * CHOOSE(CONTROL!$C$22, $C$13, 100%, $E$13)</f>
        <v>21.2437</v>
      </c>
      <c r="J661" s="64">
        <f>12.6463 * CHOOSE(CONTROL!$C$22, $C$13, 100%, $E$13)</f>
        <v>12.6463</v>
      </c>
      <c r="K661" s="64">
        <f>12.6465 * CHOOSE(CONTROL!$C$22, $C$13, 100%, $E$13)</f>
        <v>12.6465</v>
      </c>
    </row>
    <row r="662" spans="1:11" ht="15">
      <c r="A662" s="13">
        <v>61788</v>
      </c>
      <c r="B662" s="63">
        <f>10.9216 * CHOOSE(CONTROL!$C$22, $C$13, 100%, $E$13)</f>
        <v>10.9216</v>
      </c>
      <c r="C662" s="63">
        <f>10.9216 * CHOOSE(CONTROL!$C$22, $C$13, 100%, $E$13)</f>
        <v>10.9216</v>
      </c>
      <c r="D662" s="63">
        <f>10.9345 * CHOOSE(CONTROL!$C$22, $C$13, 100%, $E$13)</f>
        <v>10.9345</v>
      </c>
      <c r="E662" s="64">
        <f>12.7545 * CHOOSE(CONTROL!$C$22, $C$13, 100%, $E$13)</f>
        <v>12.7545</v>
      </c>
      <c r="F662" s="64">
        <f>12.7545 * CHOOSE(CONTROL!$C$22, $C$13, 100%, $E$13)</f>
        <v>12.7545</v>
      </c>
      <c r="G662" s="64">
        <f>12.7546 * CHOOSE(CONTROL!$C$22, $C$13, 100%, $E$13)</f>
        <v>12.7546</v>
      </c>
      <c r="H662" s="64">
        <f>21.2878* CHOOSE(CONTROL!$C$22, $C$13, 100%, $E$13)</f>
        <v>21.287800000000001</v>
      </c>
      <c r="I662" s="64">
        <f>21.2879 * CHOOSE(CONTROL!$C$22, $C$13, 100%, $E$13)</f>
        <v>21.2879</v>
      </c>
      <c r="J662" s="64">
        <f>12.7545 * CHOOSE(CONTROL!$C$22, $C$13, 100%, $E$13)</f>
        <v>12.7545</v>
      </c>
      <c r="K662" s="64">
        <f>12.7546 * CHOOSE(CONTROL!$C$22, $C$13, 100%, $E$13)</f>
        <v>12.7546</v>
      </c>
    </row>
    <row r="663" spans="1:11" ht="15">
      <c r="A663" s="13">
        <v>61819</v>
      </c>
      <c r="B663" s="63">
        <f>10.9252 * CHOOSE(CONTROL!$C$22, $C$13, 100%, $E$13)</f>
        <v>10.9252</v>
      </c>
      <c r="C663" s="63">
        <f>10.9252 * CHOOSE(CONTROL!$C$22, $C$13, 100%, $E$13)</f>
        <v>10.9252</v>
      </c>
      <c r="D663" s="63">
        <f>10.9381 * CHOOSE(CONTROL!$C$22, $C$13, 100%, $E$13)</f>
        <v>10.9381</v>
      </c>
      <c r="E663" s="64">
        <f>12.8687 * CHOOSE(CONTROL!$C$22, $C$13, 100%, $E$13)</f>
        <v>12.8687</v>
      </c>
      <c r="F663" s="64">
        <f>12.8687 * CHOOSE(CONTROL!$C$22, $C$13, 100%, $E$13)</f>
        <v>12.8687</v>
      </c>
      <c r="G663" s="64">
        <f>12.8688 * CHOOSE(CONTROL!$C$22, $C$13, 100%, $E$13)</f>
        <v>12.8688</v>
      </c>
      <c r="H663" s="64">
        <f>21.3321* CHOOSE(CONTROL!$C$22, $C$13, 100%, $E$13)</f>
        <v>21.332100000000001</v>
      </c>
      <c r="I663" s="64">
        <f>21.3323 * CHOOSE(CONTROL!$C$22, $C$13, 100%, $E$13)</f>
        <v>21.3323</v>
      </c>
      <c r="J663" s="64">
        <f>12.8687 * CHOOSE(CONTROL!$C$22, $C$13, 100%, $E$13)</f>
        <v>12.8687</v>
      </c>
      <c r="K663" s="64">
        <f>12.8688 * CHOOSE(CONTROL!$C$22, $C$13, 100%, $E$13)</f>
        <v>12.8688</v>
      </c>
    </row>
    <row r="664" spans="1:11" ht="15">
      <c r="A664" s="13">
        <v>61849</v>
      </c>
      <c r="B664" s="63">
        <f>10.9252 * CHOOSE(CONTROL!$C$22, $C$13, 100%, $E$13)</f>
        <v>10.9252</v>
      </c>
      <c r="C664" s="63">
        <f>10.9252 * CHOOSE(CONTROL!$C$22, $C$13, 100%, $E$13)</f>
        <v>10.9252</v>
      </c>
      <c r="D664" s="63">
        <f>10.9509 * CHOOSE(CONTROL!$C$22, $C$13, 100%, $E$13)</f>
        <v>10.950900000000001</v>
      </c>
      <c r="E664" s="64">
        <f>12.9131 * CHOOSE(CONTROL!$C$22, $C$13, 100%, $E$13)</f>
        <v>12.9131</v>
      </c>
      <c r="F664" s="64">
        <f>12.9131 * CHOOSE(CONTROL!$C$22, $C$13, 100%, $E$13)</f>
        <v>12.9131</v>
      </c>
      <c r="G664" s="64">
        <f>12.9147 * CHOOSE(CONTROL!$C$22, $C$13, 100%, $E$13)</f>
        <v>12.9147</v>
      </c>
      <c r="H664" s="64">
        <f>21.3765* CHOOSE(CONTROL!$C$22, $C$13, 100%, $E$13)</f>
        <v>21.3765</v>
      </c>
      <c r="I664" s="64">
        <f>21.3782 * CHOOSE(CONTROL!$C$22, $C$13, 100%, $E$13)</f>
        <v>21.3782</v>
      </c>
      <c r="J664" s="64">
        <f>12.9131 * CHOOSE(CONTROL!$C$22, $C$13, 100%, $E$13)</f>
        <v>12.9131</v>
      </c>
      <c r="K664" s="64">
        <f>12.9147 * CHOOSE(CONTROL!$C$22, $C$13, 100%, $E$13)</f>
        <v>12.9147</v>
      </c>
    </row>
    <row r="665" spans="1:11" ht="15">
      <c r="A665" s="13">
        <v>61880</v>
      </c>
      <c r="B665" s="63">
        <f>10.9313 * CHOOSE(CONTROL!$C$22, $C$13, 100%, $E$13)</f>
        <v>10.9313</v>
      </c>
      <c r="C665" s="63">
        <f>10.9313 * CHOOSE(CONTROL!$C$22, $C$13, 100%, $E$13)</f>
        <v>10.9313</v>
      </c>
      <c r="D665" s="63">
        <f>10.957 * CHOOSE(CONTROL!$C$22, $C$13, 100%, $E$13)</f>
        <v>10.957000000000001</v>
      </c>
      <c r="E665" s="64">
        <f>12.8729 * CHOOSE(CONTROL!$C$22, $C$13, 100%, $E$13)</f>
        <v>12.8729</v>
      </c>
      <c r="F665" s="64">
        <f>12.8729 * CHOOSE(CONTROL!$C$22, $C$13, 100%, $E$13)</f>
        <v>12.8729</v>
      </c>
      <c r="G665" s="64">
        <f>12.8745 * CHOOSE(CONTROL!$C$22, $C$13, 100%, $E$13)</f>
        <v>12.874499999999999</v>
      </c>
      <c r="H665" s="64">
        <f>21.4211* CHOOSE(CONTROL!$C$22, $C$13, 100%, $E$13)</f>
        <v>21.421099999999999</v>
      </c>
      <c r="I665" s="64">
        <f>21.4227 * CHOOSE(CONTROL!$C$22, $C$13, 100%, $E$13)</f>
        <v>21.422699999999999</v>
      </c>
      <c r="J665" s="64">
        <f>12.8729 * CHOOSE(CONTROL!$C$22, $C$13, 100%, $E$13)</f>
        <v>12.8729</v>
      </c>
      <c r="K665" s="64">
        <f>12.8745 * CHOOSE(CONTROL!$C$22, $C$13, 100%, $E$13)</f>
        <v>12.874499999999999</v>
      </c>
    </row>
    <row r="666" spans="1:11" ht="15">
      <c r="A666" s="13">
        <v>61910</v>
      </c>
      <c r="B666" s="63">
        <f>11.105 * CHOOSE(CONTROL!$C$22, $C$13, 100%, $E$13)</f>
        <v>11.105</v>
      </c>
      <c r="C666" s="63">
        <f>11.105 * CHOOSE(CONTROL!$C$22, $C$13, 100%, $E$13)</f>
        <v>11.105</v>
      </c>
      <c r="D666" s="63">
        <f>11.1307 * CHOOSE(CONTROL!$C$22, $C$13, 100%, $E$13)</f>
        <v>11.130699999999999</v>
      </c>
      <c r="E666" s="64">
        <f>13.1203 * CHOOSE(CONTROL!$C$22, $C$13, 100%, $E$13)</f>
        <v>13.1203</v>
      </c>
      <c r="F666" s="64">
        <f>13.1203 * CHOOSE(CONTROL!$C$22, $C$13, 100%, $E$13)</f>
        <v>13.1203</v>
      </c>
      <c r="G666" s="64">
        <f>13.122 * CHOOSE(CONTROL!$C$22, $C$13, 100%, $E$13)</f>
        <v>13.122</v>
      </c>
      <c r="H666" s="64">
        <f>21.4657* CHOOSE(CONTROL!$C$22, $C$13, 100%, $E$13)</f>
        <v>21.465699999999998</v>
      </c>
      <c r="I666" s="64">
        <f>21.4673 * CHOOSE(CONTROL!$C$22, $C$13, 100%, $E$13)</f>
        <v>21.467300000000002</v>
      </c>
      <c r="J666" s="64">
        <f>13.1203 * CHOOSE(CONTROL!$C$22, $C$13, 100%, $E$13)</f>
        <v>13.1203</v>
      </c>
      <c r="K666" s="64">
        <f>13.122 * CHOOSE(CONTROL!$C$22, $C$13, 100%, $E$13)</f>
        <v>13.122</v>
      </c>
    </row>
    <row r="667" spans="1:11" ht="15">
      <c r="A667" s="13">
        <v>61941</v>
      </c>
      <c r="B667" s="63">
        <f>11.1117 * CHOOSE(CONTROL!$C$22, $C$13, 100%, $E$13)</f>
        <v>11.111700000000001</v>
      </c>
      <c r="C667" s="63">
        <f>11.1117 * CHOOSE(CONTROL!$C$22, $C$13, 100%, $E$13)</f>
        <v>11.111700000000001</v>
      </c>
      <c r="D667" s="63">
        <f>11.1374 * CHOOSE(CONTROL!$C$22, $C$13, 100%, $E$13)</f>
        <v>11.1374</v>
      </c>
      <c r="E667" s="64">
        <f>12.9918 * CHOOSE(CONTROL!$C$22, $C$13, 100%, $E$13)</f>
        <v>12.9918</v>
      </c>
      <c r="F667" s="64">
        <f>12.9918 * CHOOSE(CONTROL!$C$22, $C$13, 100%, $E$13)</f>
        <v>12.9918</v>
      </c>
      <c r="G667" s="64">
        <f>12.9934 * CHOOSE(CONTROL!$C$22, $C$13, 100%, $E$13)</f>
        <v>12.993399999999999</v>
      </c>
      <c r="H667" s="64">
        <f>21.5104* CHOOSE(CONTROL!$C$22, $C$13, 100%, $E$13)</f>
        <v>21.510400000000001</v>
      </c>
      <c r="I667" s="64">
        <f>21.5121 * CHOOSE(CONTROL!$C$22, $C$13, 100%, $E$13)</f>
        <v>21.5121</v>
      </c>
      <c r="J667" s="64">
        <f>12.9918 * CHOOSE(CONTROL!$C$22, $C$13, 100%, $E$13)</f>
        <v>12.9918</v>
      </c>
      <c r="K667" s="64">
        <f>12.9934 * CHOOSE(CONTROL!$C$22, $C$13, 100%, $E$13)</f>
        <v>12.993399999999999</v>
      </c>
    </row>
    <row r="668" spans="1:11" ht="15">
      <c r="A668" s="13">
        <v>61972</v>
      </c>
      <c r="B668" s="63">
        <f>11.1087 * CHOOSE(CONTROL!$C$22, $C$13, 100%, $E$13)</f>
        <v>11.108700000000001</v>
      </c>
      <c r="C668" s="63">
        <f>11.1087 * CHOOSE(CONTROL!$C$22, $C$13, 100%, $E$13)</f>
        <v>11.108700000000001</v>
      </c>
      <c r="D668" s="63">
        <f>11.1344 * CHOOSE(CONTROL!$C$22, $C$13, 100%, $E$13)</f>
        <v>11.134399999999999</v>
      </c>
      <c r="E668" s="64">
        <f>12.9749 * CHOOSE(CONTROL!$C$22, $C$13, 100%, $E$13)</f>
        <v>12.9749</v>
      </c>
      <c r="F668" s="64">
        <f>12.9749 * CHOOSE(CONTROL!$C$22, $C$13, 100%, $E$13)</f>
        <v>12.9749</v>
      </c>
      <c r="G668" s="64">
        <f>12.9765 * CHOOSE(CONTROL!$C$22, $C$13, 100%, $E$13)</f>
        <v>12.9765</v>
      </c>
      <c r="H668" s="64">
        <f>21.5552* CHOOSE(CONTROL!$C$22, $C$13, 100%, $E$13)</f>
        <v>21.555199999999999</v>
      </c>
      <c r="I668" s="64">
        <f>21.5569 * CHOOSE(CONTROL!$C$22, $C$13, 100%, $E$13)</f>
        <v>21.556899999999999</v>
      </c>
      <c r="J668" s="64">
        <f>12.9749 * CHOOSE(CONTROL!$C$22, $C$13, 100%, $E$13)</f>
        <v>12.9749</v>
      </c>
      <c r="K668" s="64">
        <f>12.9765 * CHOOSE(CONTROL!$C$22, $C$13, 100%, $E$13)</f>
        <v>12.9765</v>
      </c>
    </row>
    <row r="669" spans="1:11" ht="15">
      <c r="A669" s="13">
        <v>62002</v>
      </c>
      <c r="B669" s="63">
        <f>11.1272 * CHOOSE(CONTROL!$C$22, $C$13, 100%, $E$13)</f>
        <v>11.1272</v>
      </c>
      <c r="C669" s="63">
        <f>11.1272 * CHOOSE(CONTROL!$C$22, $C$13, 100%, $E$13)</f>
        <v>11.1272</v>
      </c>
      <c r="D669" s="63">
        <f>11.1401 * CHOOSE(CONTROL!$C$22, $C$13, 100%, $E$13)</f>
        <v>11.1401</v>
      </c>
      <c r="E669" s="64">
        <f>13.0206 * CHOOSE(CONTROL!$C$22, $C$13, 100%, $E$13)</f>
        <v>13.0206</v>
      </c>
      <c r="F669" s="64">
        <f>13.0206 * CHOOSE(CONTROL!$C$22, $C$13, 100%, $E$13)</f>
        <v>13.0206</v>
      </c>
      <c r="G669" s="64">
        <f>13.0208 * CHOOSE(CONTROL!$C$22, $C$13, 100%, $E$13)</f>
        <v>13.020799999999999</v>
      </c>
      <c r="H669" s="64">
        <f>21.6001* CHOOSE(CONTROL!$C$22, $C$13, 100%, $E$13)</f>
        <v>21.600100000000001</v>
      </c>
      <c r="I669" s="64">
        <f>21.6003 * CHOOSE(CONTROL!$C$22, $C$13, 100%, $E$13)</f>
        <v>21.600300000000001</v>
      </c>
      <c r="J669" s="64">
        <f>13.0206 * CHOOSE(CONTROL!$C$22, $C$13, 100%, $E$13)</f>
        <v>13.0206</v>
      </c>
      <c r="K669" s="64">
        <f>13.0208 * CHOOSE(CONTROL!$C$22, $C$13, 100%, $E$13)</f>
        <v>13.020799999999999</v>
      </c>
    </row>
    <row r="670" spans="1:11" ht="15">
      <c r="A670" s="13">
        <v>62033</v>
      </c>
      <c r="B670" s="63">
        <f>11.1303 * CHOOSE(CONTROL!$C$22, $C$13, 100%, $E$13)</f>
        <v>11.1303</v>
      </c>
      <c r="C670" s="63">
        <f>11.1303 * CHOOSE(CONTROL!$C$22, $C$13, 100%, $E$13)</f>
        <v>11.1303</v>
      </c>
      <c r="D670" s="63">
        <f>11.1432 * CHOOSE(CONTROL!$C$22, $C$13, 100%, $E$13)</f>
        <v>11.1432</v>
      </c>
      <c r="E670" s="64">
        <f>13.0524 * CHOOSE(CONTROL!$C$22, $C$13, 100%, $E$13)</f>
        <v>13.0524</v>
      </c>
      <c r="F670" s="64">
        <f>13.0524 * CHOOSE(CONTROL!$C$22, $C$13, 100%, $E$13)</f>
        <v>13.0524</v>
      </c>
      <c r="G670" s="64">
        <f>13.0525 * CHOOSE(CONTROL!$C$22, $C$13, 100%, $E$13)</f>
        <v>13.0525</v>
      </c>
      <c r="H670" s="64">
        <f>21.6451* CHOOSE(CONTROL!$C$22, $C$13, 100%, $E$13)</f>
        <v>21.645099999999999</v>
      </c>
      <c r="I670" s="64">
        <f>21.6453 * CHOOSE(CONTROL!$C$22, $C$13, 100%, $E$13)</f>
        <v>21.645299999999999</v>
      </c>
      <c r="J670" s="64">
        <f>13.0524 * CHOOSE(CONTROL!$C$22, $C$13, 100%, $E$13)</f>
        <v>13.0524</v>
      </c>
      <c r="K670" s="64">
        <f>13.0525 * CHOOSE(CONTROL!$C$22, $C$13, 100%, $E$13)</f>
        <v>13.0525</v>
      </c>
    </row>
    <row r="671" spans="1:11" ht="15">
      <c r="A671" s="13">
        <v>62063</v>
      </c>
      <c r="B671" s="63">
        <f>11.1303 * CHOOSE(CONTROL!$C$22, $C$13, 100%, $E$13)</f>
        <v>11.1303</v>
      </c>
      <c r="C671" s="63">
        <f>11.1303 * CHOOSE(CONTROL!$C$22, $C$13, 100%, $E$13)</f>
        <v>11.1303</v>
      </c>
      <c r="D671" s="63">
        <f>11.1432 * CHOOSE(CONTROL!$C$22, $C$13, 100%, $E$13)</f>
        <v>11.1432</v>
      </c>
      <c r="E671" s="64">
        <f>12.9784 * CHOOSE(CONTROL!$C$22, $C$13, 100%, $E$13)</f>
        <v>12.978400000000001</v>
      </c>
      <c r="F671" s="64">
        <f>12.9784 * CHOOSE(CONTROL!$C$22, $C$13, 100%, $E$13)</f>
        <v>12.978400000000001</v>
      </c>
      <c r="G671" s="64">
        <f>12.9785 * CHOOSE(CONTROL!$C$22, $C$13, 100%, $E$13)</f>
        <v>12.9785</v>
      </c>
      <c r="H671" s="64">
        <f>21.6902* CHOOSE(CONTROL!$C$22, $C$13, 100%, $E$13)</f>
        <v>21.690200000000001</v>
      </c>
      <c r="I671" s="64">
        <f>21.6904 * CHOOSE(CONTROL!$C$22, $C$13, 100%, $E$13)</f>
        <v>21.6904</v>
      </c>
      <c r="J671" s="64">
        <f>12.9784 * CHOOSE(CONTROL!$C$22, $C$13, 100%, $E$13)</f>
        <v>12.978400000000001</v>
      </c>
      <c r="K671" s="64">
        <f>12.9785 * CHOOSE(CONTROL!$C$22, $C$13, 100%, $E$13)</f>
        <v>12.9785</v>
      </c>
    </row>
    <row r="672" spans="1:11" ht="15">
      <c r="A672" s="13">
        <v>62094</v>
      </c>
      <c r="B672" s="63">
        <f>11.173 * CHOOSE(CONTROL!$C$22, $C$13, 100%, $E$13)</f>
        <v>11.173</v>
      </c>
      <c r="C672" s="63">
        <f>11.173 * CHOOSE(CONTROL!$C$22, $C$13, 100%, $E$13)</f>
        <v>11.173</v>
      </c>
      <c r="D672" s="63">
        <f>11.1859 * CHOOSE(CONTROL!$C$22, $C$13, 100%, $E$13)</f>
        <v>11.1859</v>
      </c>
      <c r="E672" s="64">
        <f>13.0807 * CHOOSE(CONTROL!$C$22, $C$13, 100%, $E$13)</f>
        <v>13.0807</v>
      </c>
      <c r="F672" s="64">
        <f>13.0807 * CHOOSE(CONTROL!$C$22, $C$13, 100%, $E$13)</f>
        <v>13.0807</v>
      </c>
      <c r="G672" s="64">
        <f>13.0809 * CHOOSE(CONTROL!$C$22, $C$13, 100%, $E$13)</f>
        <v>13.0809</v>
      </c>
      <c r="H672" s="64">
        <f>21.6452* CHOOSE(CONTROL!$C$22, $C$13, 100%, $E$13)</f>
        <v>21.645199999999999</v>
      </c>
      <c r="I672" s="64">
        <f>21.6454 * CHOOSE(CONTROL!$C$22, $C$13, 100%, $E$13)</f>
        <v>21.645399999999999</v>
      </c>
      <c r="J672" s="64">
        <f>13.0807 * CHOOSE(CONTROL!$C$22, $C$13, 100%, $E$13)</f>
        <v>13.0807</v>
      </c>
      <c r="K672" s="64">
        <f>13.0809 * CHOOSE(CONTROL!$C$22, $C$13, 100%, $E$13)</f>
        <v>13.0809</v>
      </c>
    </row>
    <row r="673" spans="1:11" ht="15">
      <c r="A673" s="13">
        <v>62125</v>
      </c>
      <c r="B673" s="63">
        <f>11.1699 * CHOOSE(CONTROL!$C$22, $C$13, 100%, $E$13)</f>
        <v>11.1699</v>
      </c>
      <c r="C673" s="63">
        <f>11.1699 * CHOOSE(CONTROL!$C$22, $C$13, 100%, $E$13)</f>
        <v>11.1699</v>
      </c>
      <c r="D673" s="63">
        <f>11.1828 * CHOOSE(CONTROL!$C$22, $C$13, 100%, $E$13)</f>
        <v>11.1828</v>
      </c>
      <c r="E673" s="64">
        <f>12.9355 * CHOOSE(CONTROL!$C$22, $C$13, 100%, $E$13)</f>
        <v>12.935499999999999</v>
      </c>
      <c r="F673" s="64">
        <f>12.9355 * CHOOSE(CONTROL!$C$22, $C$13, 100%, $E$13)</f>
        <v>12.935499999999999</v>
      </c>
      <c r="G673" s="64">
        <f>12.9357 * CHOOSE(CONTROL!$C$22, $C$13, 100%, $E$13)</f>
        <v>12.935700000000001</v>
      </c>
      <c r="H673" s="64">
        <f>21.6903* CHOOSE(CONTROL!$C$22, $C$13, 100%, $E$13)</f>
        <v>21.690300000000001</v>
      </c>
      <c r="I673" s="64">
        <f>21.6905 * CHOOSE(CONTROL!$C$22, $C$13, 100%, $E$13)</f>
        <v>21.6905</v>
      </c>
      <c r="J673" s="64">
        <f>12.9355 * CHOOSE(CONTROL!$C$22, $C$13, 100%, $E$13)</f>
        <v>12.935499999999999</v>
      </c>
      <c r="K673" s="64">
        <f>12.9357 * CHOOSE(CONTROL!$C$22, $C$13, 100%, $E$13)</f>
        <v>12.935700000000001</v>
      </c>
    </row>
    <row r="674" spans="1:11" ht="15">
      <c r="A674" s="13">
        <v>62153</v>
      </c>
      <c r="B674" s="63">
        <f>11.1669 * CHOOSE(CONTROL!$C$22, $C$13, 100%, $E$13)</f>
        <v>11.1669</v>
      </c>
      <c r="C674" s="63">
        <f>11.1669 * CHOOSE(CONTROL!$C$22, $C$13, 100%, $E$13)</f>
        <v>11.1669</v>
      </c>
      <c r="D674" s="63">
        <f>11.1798 * CHOOSE(CONTROL!$C$22, $C$13, 100%, $E$13)</f>
        <v>11.1798</v>
      </c>
      <c r="E674" s="64">
        <f>13.0462 * CHOOSE(CONTROL!$C$22, $C$13, 100%, $E$13)</f>
        <v>13.046200000000001</v>
      </c>
      <c r="F674" s="64">
        <f>13.0462 * CHOOSE(CONTROL!$C$22, $C$13, 100%, $E$13)</f>
        <v>13.046200000000001</v>
      </c>
      <c r="G674" s="64">
        <f>13.0464 * CHOOSE(CONTROL!$C$22, $C$13, 100%, $E$13)</f>
        <v>13.0464</v>
      </c>
      <c r="H674" s="64">
        <f>21.7355* CHOOSE(CONTROL!$C$22, $C$13, 100%, $E$13)</f>
        <v>21.735499999999998</v>
      </c>
      <c r="I674" s="64">
        <f>21.7357 * CHOOSE(CONTROL!$C$22, $C$13, 100%, $E$13)</f>
        <v>21.735700000000001</v>
      </c>
      <c r="J674" s="64">
        <f>13.0462 * CHOOSE(CONTROL!$C$22, $C$13, 100%, $E$13)</f>
        <v>13.046200000000001</v>
      </c>
      <c r="K674" s="64">
        <f>13.0464 * CHOOSE(CONTROL!$C$22, $C$13, 100%, $E$13)</f>
        <v>13.0464</v>
      </c>
    </row>
    <row r="675" spans="1:11" ht="15">
      <c r="A675" s="13">
        <v>62184</v>
      </c>
      <c r="B675" s="63">
        <f>11.1707 * CHOOSE(CONTROL!$C$22, $C$13, 100%, $E$13)</f>
        <v>11.1707</v>
      </c>
      <c r="C675" s="63">
        <f>11.1707 * CHOOSE(CONTROL!$C$22, $C$13, 100%, $E$13)</f>
        <v>11.1707</v>
      </c>
      <c r="D675" s="63">
        <f>11.1836 * CHOOSE(CONTROL!$C$22, $C$13, 100%, $E$13)</f>
        <v>11.1836</v>
      </c>
      <c r="E675" s="64">
        <f>13.1631 * CHOOSE(CONTROL!$C$22, $C$13, 100%, $E$13)</f>
        <v>13.1631</v>
      </c>
      <c r="F675" s="64">
        <f>13.1631 * CHOOSE(CONTROL!$C$22, $C$13, 100%, $E$13)</f>
        <v>13.1631</v>
      </c>
      <c r="G675" s="64">
        <f>13.1633 * CHOOSE(CONTROL!$C$22, $C$13, 100%, $E$13)</f>
        <v>13.1633</v>
      </c>
      <c r="H675" s="64">
        <f>21.7808* CHOOSE(CONTROL!$C$22, $C$13, 100%, $E$13)</f>
        <v>21.780799999999999</v>
      </c>
      <c r="I675" s="64">
        <f>21.781 * CHOOSE(CONTROL!$C$22, $C$13, 100%, $E$13)</f>
        <v>21.780999999999999</v>
      </c>
      <c r="J675" s="64">
        <f>13.1631 * CHOOSE(CONTROL!$C$22, $C$13, 100%, $E$13)</f>
        <v>13.1631</v>
      </c>
      <c r="K675" s="64">
        <f>13.1633 * CHOOSE(CONTROL!$C$22, $C$13, 100%, $E$13)</f>
        <v>13.1633</v>
      </c>
    </row>
    <row r="676" spans="1:11" ht="15">
      <c r="A676" s="13">
        <v>62214</v>
      </c>
      <c r="B676" s="63">
        <f>11.1707 * CHOOSE(CONTROL!$C$22, $C$13, 100%, $E$13)</f>
        <v>11.1707</v>
      </c>
      <c r="C676" s="63">
        <f>11.1707 * CHOOSE(CONTROL!$C$22, $C$13, 100%, $E$13)</f>
        <v>11.1707</v>
      </c>
      <c r="D676" s="63">
        <f>11.1965 * CHOOSE(CONTROL!$C$22, $C$13, 100%, $E$13)</f>
        <v>11.1965</v>
      </c>
      <c r="E676" s="64">
        <f>13.2085 * CHOOSE(CONTROL!$C$22, $C$13, 100%, $E$13)</f>
        <v>13.208500000000001</v>
      </c>
      <c r="F676" s="64">
        <f>13.2085 * CHOOSE(CONTROL!$C$22, $C$13, 100%, $E$13)</f>
        <v>13.208500000000001</v>
      </c>
      <c r="G676" s="64">
        <f>13.2102 * CHOOSE(CONTROL!$C$22, $C$13, 100%, $E$13)</f>
        <v>13.2102</v>
      </c>
      <c r="H676" s="64">
        <f>21.8262* CHOOSE(CONTROL!$C$22, $C$13, 100%, $E$13)</f>
        <v>21.8262</v>
      </c>
      <c r="I676" s="64">
        <f>21.8278 * CHOOSE(CONTROL!$C$22, $C$13, 100%, $E$13)</f>
        <v>21.8278</v>
      </c>
      <c r="J676" s="64">
        <f>13.2085 * CHOOSE(CONTROL!$C$22, $C$13, 100%, $E$13)</f>
        <v>13.208500000000001</v>
      </c>
      <c r="K676" s="64">
        <f>13.2102 * CHOOSE(CONTROL!$C$22, $C$13, 100%, $E$13)</f>
        <v>13.2102</v>
      </c>
    </row>
    <row r="677" spans="1:11" ht="15">
      <c r="A677" s="13">
        <v>62245</v>
      </c>
      <c r="B677" s="63">
        <f>11.1768 * CHOOSE(CONTROL!$C$22, $C$13, 100%, $E$13)</f>
        <v>11.1768</v>
      </c>
      <c r="C677" s="63">
        <f>11.1768 * CHOOSE(CONTROL!$C$22, $C$13, 100%, $E$13)</f>
        <v>11.1768</v>
      </c>
      <c r="D677" s="63">
        <f>11.2025 * CHOOSE(CONTROL!$C$22, $C$13, 100%, $E$13)</f>
        <v>11.202500000000001</v>
      </c>
      <c r="E677" s="64">
        <f>13.1673 * CHOOSE(CONTROL!$C$22, $C$13, 100%, $E$13)</f>
        <v>13.167299999999999</v>
      </c>
      <c r="F677" s="64">
        <f>13.1673 * CHOOSE(CONTROL!$C$22, $C$13, 100%, $E$13)</f>
        <v>13.167299999999999</v>
      </c>
      <c r="G677" s="64">
        <f>13.169 * CHOOSE(CONTROL!$C$22, $C$13, 100%, $E$13)</f>
        <v>13.169</v>
      </c>
      <c r="H677" s="64">
        <f>21.8716* CHOOSE(CONTROL!$C$22, $C$13, 100%, $E$13)</f>
        <v>21.871600000000001</v>
      </c>
      <c r="I677" s="64">
        <f>21.8733 * CHOOSE(CONTROL!$C$22, $C$13, 100%, $E$13)</f>
        <v>21.8733</v>
      </c>
      <c r="J677" s="64">
        <f>13.1673 * CHOOSE(CONTROL!$C$22, $C$13, 100%, $E$13)</f>
        <v>13.167299999999999</v>
      </c>
      <c r="K677" s="64">
        <f>13.169 * CHOOSE(CONTROL!$C$22, $C$13, 100%, $E$13)</f>
        <v>13.169</v>
      </c>
    </row>
    <row r="678" spans="1:11" ht="15">
      <c r="A678" s="13">
        <v>62275</v>
      </c>
      <c r="B678" s="63">
        <f>11.3542 * CHOOSE(CONTROL!$C$22, $C$13, 100%, $E$13)</f>
        <v>11.354200000000001</v>
      </c>
      <c r="C678" s="63">
        <f>11.3542 * CHOOSE(CONTROL!$C$22, $C$13, 100%, $E$13)</f>
        <v>11.354200000000001</v>
      </c>
      <c r="D678" s="63">
        <f>11.38 * CHOOSE(CONTROL!$C$22, $C$13, 100%, $E$13)</f>
        <v>11.38</v>
      </c>
      <c r="E678" s="64">
        <f>13.4202 * CHOOSE(CONTROL!$C$22, $C$13, 100%, $E$13)</f>
        <v>13.420199999999999</v>
      </c>
      <c r="F678" s="64">
        <f>13.4202 * CHOOSE(CONTROL!$C$22, $C$13, 100%, $E$13)</f>
        <v>13.420199999999999</v>
      </c>
      <c r="G678" s="64">
        <f>13.4219 * CHOOSE(CONTROL!$C$22, $C$13, 100%, $E$13)</f>
        <v>13.421900000000001</v>
      </c>
      <c r="H678" s="64">
        <f>21.9172* CHOOSE(CONTROL!$C$22, $C$13, 100%, $E$13)</f>
        <v>21.917200000000001</v>
      </c>
      <c r="I678" s="64">
        <f>21.9188 * CHOOSE(CONTROL!$C$22, $C$13, 100%, $E$13)</f>
        <v>21.918800000000001</v>
      </c>
      <c r="J678" s="64">
        <f>13.4202 * CHOOSE(CONTROL!$C$22, $C$13, 100%, $E$13)</f>
        <v>13.420199999999999</v>
      </c>
      <c r="K678" s="64">
        <f>13.4219 * CHOOSE(CONTROL!$C$22, $C$13, 100%, $E$13)</f>
        <v>13.421900000000001</v>
      </c>
    </row>
    <row r="679" spans="1:11" ht="15">
      <c r="A679" s="13">
        <v>62306</v>
      </c>
      <c r="B679" s="63">
        <f>11.3609 * CHOOSE(CONTROL!$C$22, $C$13, 100%, $E$13)</f>
        <v>11.360900000000001</v>
      </c>
      <c r="C679" s="63">
        <f>11.3609 * CHOOSE(CONTROL!$C$22, $C$13, 100%, $E$13)</f>
        <v>11.360900000000001</v>
      </c>
      <c r="D679" s="63">
        <f>11.3866 * CHOOSE(CONTROL!$C$22, $C$13, 100%, $E$13)</f>
        <v>11.3866</v>
      </c>
      <c r="E679" s="64">
        <f>13.2886 * CHOOSE(CONTROL!$C$22, $C$13, 100%, $E$13)</f>
        <v>13.288600000000001</v>
      </c>
      <c r="F679" s="64">
        <f>13.2886 * CHOOSE(CONTROL!$C$22, $C$13, 100%, $E$13)</f>
        <v>13.288600000000001</v>
      </c>
      <c r="G679" s="64">
        <f>13.2902 * CHOOSE(CONTROL!$C$22, $C$13, 100%, $E$13)</f>
        <v>13.2902</v>
      </c>
      <c r="H679" s="64">
        <f>21.9629* CHOOSE(CONTROL!$C$22, $C$13, 100%, $E$13)</f>
        <v>21.962900000000001</v>
      </c>
      <c r="I679" s="64">
        <f>21.9645 * CHOOSE(CONTROL!$C$22, $C$13, 100%, $E$13)</f>
        <v>21.964500000000001</v>
      </c>
      <c r="J679" s="64">
        <f>13.2886 * CHOOSE(CONTROL!$C$22, $C$13, 100%, $E$13)</f>
        <v>13.288600000000001</v>
      </c>
      <c r="K679" s="64">
        <f>13.2902 * CHOOSE(CONTROL!$C$22, $C$13, 100%, $E$13)</f>
        <v>13.2902</v>
      </c>
    </row>
    <row r="680" spans="1:11" ht="15">
      <c r="A680" s="13">
        <v>62337</v>
      </c>
      <c r="B680" s="63">
        <f>11.3579 * CHOOSE(CONTROL!$C$22, $C$13, 100%, $E$13)</f>
        <v>11.357900000000001</v>
      </c>
      <c r="C680" s="63">
        <f>11.3579 * CHOOSE(CONTROL!$C$22, $C$13, 100%, $E$13)</f>
        <v>11.357900000000001</v>
      </c>
      <c r="D680" s="63">
        <f>11.3836 * CHOOSE(CONTROL!$C$22, $C$13, 100%, $E$13)</f>
        <v>11.383599999999999</v>
      </c>
      <c r="E680" s="64">
        <f>13.2713 * CHOOSE(CONTROL!$C$22, $C$13, 100%, $E$13)</f>
        <v>13.2713</v>
      </c>
      <c r="F680" s="64">
        <f>13.2713 * CHOOSE(CONTROL!$C$22, $C$13, 100%, $E$13)</f>
        <v>13.2713</v>
      </c>
      <c r="G680" s="64">
        <f>13.273 * CHOOSE(CONTROL!$C$22, $C$13, 100%, $E$13)</f>
        <v>13.273</v>
      </c>
      <c r="H680" s="64">
        <f>22.0086* CHOOSE(CONTROL!$C$22, $C$13, 100%, $E$13)</f>
        <v>22.008600000000001</v>
      </c>
      <c r="I680" s="64">
        <f>22.0103 * CHOOSE(CONTROL!$C$22, $C$13, 100%, $E$13)</f>
        <v>22.010300000000001</v>
      </c>
      <c r="J680" s="64">
        <f>13.2713 * CHOOSE(CONTROL!$C$22, $C$13, 100%, $E$13)</f>
        <v>13.2713</v>
      </c>
      <c r="K680" s="64">
        <f>13.273 * CHOOSE(CONTROL!$C$22, $C$13, 100%, $E$13)</f>
        <v>13.273</v>
      </c>
    </row>
    <row r="681" spans="1:11" ht="15">
      <c r="A681" s="13">
        <v>62367</v>
      </c>
      <c r="B681" s="63">
        <f>11.3773 * CHOOSE(CONTROL!$C$22, $C$13, 100%, $E$13)</f>
        <v>11.3773</v>
      </c>
      <c r="C681" s="63">
        <f>11.3773 * CHOOSE(CONTROL!$C$22, $C$13, 100%, $E$13)</f>
        <v>11.3773</v>
      </c>
      <c r="D681" s="63">
        <f>11.3901 * CHOOSE(CONTROL!$C$22, $C$13, 100%, $E$13)</f>
        <v>11.3901</v>
      </c>
      <c r="E681" s="64">
        <f>13.3185 * CHOOSE(CONTROL!$C$22, $C$13, 100%, $E$13)</f>
        <v>13.3185</v>
      </c>
      <c r="F681" s="64">
        <f>13.3185 * CHOOSE(CONTROL!$C$22, $C$13, 100%, $E$13)</f>
        <v>13.3185</v>
      </c>
      <c r="G681" s="64">
        <f>13.3187 * CHOOSE(CONTROL!$C$22, $C$13, 100%, $E$13)</f>
        <v>13.3187</v>
      </c>
      <c r="H681" s="64">
        <f>22.0545* CHOOSE(CONTROL!$C$22, $C$13, 100%, $E$13)</f>
        <v>22.054500000000001</v>
      </c>
      <c r="I681" s="64">
        <f>22.0546 * CHOOSE(CONTROL!$C$22, $C$13, 100%, $E$13)</f>
        <v>22.054600000000001</v>
      </c>
      <c r="J681" s="64">
        <f>13.3185 * CHOOSE(CONTROL!$C$22, $C$13, 100%, $E$13)</f>
        <v>13.3185</v>
      </c>
      <c r="K681" s="64">
        <f>13.3187 * CHOOSE(CONTROL!$C$22, $C$13, 100%, $E$13)</f>
        <v>13.3187</v>
      </c>
    </row>
    <row r="682" spans="1:11" ht="15">
      <c r="A682" s="13">
        <v>62398</v>
      </c>
      <c r="B682" s="63">
        <f>11.3803 * CHOOSE(CONTROL!$C$22, $C$13, 100%, $E$13)</f>
        <v>11.3803</v>
      </c>
      <c r="C682" s="63">
        <f>11.3803 * CHOOSE(CONTROL!$C$22, $C$13, 100%, $E$13)</f>
        <v>11.3803</v>
      </c>
      <c r="D682" s="63">
        <f>11.3932 * CHOOSE(CONTROL!$C$22, $C$13, 100%, $E$13)</f>
        <v>11.3932</v>
      </c>
      <c r="E682" s="64">
        <f>13.3509 * CHOOSE(CONTROL!$C$22, $C$13, 100%, $E$13)</f>
        <v>13.350899999999999</v>
      </c>
      <c r="F682" s="64">
        <f>13.3509 * CHOOSE(CONTROL!$C$22, $C$13, 100%, $E$13)</f>
        <v>13.350899999999999</v>
      </c>
      <c r="G682" s="64">
        <f>13.3511 * CHOOSE(CONTROL!$C$22, $C$13, 100%, $E$13)</f>
        <v>13.351100000000001</v>
      </c>
      <c r="H682" s="64">
        <f>22.1004* CHOOSE(CONTROL!$C$22, $C$13, 100%, $E$13)</f>
        <v>22.1004</v>
      </c>
      <c r="I682" s="64">
        <f>22.1006 * CHOOSE(CONTROL!$C$22, $C$13, 100%, $E$13)</f>
        <v>22.1006</v>
      </c>
      <c r="J682" s="64">
        <f>13.3509 * CHOOSE(CONTROL!$C$22, $C$13, 100%, $E$13)</f>
        <v>13.350899999999999</v>
      </c>
      <c r="K682" s="64">
        <f>13.3511 * CHOOSE(CONTROL!$C$22, $C$13, 100%, $E$13)</f>
        <v>13.351100000000001</v>
      </c>
    </row>
    <row r="683" spans="1:11" ht="15">
      <c r="A683" s="13">
        <v>62428</v>
      </c>
      <c r="B683" s="63">
        <f>11.3803 * CHOOSE(CONTROL!$C$22, $C$13, 100%, $E$13)</f>
        <v>11.3803</v>
      </c>
      <c r="C683" s="63">
        <f>11.3803 * CHOOSE(CONTROL!$C$22, $C$13, 100%, $E$13)</f>
        <v>11.3803</v>
      </c>
      <c r="D683" s="63">
        <f>11.3932 * CHOOSE(CONTROL!$C$22, $C$13, 100%, $E$13)</f>
        <v>11.3932</v>
      </c>
      <c r="E683" s="64">
        <f>13.2752 * CHOOSE(CONTROL!$C$22, $C$13, 100%, $E$13)</f>
        <v>13.2752</v>
      </c>
      <c r="F683" s="64">
        <f>13.2752 * CHOOSE(CONTROL!$C$22, $C$13, 100%, $E$13)</f>
        <v>13.2752</v>
      </c>
      <c r="G683" s="64">
        <f>13.2754 * CHOOSE(CONTROL!$C$22, $C$13, 100%, $E$13)</f>
        <v>13.275399999999999</v>
      </c>
      <c r="H683" s="64">
        <f>22.1465* CHOOSE(CONTROL!$C$22, $C$13, 100%, $E$13)</f>
        <v>22.1465</v>
      </c>
      <c r="I683" s="64">
        <f>22.1466 * CHOOSE(CONTROL!$C$22, $C$13, 100%, $E$13)</f>
        <v>22.146599999999999</v>
      </c>
      <c r="J683" s="64">
        <f>13.2752 * CHOOSE(CONTROL!$C$22, $C$13, 100%, $E$13)</f>
        <v>13.2752</v>
      </c>
      <c r="K683" s="64">
        <f>13.2754 * CHOOSE(CONTROL!$C$22, $C$13, 100%, $E$13)</f>
        <v>13.275399999999999</v>
      </c>
    </row>
    <row r="684" spans="1:11" ht="15">
      <c r="A684" s="13">
        <v>62459</v>
      </c>
      <c r="B684" s="63">
        <f>11.4183 * CHOOSE(CONTROL!$C$22, $C$13, 100%, $E$13)</f>
        <v>11.4183</v>
      </c>
      <c r="C684" s="63">
        <f>11.4183 * CHOOSE(CONTROL!$C$22, $C$13, 100%, $E$13)</f>
        <v>11.4183</v>
      </c>
      <c r="D684" s="63">
        <f>11.4312 * CHOOSE(CONTROL!$C$22, $C$13, 100%, $E$13)</f>
        <v>11.4312</v>
      </c>
      <c r="E684" s="64">
        <f>13.3731 * CHOOSE(CONTROL!$C$22, $C$13, 100%, $E$13)</f>
        <v>13.373100000000001</v>
      </c>
      <c r="F684" s="64">
        <f>13.3731 * CHOOSE(CONTROL!$C$22, $C$13, 100%, $E$13)</f>
        <v>13.373100000000001</v>
      </c>
      <c r="G684" s="64">
        <f>13.3733 * CHOOSE(CONTROL!$C$22, $C$13, 100%, $E$13)</f>
        <v>13.3733</v>
      </c>
      <c r="H684" s="64">
        <f>22.0911* CHOOSE(CONTROL!$C$22, $C$13, 100%, $E$13)</f>
        <v>22.091100000000001</v>
      </c>
      <c r="I684" s="64">
        <f>22.0913 * CHOOSE(CONTROL!$C$22, $C$13, 100%, $E$13)</f>
        <v>22.0913</v>
      </c>
      <c r="J684" s="64">
        <f>13.3731 * CHOOSE(CONTROL!$C$22, $C$13, 100%, $E$13)</f>
        <v>13.373100000000001</v>
      </c>
      <c r="K684" s="64">
        <f>13.3733 * CHOOSE(CONTROL!$C$22, $C$13, 100%, $E$13)</f>
        <v>13.3733</v>
      </c>
    </row>
    <row r="685" spans="1:11" ht="15">
      <c r="A685" s="13">
        <v>62490</v>
      </c>
      <c r="B685" s="63">
        <f>11.4153 * CHOOSE(CONTROL!$C$22, $C$13, 100%, $E$13)</f>
        <v>11.4153</v>
      </c>
      <c r="C685" s="63">
        <f>11.4153 * CHOOSE(CONTROL!$C$22, $C$13, 100%, $E$13)</f>
        <v>11.4153</v>
      </c>
      <c r="D685" s="63">
        <f>11.4281 * CHOOSE(CONTROL!$C$22, $C$13, 100%, $E$13)</f>
        <v>11.428100000000001</v>
      </c>
      <c r="E685" s="64">
        <f>13.2247 * CHOOSE(CONTROL!$C$22, $C$13, 100%, $E$13)</f>
        <v>13.2247</v>
      </c>
      <c r="F685" s="64">
        <f>13.2247 * CHOOSE(CONTROL!$C$22, $C$13, 100%, $E$13)</f>
        <v>13.2247</v>
      </c>
      <c r="G685" s="64">
        <f>13.2249 * CHOOSE(CONTROL!$C$22, $C$13, 100%, $E$13)</f>
        <v>13.2249</v>
      </c>
      <c r="H685" s="64">
        <f>22.1371* CHOOSE(CONTROL!$C$22, $C$13, 100%, $E$13)</f>
        <v>22.1371</v>
      </c>
      <c r="I685" s="64">
        <f>22.1373 * CHOOSE(CONTROL!$C$22, $C$13, 100%, $E$13)</f>
        <v>22.1373</v>
      </c>
      <c r="J685" s="64">
        <f>13.2247 * CHOOSE(CONTROL!$C$22, $C$13, 100%, $E$13)</f>
        <v>13.2247</v>
      </c>
      <c r="K685" s="64">
        <f>13.2249 * CHOOSE(CONTROL!$C$22, $C$13, 100%, $E$13)</f>
        <v>13.2249</v>
      </c>
    </row>
    <row r="686" spans="1:11" ht="15">
      <c r="A686" s="13">
        <v>62518</v>
      </c>
      <c r="B686" s="63">
        <f>11.4122 * CHOOSE(CONTROL!$C$22, $C$13, 100%, $E$13)</f>
        <v>11.4122</v>
      </c>
      <c r="C686" s="63">
        <f>11.4122 * CHOOSE(CONTROL!$C$22, $C$13, 100%, $E$13)</f>
        <v>11.4122</v>
      </c>
      <c r="D686" s="63">
        <f>11.4251 * CHOOSE(CONTROL!$C$22, $C$13, 100%, $E$13)</f>
        <v>11.4251</v>
      </c>
      <c r="E686" s="64">
        <f>13.3379 * CHOOSE(CONTROL!$C$22, $C$13, 100%, $E$13)</f>
        <v>13.337899999999999</v>
      </c>
      <c r="F686" s="64">
        <f>13.3379 * CHOOSE(CONTROL!$C$22, $C$13, 100%, $E$13)</f>
        <v>13.337899999999999</v>
      </c>
      <c r="G686" s="64">
        <f>13.3381 * CHOOSE(CONTROL!$C$22, $C$13, 100%, $E$13)</f>
        <v>13.338100000000001</v>
      </c>
      <c r="H686" s="64">
        <f>22.1833* CHOOSE(CONTROL!$C$22, $C$13, 100%, $E$13)</f>
        <v>22.183299999999999</v>
      </c>
      <c r="I686" s="64">
        <f>22.1834 * CHOOSE(CONTROL!$C$22, $C$13, 100%, $E$13)</f>
        <v>22.183399999999999</v>
      </c>
      <c r="J686" s="64">
        <f>13.3379 * CHOOSE(CONTROL!$C$22, $C$13, 100%, $E$13)</f>
        <v>13.337899999999999</v>
      </c>
      <c r="K686" s="64">
        <f>13.3381 * CHOOSE(CONTROL!$C$22, $C$13, 100%, $E$13)</f>
        <v>13.338100000000001</v>
      </c>
    </row>
    <row r="687" spans="1:11" ht="15">
      <c r="A687" s="13">
        <v>62549</v>
      </c>
      <c r="B687" s="63">
        <f>11.4162 * CHOOSE(CONTROL!$C$22, $C$13, 100%, $E$13)</f>
        <v>11.4162</v>
      </c>
      <c r="C687" s="63">
        <f>11.4162 * CHOOSE(CONTROL!$C$22, $C$13, 100%, $E$13)</f>
        <v>11.4162</v>
      </c>
      <c r="D687" s="63">
        <f>11.4291 * CHOOSE(CONTROL!$C$22, $C$13, 100%, $E$13)</f>
        <v>11.4291</v>
      </c>
      <c r="E687" s="64">
        <f>13.4575 * CHOOSE(CONTROL!$C$22, $C$13, 100%, $E$13)</f>
        <v>13.4575</v>
      </c>
      <c r="F687" s="64">
        <f>13.4575 * CHOOSE(CONTROL!$C$22, $C$13, 100%, $E$13)</f>
        <v>13.4575</v>
      </c>
      <c r="G687" s="64">
        <f>13.4577 * CHOOSE(CONTROL!$C$22, $C$13, 100%, $E$13)</f>
        <v>13.457700000000001</v>
      </c>
      <c r="H687" s="64">
        <f>22.2295* CHOOSE(CONTROL!$C$22, $C$13, 100%, $E$13)</f>
        <v>22.229500000000002</v>
      </c>
      <c r="I687" s="64">
        <f>22.2296 * CHOOSE(CONTROL!$C$22, $C$13, 100%, $E$13)</f>
        <v>22.229600000000001</v>
      </c>
      <c r="J687" s="64">
        <f>13.4575 * CHOOSE(CONTROL!$C$22, $C$13, 100%, $E$13)</f>
        <v>13.4575</v>
      </c>
      <c r="K687" s="64">
        <f>13.4577 * CHOOSE(CONTROL!$C$22, $C$13, 100%, $E$13)</f>
        <v>13.457700000000001</v>
      </c>
    </row>
    <row r="688" spans="1:11" ht="15">
      <c r="A688" s="13">
        <v>62579</v>
      </c>
      <c r="B688" s="63">
        <f>11.4162 * CHOOSE(CONTROL!$C$22, $C$13, 100%, $E$13)</f>
        <v>11.4162</v>
      </c>
      <c r="C688" s="63">
        <f>11.4162 * CHOOSE(CONTROL!$C$22, $C$13, 100%, $E$13)</f>
        <v>11.4162</v>
      </c>
      <c r="D688" s="63">
        <f>11.442 * CHOOSE(CONTROL!$C$22, $C$13, 100%, $E$13)</f>
        <v>11.442</v>
      </c>
      <c r="E688" s="64">
        <f>13.504 * CHOOSE(CONTROL!$C$22, $C$13, 100%, $E$13)</f>
        <v>13.504</v>
      </c>
      <c r="F688" s="64">
        <f>13.504 * CHOOSE(CONTROL!$C$22, $C$13, 100%, $E$13)</f>
        <v>13.504</v>
      </c>
      <c r="G688" s="64">
        <f>13.5056 * CHOOSE(CONTROL!$C$22, $C$13, 100%, $E$13)</f>
        <v>13.505599999999999</v>
      </c>
      <c r="H688" s="64">
        <f>22.2758* CHOOSE(CONTROL!$C$22, $C$13, 100%, $E$13)</f>
        <v>22.2758</v>
      </c>
      <c r="I688" s="64">
        <f>22.2774 * CHOOSE(CONTROL!$C$22, $C$13, 100%, $E$13)</f>
        <v>22.2774</v>
      </c>
      <c r="J688" s="64">
        <f>13.504 * CHOOSE(CONTROL!$C$22, $C$13, 100%, $E$13)</f>
        <v>13.504</v>
      </c>
      <c r="K688" s="64">
        <f>13.5056 * CHOOSE(CONTROL!$C$22, $C$13, 100%, $E$13)</f>
        <v>13.505599999999999</v>
      </c>
    </row>
    <row r="689" spans="1:11" ht="15">
      <c r="A689" s="13">
        <v>62610</v>
      </c>
      <c r="B689" s="63">
        <f>11.4223 * CHOOSE(CONTROL!$C$22, $C$13, 100%, $E$13)</f>
        <v>11.4223</v>
      </c>
      <c r="C689" s="63">
        <f>11.4223 * CHOOSE(CONTROL!$C$22, $C$13, 100%, $E$13)</f>
        <v>11.4223</v>
      </c>
      <c r="D689" s="63">
        <f>11.4481 * CHOOSE(CONTROL!$C$22, $C$13, 100%, $E$13)</f>
        <v>11.4481</v>
      </c>
      <c r="E689" s="64">
        <f>13.4618 * CHOOSE(CONTROL!$C$22, $C$13, 100%, $E$13)</f>
        <v>13.4618</v>
      </c>
      <c r="F689" s="64">
        <f>13.4618 * CHOOSE(CONTROL!$C$22, $C$13, 100%, $E$13)</f>
        <v>13.4618</v>
      </c>
      <c r="G689" s="64">
        <f>13.4634 * CHOOSE(CONTROL!$C$22, $C$13, 100%, $E$13)</f>
        <v>13.4634</v>
      </c>
      <c r="H689" s="64">
        <f>22.3222* CHOOSE(CONTROL!$C$22, $C$13, 100%, $E$13)</f>
        <v>22.322199999999999</v>
      </c>
      <c r="I689" s="64">
        <f>22.3238 * CHOOSE(CONTROL!$C$22, $C$13, 100%, $E$13)</f>
        <v>22.323799999999999</v>
      </c>
      <c r="J689" s="64">
        <f>13.4618 * CHOOSE(CONTROL!$C$22, $C$13, 100%, $E$13)</f>
        <v>13.4618</v>
      </c>
      <c r="K689" s="64">
        <f>13.4634 * CHOOSE(CONTROL!$C$22, $C$13, 100%, $E$13)</f>
        <v>13.4634</v>
      </c>
    </row>
    <row r="690" spans="1:11" ht="15">
      <c r="A690" s="13">
        <v>62640</v>
      </c>
      <c r="B690" s="63">
        <f>11.6034 * CHOOSE(CONTROL!$C$22, $C$13, 100%, $E$13)</f>
        <v>11.603400000000001</v>
      </c>
      <c r="C690" s="63">
        <f>11.6034 * CHOOSE(CONTROL!$C$22, $C$13, 100%, $E$13)</f>
        <v>11.603400000000001</v>
      </c>
      <c r="D690" s="63">
        <f>11.6292 * CHOOSE(CONTROL!$C$22, $C$13, 100%, $E$13)</f>
        <v>11.629200000000001</v>
      </c>
      <c r="E690" s="64">
        <f>13.7201 * CHOOSE(CONTROL!$C$22, $C$13, 100%, $E$13)</f>
        <v>13.7201</v>
      </c>
      <c r="F690" s="64">
        <f>13.7201 * CHOOSE(CONTROL!$C$22, $C$13, 100%, $E$13)</f>
        <v>13.7201</v>
      </c>
      <c r="G690" s="64">
        <f>13.7217 * CHOOSE(CONTROL!$C$22, $C$13, 100%, $E$13)</f>
        <v>13.7217</v>
      </c>
      <c r="H690" s="64">
        <f>22.3687* CHOOSE(CONTROL!$C$22, $C$13, 100%, $E$13)</f>
        <v>22.3687</v>
      </c>
      <c r="I690" s="64">
        <f>22.3703 * CHOOSE(CONTROL!$C$22, $C$13, 100%, $E$13)</f>
        <v>22.3703</v>
      </c>
      <c r="J690" s="64">
        <f>13.7201 * CHOOSE(CONTROL!$C$22, $C$13, 100%, $E$13)</f>
        <v>13.7201</v>
      </c>
      <c r="K690" s="64">
        <f>13.7217 * CHOOSE(CONTROL!$C$22, $C$13, 100%, $E$13)</f>
        <v>13.7217</v>
      </c>
    </row>
    <row r="691" spans="1:11" ht="15">
      <c r="A691" s="13">
        <v>62671</v>
      </c>
      <c r="B691" s="63">
        <f>11.6101 * CHOOSE(CONTROL!$C$22, $C$13, 100%, $E$13)</f>
        <v>11.610099999999999</v>
      </c>
      <c r="C691" s="63">
        <f>11.6101 * CHOOSE(CONTROL!$C$22, $C$13, 100%, $E$13)</f>
        <v>11.610099999999999</v>
      </c>
      <c r="D691" s="63">
        <f>11.6359 * CHOOSE(CONTROL!$C$22, $C$13, 100%, $E$13)</f>
        <v>11.635899999999999</v>
      </c>
      <c r="E691" s="64">
        <f>13.5854 * CHOOSE(CONTROL!$C$22, $C$13, 100%, $E$13)</f>
        <v>13.5854</v>
      </c>
      <c r="F691" s="64">
        <f>13.5854 * CHOOSE(CONTROL!$C$22, $C$13, 100%, $E$13)</f>
        <v>13.5854</v>
      </c>
      <c r="G691" s="64">
        <f>13.5871 * CHOOSE(CONTROL!$C$22, $C$13, 100%, $E$13)</f>
        <v>13.5871</v>
      </c>
      <c r="H691" s="64">
        <f>22.4153* CHOOSE(CONTROL!$C$22, $C$13, 100%, $E$13)</f>
        <v>22.415299999999998</v>
      </c>
      <c r="I691" s="64">
        <f>22.4169 * CHOOSE(CONTROL!$C$22, $C$13, 100%, $E$13)</f>
        <v>22.416899999999998</v>
      </c>
      <c r="J691" s="64">
        <f>13.5854 * CHOOSE(CONTROL!$C$22, $C$13, 100%, $E$13)</f>
        <v>13.5854</v>
      </c>
      <c r="K691" s="64">
        <f>13.5871 * CHOOSE(CONTROL!$C$22, $C$13, 100%, $E$13)</f>
        <v>13.5871</v>
      </c>
    </row>
    <row r="692" spans="1:11" ht="15">
      <c r="A692" s="13">
        <v>62702</v>
      </c>
      <c r="B692" s="63">
        <f>11.6071 * CHOOSE(CONTROL!$C$22, $C$13, 100%, $E$13)</f>
        <v>11.607100000000001</v>
      </c>
      <c r="C692" s="63">
        <f>11.6071 * CHOOSE(CONTROL!$C$22, $C$13, 100%, $E$13)</f>
        <v>11.607100000000001</v>
      </c>
      <c r="D692" s="63">
        <f>11.6328 * CHOOSE(CONTROL!$C$22, $C$13, 100%, $E$13)</f>
        <v>11.6328</v>
      </c>
      <c r="E692" s="64">
        <f>13.5678 * CHOOSE(CONTROL!$C$22, $C$13, 100%, $E$13)</f>
        <v>13.5678</v>
      </c>
      <c r="F692" s="64">
        <f>13.5678 * CHOOSE(CONTROL!$C$22, $C$13, 100%, $E$13)</f>
        <v>13.5678</v>
      </c>
      <c r="G692" s="64">
        <f>13.5695 * CHOOSE(CONTROL!$C$22, $C$13, 100%, $E$13)</f>
        <v>13.5695</v>
      </c>
      <c r="H692" s="64">
        <f>22.462* CHOOSE(CONTROL!$C$22, $C$13, 100%, $E$13)</f>
        <v>22.462</v>
      </c>
      <c r="I692" s="64">
        <f>22.4636 * CHOOSE(CONTROL!$C$22, $C$13, 100%, $E$13)</f>
        <v>22.4636</v>
      </c>
      <c r="J692" s="64">
        <f>13.5678 * CHOOSE(CONTROL!$C$22, $C$13, 100%, $E$13)</f>
        <v>13.5678</v>
      </c>
      <c r="K692" s="64">
        <f>13.5695 * CHOOSE(CONTROL!$C$22, $C$13, 100%, $E$13)</f>
        <v>13.5695</v>
      </c>
    </row>
    <row r="693" spans="1:11" ht="15">
      <c r="A693" s="13">
        <v>62732</v>
      </c>
      <c r="B693" s="63">
        <f>11.6273 * CHOOSE(CONTROL!$C$22, $C$13, 100%, $E$13)</f>
        <v>11.6273</v>
      </c>
      <c r="C693" s="63">
        <f>11.6273 * CHOOSE(CONTROL!$C$22, $C$13, 100%, $E$13)</f>
        <v>11.6273</v>
      </c>
      <c r="D693" s="63">
        <f>11.6402 * CHOOSE(CONTROL!$C$22, $C$13, 100%, $E$13)</f>
        <v>11.6402</v>
      </c>
      <c r="E693" s="64">
        <f>13.6163 * CHOOSE(CONTROL!$C$22, $C$13, 100%, $E$13)</f>
        <v>13.616300000000001</v>
      </c>
      <c r="F693" s="64">
        <f>13.6163 * CHOOSE(CONTROL!$C$22, $C$13, 100%, $E$13)</f>
        <v>13.616300000000001</v>
      </c>
      <c r="G693" s="64">
        <f>13.6165 * CHOOSE(CONTROL!$C$22, $C$13, 100%, $E$13)</f>
        <v>13.6165</v>
      </c>
      <c r="H693" s="64">
        <f>22.5088* CHOOSE(CONTROL!$C$22, $C$13, 100%, $E$13)</f>
        <v>22.508800000000001</v>
      </c>
      <c r="I693" s="64">
        <f>22.509 * CHOOSE(CONTROL!$C$22, $C$13, 100%, $E$13)</f>
        <v>22.509</v>
      </c>
      <c r="J693" s="64">
        <f>13.6163 * CHOOSE(CONTROL!$C$22, $C$13, 100%, $E$13)</f>
        <v>13.616300000000001</v>
      </c>
      <c r="K693" s="64">
        <f>13.6165 * CHOOSE(CONTROL!$C$22, $C$13, 100%, $E$13)</f>
        <v>13.6165</v>
      </c>
    </row>
    <row r="694" spans="1:11" ht="15">
      <c r="A694" s="13">
        <v>62763</v>
      </c>
      <c r="B694" s="63">
        <f>11.6303 * CHOOSE(CONTROL!$C$22, $C$13, 100%, $E$13)</f>
        <v>11.6303</v>
      </c>
      <c r="C694" s="63">
        <f>11.6303 * CHOOSE(CONTROL!$C$22, $C$13, 100%, $E$13)</f>
        <v>11.6303</v>
      </c>
      <c r="D694" s="63">
        <f>11.6432 * CHOOSE(CONTROL!$C$22, $C$13, 100%, $E$13)</f>
        <v>11.6432</v>
      </c>
      <c r="E694" s="64">
        <f>13.6494 * CHOOSE(CONTROL!$C$22, $C$13, 100%, $E$13)</f>
        <v>13.6494</v>
      </c>
      <c r="F694" s="64">
        <f>13.6494 * CHOOSE(CONTROL!$C$22, $C$13, 100%, $E$13)</f>
        <v>13.6494</v>
      </c>
      <c r="G694" s="64">
        <f>13.6496 * CHOOSE(CONTROL!$C$22, $C$13, 100%, $E$13)</f>
        <v>13.6496</v>
      </c>
      <c r="H694" s="64">
        <f>22.5557* CHOOSE(CONTROL!$C$22, $C$13, 100%, $E$13)</f>
        <v>22.555700000000002</v>
      </c>
      <c r="I694" s="64">
        <f>22.5559 * CHOOSE(CONTROL!$C$22, $C$13, 100%, $E$13)</f>
        <v>22.555900000000001</v>
      </c>
      <c r="J694" s="64">
        <f>13.6494 * CHOOSE(CONTROL!$C$22, $C$13, 100%, $E$13)</f>
        <v>13.6494</v>
      </c>
      <c r="K694" s="64">
        <f>13.6496 * CHOOSE(CONTROL!$C$22, $C$13, 100%, $E$13)</f>
        <v>13.6496</v>
      </c>
    </row>
    <row r="695" spans="1:11" ht="15">
      <c r="A695" s="13">
        <v>62793</v>
      </c>
      <c r="B695" s="63">
        <f>11.6303 * CHOOSE(CONTROL!$C$22, $C$13, 100%, $E$13)</f>
        <v>11.6303</v>
      </c>
      <c r="C695" s="63">
        <f>11.6303 * CHOOSE(CONTROL!$C$22, $C$13, 100%, $E$13)</f>
        <v>11.6303</v>
      </c>
      <c r="D695" s="63">
        <f>11.6432 * CHOOSE(CONTROL!$C$22, $C$13, 100%, $E$13)</f>
        <v>11.6432</v>
      </c>
      <c r="E695" s="64">
        <f>13.572 * CHOOSE(CONTROL!$C$22, $C$13, 100%, $E$13)</f>
        <v>13.571999999999999</v>
      </c>
      <c r="F695" s="64">
        <f>13.572 * CHOOSE(CONTROL!$C$22, $C$13, 100%, $E$13)</f>
        <v>13.571999999999999</v>
      </c>
      <c r="G695" s="64">
        <f>13.5722 * CHOOSE(CONTROL!$C$22, $C$13, 100%, $E$13)</f>
        <v>13.5722</v>
      </c>
      <c r="H695" s="64">
        <f>22.6027* CHOOSE(CONTROL!$C$22, $C$13, 100%, $E$13)</f>
        <v>22.602699999999999</v>
      </c>
      <c r="I695" s="64">
        <f>22.6028 * CHOOSE(CONTROL!$C$22, $C$13, 100%, $E$13)</f>
        <v>22.602799999999998</v>
      </c>
      <c r="J695" s="64">
        <f>13.572 * CHOOSE(CONTROL!$C$22, $C$13, 100%, $E$13)</f>
        <v>13.571999999999999</v>
      </c>
      <c r="K695" s="64">
        <f>13.5722 * CHOOSE(CONTROL!$C$22, $C$13, 100%, $E$13)</f>
        <v>13.5722</v>
      </c>
    </row>
    <row r="696" spans="1:11" ht="15">
      <c r="A696" s="13">
        <v>62824</v>
      </c>
      <c r="B696" s="63">
        <f>11.6636 * CHOOSE(CONTROL!$C$22, $C$13, 100%, $E$13)</f>
        <v>11.663600000000001</v>
      </c>
      <c r="C696" s="63">
        <f>11.6636 * CHOOSE(CONTROL!$C$22, $C$13, 100%, $E$13)</f>
        <v>11.663600000000001</v>
      </c>
      <c r="D696" s="63">
        <f>11.6765 * CHOOSE(CONTROL!$C$22, $C$13, 100%, $E$13)</f>
        <v>11.676500000000001</v>
      </c>
      <c r="E696" s="64">
        <f>13.6655 * CHOOSE(CONTROL!$C$22, $C$13, 100%, $E$13)</f>
        <v>13.6655</v>
      </c>
      <c r="F696" s="64">
        <f>13.6655 * CHOOSE(CONTROL!$C$22, $C$13, 100%, $E$13)</f>
        <v>13.6655</v>
      </c>
      <c r="G696" s="64">
        <f>13.6657 * CHOOSE(CONTROL!$C$22, $C$13, 100%, $E$13)</f>
        <v>13.665699999999999</v>
      </c>
      <c r="H696" s="64">
        <f>22.537* CHOOSE(CONTROL!$C$22, $C$13, 100%, $E$13)</f>
        <v>22.536999999999999</v>
      </c>
      <c r="I696" s="64">
        <f>22.5372 * CHOOSE(CONTROL!$C$22, $C$13, 100%, $E$13)</f>
        <v>22.537199999999999</v>
      </c>
      <c r="J696" s="64">
        <f>13.6655 * CHOOSE(CONTROL!$C$22, $C$13, 100%, $E$13)</f>
        <v>13.6655</v>
      </c>
      <c r="K696" s="64">
        <f>13.6657 * CHOOSE(CONTROL!$C$22, $C$13, 100%, $E$13)</f>
        <v>13.665699999999999</v>
      </c>
    </row>
    <row r="697" spans="1:11" ht="15">
      <c r="A697" s="13">
        <v>62855</v>
      </c>
      <c r="B697" s="63">
        <f>11.6606 * CHOOSE(CONTROL!$C$22, $C$13, 100%, $E$13)</f>
        <v>11.660600000000001</v>
      </c>
      <c r="C697" s="63">
        <f>11.6606 * CHOOSE(CONTROL!$C$22, $C$13, 100%, $E$13)</f>
        <v>11.660600000000001</v>
      </c>
      <c r="D697" s="63">
        <f>11.6735 * CHOOSE(CONTROL!$C$22, $C$13, 100%, $E$13)</f>
        <v>11.673500000000001</v>
      </c>
      <c r="E697" s="64">
        <f>13.5139 * CHOOSE(CONTROL!$C$22, $C$13, 100%, $E$13)</f>
        <v>13.5139</v>
      </c>
      <c r="F697" s="64">
        <f>13.5139 * CHOOSE(CONTROL!$C$22, $C$13, 100%, $E$13)</f>
        <v>13.5139</v>
      </c>
      <c r="G697" s="64">
        <f>13.5141 * CHOOSE(CONTROL!$C$22, $C$13, 100%, $E$13)</f>
        <v>13.514099999999999</v>
      </c>
      <c r="H697" s="64">
        <f>22.584* CHOOSE(CONTROL!$C$22, $C$13, 100%, $E$13)</f>
        <v>22.584</v>
      </c>
      <c r="I697" s="64">
        <f>22.5841 * CHOOSE(CONTROL!$C$22, $C$13, 100%, $E$13)</f>
        <v>22.584099999999999</v>
      </c>
      <c r="J697" s="64">
        <f>13.5139 * CHOOSE(CONTROL!$C$22, $C$13, 100%, $E$13)</f>
        <v>13.5139</v>
      </c>
      <c r="K697" s="64">
        <f>13.5141 * CHOOSE(CONTROL!$C$22, $C$13, 100%, $E$13)</f>
        <v>13.514099999999999</v>
      </c>
    </row>
    <row r="698" spans="1:11" ht="15">
      <c r="A698" s="13">
        <v>62884</v>
      </c>
      <c r="B698" s="63">
        <f>11.6575 * CHOOSE(CONTROL!$C$22, $C$13, 100%, $E$13)</f>
        <v>11.657500000000001</v>
      </c>
      <c r="C698" s="63">
        <f>11.6575 * CHOOSE(CONTROL!$C$22, $C$13, 100%, $E$13)</f>
        <v>11.657500000000001</v>
      </c>
      <c r="D698" s="63">
        <f>11.6704 * CHOOSE(CONTROL!$C$22, $C$13, 100%, $E$13)</f>
        <v>11.670400000000001</v>
      </c>
      <c r="E698" s="64">
        <f>13.6297 * CHOOSE(CONTROL!$C$22, $C$13, 100%, $E$13)</f>
        <v>13.6297</v>
      </c>
      <c r="F698" s="64">
        <f>13.6297 * CHOOSE(CONTROL!$C$22, $C$13, 100%, $E$13)</f>
        <v>13.6297</v>
      </c>
      <c r="G698" s="64">
        <f>13.6298 * CHOOSE(CONTROL!$C$22, $C$13, 100%, $E$13)</f>
        <v>13.629799999999999</v>
      </c>
      <c r="H698" s="64">
        <f>22.631* CHOOSE(CONTROL!$C$22, $C$13, 100%, $E$13)</f>
        <v>22.631</v>
      </c>
      <c r="I698" s="64">
        <f>22.6312 * CHOOSE(CONTROL!$C$22, $C$13, 100%, $E$13)</f>
        <v>22.6312</v>
      </c>
      <c r="J698" s="64">
        <f>13.6297 * CHOOSE(CONTROL!$C$22, $C$13, 100%, $E$13)</f>
        <v>13.6297</v>
      </c>
      <c r="K698" s="64">
        <f>13.6298 * CHOOSE(CONTROL!$C$22, $C$13, 100%, $E$13)</f>
        <v>13.629799999999999</v>
      </c>
    </row>
    <row r="699" spans="1:11" ht="15">
      <c r="A699" s="13">
        <v>62915</v>
      </c>
      <c r="B699" s="63">
        <f>11.6618 * CHOOSE(CONTROL!$C$22, $C$13, 100%, $E$13)</f>
        <v>11.661799999999999</v>
      </c>
      <c r="C699" s="63">
        <f>11.6618 * CHOOSE(CONTROL!$C$22, $C$13, 100%, $E$13)</f>
        <v>11.661799999999999</v>
      </c>
      <c r="D699" s="63">
        <f>11.6746 * CHOOSE(CONTROL!$C$22, $C$13, 100%, $E$13)</f>
        <v>11.6746</v>
      </c>
      <c r="E699" s="64">
        <f>13.752 * CHOOSE(CONTROL!$C$22, $C$13, 100%, $E$13)</f>
        <v>13.752000000000001</v>
      </c>
      <c r="F699" s="64">
        <f>13.752 * CHOOSE(CONTROL!$C$22, $C$13, 100%, $E$13)</f>
        <v>13.752000000000001</v>
      </c>
      <c r="G699" s="64">
        <f>13.7522 * CHOOSE(CONTROL!$C$22, $C$13, 100%, $E$13)</f>
        <v>13.7522</v>
      </c>
      <c r="H699" s="64">
        <f>22.6782* CHOOSE(CONTROL!$C$22, $C$13, 100%, $E$13)</f>
        <v>22.6782</v>
      </c>
      <c r="I699" s="64">
        <f>22.6783 * CHOOSE(CONTROL!$C$22, $C$13, 100%, $E$13)</f>
        <v>22.6783</v>
      </c>
      <c r="J699" s="64">
        <f>13.752 * CHOOSE(CONTROL!$C$22, $C$13, 100%, $E$13)</f>
        <v>13.752000000000001</v>
      </c>
      <c r="K699" s="64">
        <f>13.7522 * CHOOSE(CONTROL!$C$22, $C$13, 100%, $E$13)</f>
        <v>13.7522</v>
      </c>
    </row>
    <row r="700" spans="1:11" ht="15">
      <c r="A700" s="13">
        <v>62945</v>
      </c>
      <c r="B700" s="63">
        <f>11.6618 * CHOOSE(CONTROL!$C$22, $C$13, 100%, $E$13)</f>
        <v>11.661799999999999</v>
      </c>
      <c r="C700" s="63">
        <f>11.6618 * CHOOSE(CONTROL!$C$22, $C$13, 100%, $E$13)</f>
        <v>11.661799999999999</v>
      </c>
      <c r="D700" s="63">
        <f>11.6875 * CHOOSE(CONTROL!$C$22, $C$13, 100%, $E$13)</f>
        <v>11.6875</v>
      </c>
      <c r="E700" s="64">
        <f>13.7995 * CHOOSE(CONTROL!$C$22, $C$13, 100%, $E$13)</f>
        <v>13.7995</v>
      </c>
      <c r="F700" s="64">
        <f>13.7995 * CHOOSE(CONTROL!$C$22, $C$13, 100%, $E$13)</f>
        <v>13.7995</v>
      </c>
      <c r="G700" s="64">
        <f>13.8011 * CHOOSE(CONTROL!$C$22, $C$13, 100%, $E$13)</f>
        <v>13.8011</v>
      </c>
      <c r="H700" s="64">
        <f>22.7254* CHOOSE(CONTROL!$C$22, $C$13, 100%, $E$13)</f>
        <v>22.7254</v>
      </c>
      <c r="I700" s="64">
        <f>22.727 * CHOOSE(CONTROL!$C$22, $C$13, 100%, $E$13)</f>
        <v>22.727</v>
      </c>
      <c r="J700" s="64">
        <f>13.7995 * CHOOSE(CONTROL!$C$22, $C$13, 100%, $E$13)</f>
        <v>13.7995</v>
      </c>
      <c r="K700" s="64">
        <f>13.8011 * CHOOSE(CONTROL!$C$22, $C$13, 100%, $E$13)</f>
        <v>13.8011</v>
      </c>
    </row>
    <row r="701" spans="1:11" ht="15">
      <c r="A701" s="13">
        <v>62976</v>
      </c>
      <c r="B701" s="63">
        <f>11.6679 * CHOOSE(CONTROL!$C$22, $C$13, 100%, $E$13)</f>
        <v>11.667899999999999</v>
      </c>
      <c r="C701" s="63">
        <f>11.6679 * CHOOSE(CONTROL!$C$22, $C$13, 100%, $E$13)</f>
        <v>11.667899999999999</v>
      </c>
      <c r="D701" s="63">
        <f>11.6936 * CHOOSE(CONTROL!$C$22, $C$13, 100%, $E$13)</f>
        <v>11.6936</v>
      </c>
      <c r="E701" s="64">
        <f>13.7562 * CHOOSE(CONTROL!$C$22, $C$13, 100%, $E$13)</f>
        <v>13.7562</v>
      </c>
      <c r="F701" s="64">
        <f>13.7562 * CHOOSE(CONTROL!$C$22, $C$13, 100%, $E$13)</f>
        <v>13.7562</v>
      </c>
      <c r="G701" s="64">
        <f>13.7579 * CHOOSE(CONTROL!$C$22, $C$13, 100%, $E$13)</f>
        <v>13.757899999999999</v>
      </c>
      <c r="H701" s="64">
        <f>22.7727* CHOOSE(CONTROL!$C$22, $C$13, 100%, $E$13)</f>
        <v>22.7727</v>
      </c>
      <c r="I701" s="64">
        <f>22.7744 * CHOOSE(CONTROL!$C$22, $C$13, 100%, $E$13)</f>
        <v>22.7744</v>
      </c>
      <c r="J701" s="64">
        <f>13.7562 * CHOOSE(CONTROL!$C$22, $C$13, 100%, $E$13)</f>
        <v>13.7562</v>
      </c>
      <c r="K701" s="64">
        <f>13.7579 * CHOOSE(CONTROL!$C$22, $C$13, 100%, $E$13)</f>
        <v>13.757899999999999</v>
      </c>
    </row>
    <row r="702" spans="1:11" ht="15">
      <c r="A702" s="13">
        <v>63006</v>
      </c>
      <c r="B702" s="63">
        <f>11.8526 * CHOOSE(CONTROL!$C$22, $C$13, 100%, $E$13)</f>
        <v>11.852600000000001</v>
      </c>
      <c r="C702" s="63">
        <f>11.8526 * CHOOSE(CONTROL!$C$22, $C$13, 100%, $E$13)</f>
        <v>11.852600000000001</v>
      </c>
      <c r="D702" s="63">
        <f>11.8784 * CHOOSE(CONTROL!$C$22, $C$13, 100%, $E$13)</f>
        <v>11.878399999999999</v>
      </c>
      <c r="E702" s="64">
        <f>14.02 * CHOOSE(CONTROL!$C$22, $C$13, 100%, $E$13)</f>
        <v>14.02</v>
      </c>
      <c r="F702" s="64">
        <f>14.02 * CHOOSE(CONTROL!$C$22, $C$13, 100%, $E$13)</f>
        <v>14.02</v>
      </c>
      <c r="G702" s="64">
        <f>14.0216 * CHOOSE(CONTROL!$C$22, $C$13, 100%, $E$13)</f>
        <v>14.021599999999999</v>
      </c>
      <c r="H702" s="64">
        <f>22.8202* CHOOSE(CONTROL!$C$22, $C$13, 100%, $E$13)</f>
        <v>22.8202</v>
      </c>
      <c r="I702" s="64">
        <f>22.8218 * CHOOSE(CONTROL!$C$22, $C$13, 100%, $E$13)</f>
        <v>22.8218</v>
      </c>
      <c r="J702" s="64">
        <f>14.02 * CHOOSE(CONTROL!$C$22, $C$13, 100%, $E$13)</f>
        <v>14.02</v>
      </c>
      <c r="K702" s="64">
        <f>14.0216 * CHOOSE(CONTROL!$C$22, $C$13, 100%, $E$13)</f>
        <v>14.021599999999999</v>
      </c>
    </row>
    <row r="703" spans="1:11" ht="15">
      <c r="A703" s="13">
        <v>63037</v>
      </c>
      <c r="B703" s="63">
        <f>11.8593 * CHOOSE(CONTROL!$C$22, $C$13, 100%, $E$13)</f>
        <v>11.859299999999999</v>
      </c>
      <c r="C703" s="63">
        <f>11.8593 * CHOOSE(CONTROL!$C$22, $C$13, 100%, $E$13)</f>
        <v>11.859299999999999</v>
      </c>
      <c r="D703" s="63">
        <f>11.8851 * CHOOSE(CONTROL!$C$22, $C$13, 100%, $E$13)</f>
        <v>11.8851</v>
      </c>
      <c r="E703" s="64">
        <f>13.8823 * CHOOSE(CONTROL!$C$22, $C$13, 100%, $E$13)</f>
        <v>13.882300000000001</v>
      </c>
      <c r="F703" s="64">
        <f>13.8823 * CHOOSE(CONTROL!$C$22, $C$13, 100%, $E$13)</f>
        <v>13.882300000000001</v>
      </c>
      <c r="G703" s="64">
        <f>13.8839 * CHOOSE(CONTROL!$C$22, $C$13, 100%, $E$13)</f>
        <v>13.883900000000001</v>
      </c>
      <c r="H703" s="64">
        <f>22.8677* CHOOSE(CONTROL!$C$22, $C$13, 100%, $E$13)</f>
        <v>22.867699999999999</v>
      </c>
      <c r="I703" s="64">
        <f>22.8694 * CHOOSE(CONTROL!$C$22, $C$13, 100%, $E$13)</f>
        <v>22.869399999999999</v>
      </c>
      <c r="J703" s="64">
        <f>13.8823 * CHOOSE(CONTROL!$C$22, $C$13, 100%, $E$13)</f>
        <v>13.882300000000001</v>
      </c>
      <c r="K703" s="64">
        <f>13.8839 * CHOOSE(CONTROL!$C$22, $C$13, 100%, $E$13)</f>
        <v>13.883900000000001</v>
      </c>
    </row>
    <row r="704" spans="1:11" ht="15">
      <c r="A704" s="13">
        <v>63068</v>
      </c>
      <c r="B704" s="63">
        <f>11.8563 * CHOOSE(CONTROL!$C$22, $C$13, 100%, $E$13)</f>
        <v>11.856299999999999</v>
      </c>
      <c r="C704" s="63">
        <f>11.8563 * CHOOSE(CONTROL!$C$22, $C$13, 100%, $E$13)</f>
        <v>11.856299999999999</v>
      </c>
      <c r="D704" s="63">
        <f>11.882 * CHOOSE(CONTROL!$C$22, $C$13, 100%, $E$13)</f>
        <v>11.882</v>
      </c>
      <c r="E704" s="64">
        <f>13.8643 * CHOOSE(CONTROL!$C$22, $C$13, 100%, $E$13)</f>
        <v>13.8643</v>
      </c>
      <c r="F704" s="64">
        <f>13.8643 * CHOOSE(CONTROL!$C$22, $C$13, 100%, $E$13)</f>
        <v>13.8643</v>
      </c>
      <c r="G704" s="64">
        <f>13.866 * CHOOSE(CONTROL!$C$22, $C$13, 100%, $E$13)</f>
        <v>13.866</v>
      </c>
      <c r="H704" s="64">
        <f>22.9154* CHOOSE(CONTROL!$C$22, $C$13, 100%, $E$13)</f>
        <v>22.915400000000002</v>
      </c>
      <c r="I704" s="64">
        <f>22.917 * CHOOSE(CONTROL!$C$22, $C$13, 100%, $E$13)</f>
        <v>22.917000000000002</v>
      </c>
      <c r="J704" s="64">
        <f>13.8643 * CHOOSE(CONTROL!$C$22, $C$13, 100%, $E$13)</f>
        <v>13.8643</v>
      </c>
      <c r="K704" s="64">
        <f>13.866 * CHOOSE(CONTROL!$C$22, $C$13, 100%, $E$13)</f>
        <v>13.866</v>
      </c>
    </row>
    <row r="705" spans="1:11" ht="15">
      <c r="A705" s="13">
        <v>63098</v>
      </c>
      <c r="B705" s="63">
        <f>11.8773 * CHOOSE(CONTROL!$C$22, $C$13, 100%, $E$13)</f>
        <v>11.8773</v>
      </c>
      <c r="C705" s="63">
        <f>11.8773 * CHOOSE(CONTROL!$C$22, $C$13, 100%, $E$13)</f>
        <v>11.8773</v>
      </c>
      <c r="D705" s="63">
        <f>11.8902 * CHOOSE(CONTROL!$C$22, $C$13, 100%, $E$13)</f>
        <v>11.8902</v>
      </c>
      <c r="E705" s="64">
        <f>13.9142 * CHOOSE(CONTROL!$C$22, $C$13, 100%, $E$13)</f>
        <v>13.914199999999999</v>
      </c>
      <c r="F705" s="64">
        <f>13.9142 * CHOOSE(CONTROL!$C$22, $C$13, 100%, $E$13)</f>
        <v>13.914199999999999</v>
      </c>
      <c r="G705" s="64">
        <f>13.9144 * CHOOSE(CONTROL!$C$22, $C$13, 100%, $E$13)</f>
        <v>13.914400000000001</v>
      </c>
      <c r="H705" s="64">
        <f>22.9631* CHOOSE(CONTROL!$C$22, $C$13, 100%, $E$13)</f>
        <v>22.963100000000001</v>
      </c>
      <c r="I705" s="64">
        <f>22.9633 * CHOOSE(CONTROL!$C$22, $C$13, 100%, $E$13)</f>
        <v>22.9633</v>
      </c>
      <c r="J705" s="64">
        <f>13.9142 * CHOOSE(CONTROL!$C$22, $C$13, 100%, $E$13)</f>
        <v>13.914199999999999</v>
      </c>
      <c r="K705" s="64">
        <f>13.9144 * CHOOSE(CONTROL!$C$22, $C$13, 100%, $E$13)</f>
        <v>13.914400000000001</v>
      </c>
    </row>
    <row r="706" spans="1:11" ht="15">
      <c r="A706" s="13">
        <v>63129</v>
      </c>
      <c r="B706" s="63">
        <f>11.8803 * CHOOSE(CONTROL!$C$22, $C$13, 100%, $E$13)</f>
        <v>11.8803</v>
      </c>
      <c r="C706" s="63">
        <f>11.8803 * CHOOSE(CONTROL!$C$22, $C$13, 100%, $E$13)</f>
        <v>11.8803</v>
      </c>
      <c r="D706" s="63">
        <f>11.8932 * CHOOSE(CONTROL!$C$22, $C$13, 100%, $E$13)</f>
        <v>11.8932</v>
      </c>
      <c r="E706" s="64">
        <f>13.9479 * CHOOSE(CONTROL!$C$22, $C$13, 100%, $E$13)</f>
        <v>13.947900000000001</v>
      </c>
      <c r="F706" s="64">
        <f>13.9479 * CHOOSE(CONTROL!$C$22, $C$13, 100%, $E$13)</f>
        <v>13.947900000000001</v>
      </c>
      <c r="G706" s="64">
        <f>13.9481 * CHOOSE(CONTROL!$C$22, $C$13, 100%, $E$13)</f>
        <v>13.9481</v>
      </c>
      <c r="H706" s="64">
        <f>23.0109* CHOOSE(CONTROL!$C$22, $C$13, 100%, $E$13)</f>
        <v>23.010899999999999</v>
      </c>
      <c r="I706" s="64">
        <f>23.0111 * CHOOSE(CONTROL!$C$22, $C$13, 100%, $E$13)</f>
        <v>23.011099999999999</v>
      </c>
      <c r="J706" s="64">
        <f>13.9479 * CHOOSE(CONTROL!$C$22, $C$13, 100%, $E$13)</f>
        <v>13.947900000000001</v>
      </c>
      <c r="K706" s="64">
        <f>13.9481 * CHOOSE(CONTROL!$C$22, $C$13, 100%, $E$13)</f>
        <v>13.9481</v>
      </c>
    </row>
    <row r="707" spans="1:11" ht="15">
      <c r="A707" s="13">
        <v>63159</v>
      </c>
      <c r="B707" s="63">
        <f>11.8803 * CHOOSE(CONTROL!$C$22, $C$13, 100%, $E$13)</f>
        <v>11.8803</v>
      </c>
      <c r="C707" s="63">
        <f>11.8803 * CHOOSE(CONTROL!$C$22, $C$13, 100%, $E$13)</f>
        <v>11.8803</v>
      </c>
      <c r="D707" s="63">
        <f>11.8932 * CHOOSE(CONTROL!$C$22, $C$13, 100%, $E$13)</f>
        <v>11.8932</v>
      </c>
      <c r="E707" s="64">
        <f>13.8688 * CHOOSE(CONTROL!$C$22, $C$13, 100%, $E$13)</f>
        <v>13.8688</v>
      </c>
      <c r="F707" s="64">
        <f>13.8688 * CHOOSE(CONTROL!$C$22, $C$13, 100%, $E$13)</f>
        <v>13.8688</v>
      </c>
      <c r="G707" s="64">
        <f>13.869 * CHOOSE(CONTROL!$C$22, $C$13, 100%, $E$13)</f>
        <v>13.869</v>
      </c>
      <c r="H707" s="64">
        <f>23.0589* CHOOSE(CONTROL!$C$22, $C$13, 100%, $E$13)</f>
        <v>23.058900000000001</v>
      </c>
      <c r="I707" s="64">
        <f>23.0591 * CHOOSE(CONTROL!$C$22, $C$13, 100%, $E$13)</f>
        <v>23.059100000000001</v>
      </c>
      <c r="J707" s="64">
        <f>13.8688 * CHOOSE(CONTROL!$C$22, $C$13, 100%, $E$13)</f>
        <v>13.8688</v>
      </c>
      <c r="K707" s="64">
        <f>13.869 * CHOOSE(CONTROL!$C$22, $C$13, 100%, $E$13)</f>
        <v>13.869</v>
      </c>
    </row>
    <row r="708" spans="1:11" ht="15">
      <c r="A708" s="13">
        <v>63190</v>
      </c>
      <c r="B708" s="63">
        <f>11.9089 * CHOOSE(CONTROL!$C$22, $C$13, 100%, $E$13)</f>
        <v>11.908899999999999</v>
      </c>
      <c r="C708" s="63">
        <f>11.9089 * CHOOSE(CONTROL!$C$22, $C$13, 100%, $E$13)</f>
        <v>11.908899999999999</v>
      </c>
      <c r="D708" s="63">
        <f>11.9218 * CHOOSE(CONTROL!$C$22, $C$13, 100%, $E$13)</f>
        <v>11.921799999999999</v>
      </c>
      <c r="E708" s="64">
        <f>13.958 * CHOOSE(CONTROL!$C$22, $C$13, 100%, $E$13)</f>
        <v>13.958</v>
      </c>
      <c r="F708" s="64">
        <f>13.958 * CHOOSE(CONTROL!$C$22, $C$13, 100%, $E$13)</f>
        <v>13.958</v>
      </c>
      <c r="G708" s="64">
        <f>13.9581 * CHOOSE(CONTROL!$C$22, $C$13, 100%, $E$13)</f>
        <v>13.9581</v>
      </c>
      <c r="H708" s="64">
        <f>22.9829* CHOOSE(CONTROL!$C$22, $C$13, 100%, $E$13)</f>
        <v>22.982900000000001</v>
      </c>
      <c r="I708" s="64">
        <f>22.9831 * CHOOSE(CONTROL!$C$22, $C$13, 100%, $E$13)</f>
        <v>22.9831</v>
      </c>
      <c r="J708" s="64">
        <f>13.958 * CHOOSE(CONTROL!$C$22, $C$13, 100%, $E$13)</f>
        <v>13.958</v>
      </c>
      <c r="K708" s="64">
        <f>13.9581 * CHOOSE(CONTROL!$C$22, $C$13, 100%, $E$13)</f>
        <v>13.9581</v>
      </c>
    </row>
    <row r="709" spans="1:11" ht="15">
      <c r="A709" s="13">
        <v>63221</v>
      </c>
      <c r="B709" s="63">
        <f>11.9059 * CHOOSE(CONTROL!$C$22, $C$13, 100%, $E$13)</f>
        <v>11.905900000000001</v>
      </c>
      <c r="C709" s="63">
        <f>11.9059 * CHOOSE(CONTROL!$C$22, $C$13, 100%, $E$13)</f>
        <v>11.905900000000001</v>
      </c>
      <c r="D709" s="63">
        <f>11.9188 * CHOOSE(CONTROL!$C$22, $C$13, 100%, $E$13)</f>
        <v>11.918799999999999</v>
      </c>
      <c r="E709" s="64">
        <f>13.8031 * CHOOSE(CONTROL!$C$22, $C$13, 100%, $E$13)</f>
        <v>13.803100000000001</v>
      </c>
      <c r="F709" s="64">
        <f>13.8031 * CHOOSE(CONTROL!$C$22, $C$13, 100%, $E$13)</f>
        <v>13.803100000000001</v>
      </c>
      <c r="G709" s="64">
        <f>13.8033 * CHOOSE(CONTROL!$C$22, $C$13, 100%, $E$13)</f>
        <v>13.8033</v>
      </c>
      <c r="H709" s="64">
        <f>23.0308* CHOOSE(CONTROL!$C$22, $C$13, 100%, $E$13)</f>
        <v>23.030799999999999</v>
      </c>
      <c r="I709" s="64">
        <f>23.031 * CHOOSE(CONTROL!$C$22, $C$13, 100%, $E$13)</f>
        <v>23.030999999999999</v>
      </c>
      <c r="J709" s="64">
        <f>13.8031 * CHOOSE(CONTROL!$C$22, $C$13, 100%, $E$13)</f>
        <v>13.803100000000001</v>
      </c>
      <c r="K709" s="64">
        <f>13.8033 * CHOOSE(CONTROL!$C$22, $C$13, 100%, $E$13)</f>
        <v>13.8033</v>
      </c>
    </row>
    <row r="710" spans="1:11" ht="15">
      <c r="A710" s="13">
        <v>63249</v>
      </c>
      <c r="B710" s="63">
        <f>11.9029 * CHOOSE(CONTROL!$C$22, $C$13, 100%, $E$13)</f>
        <v>11.902900000000001</v>
      </c>
      <c r="C710" s="63">
        <f>11.9029 * CHOOSE(CONTROL!$C$22, $C$13, 100%, $E$13)</f>
        <v>11.902900000000001</v>
      </c>
      <c r="D710" s="63">
        <f>11.9157 * CHOOSE(CONTROL!$C$22, $C$13, 100%, $E$13)</f>
        <v>11.915699999999999</v>
      </c>
      <c r="E710" s="64">
        <f>13.9214 * CHOOSE(CONTROL!$C$22, $C$13, 100%, $E$13)</f>
        <v>13.9214</v>
      </c>
      <c r="F710" s="64">
        <f>13.9214 * CHOOSE(CONTROL!$C$22, $C$13, 100%, $E$13)</f>
        <v>13.9214</v>
      </c>
      <c r="G710" s="64">
        <f>13.9216 * CHOOSE(CONTROL!$C$22, $C$13, 100%, $E$13)</f>
        <v>13.9216</v>
      </c>
      <c r="H710" s="64">
        <f>23.0788* CHOOSE(CONTROL!$C$22, $C$13, 100%, $E$13)</f>
        <v>23.078800000000001</v>
      </c>
      <c r="I710" s="64">
        <f>23.0789 * CHOOSE(CONTROL!$C$22, $C$13, 100%, $E$13)</f>
        <v>23.078900000000001</v>
      </c>
      <c r="J710" s="64">
        <f>13.9214 * CHOOSE(CONTROL!$C$22, $C$13, 100%, $E$13)</f>
        <v>13.9214</v>
      </c>
      <c r="K710" s="64">
        <f>13.9216 * CHOOSE(CONTROL!$C$22, $C$13, 100%, $E$13)</f>
        <v>13.9216</v>
      </c>
    </row>
    <row r="711" spans="1:11" ht="15">
      <c r="A711" s="13">
        <v>63280</v>
      </c>
      <c r="B711" s="63">
        <f>11.9073 * CHOOSE(CONTROL!$C$22, $C$13, 100%, $E$13)</f>
        <v>11.907299999999999</v>
      </c>
      <c r="C711" s="63">
        <f>11.9073 * CHOOSE(CONTROL!$C$22, $C$13, 100%, $E$13)</f>
        <v>11.907299999999999</v>
      </c>
      <c r="D711" s="63">
        <f>11.9202 * CHOOSE(CONTROL!$C$22, $C$13, 100%, $E$13)</f>
        <v>11.920199999999999</v>
      </c>
      <c r="E711" s="64">
        <f>14.0464 * CHOOSE(CONTROL!$C$22, $C$13, 100%, $E$13)</f>
        <v>14.0464</v>
      </c>
      <c r="F711" s="64">
        <f>14.0464 * CHOOSE(CONTROL!$C$22, $C$13, 100%, $E$13)</f>
        <v>14.0464</v>
      </c>
      <c r="G711" s="64">
        <f>14.0466 * CHOOSE(CONTROL!$C$22, $C$13, 100%, $E$13)</f>
        <v>14.0466</v>
      </c>
      <c r="H711" s="64">
        <f>23.1268* CHOOSE(CONTROL!$C$22, $C$13, 100%, $E$13)</f>
        <v>23.126799999999999</v>
      </c>
      <c r="I711" s="64">
        <f>23.127 * CHOOSE(CONTROL!$C$22, $C$13, 100%, $E$13)</f>
        <v>23.126999999999999</v>
      </c>
      <c r="J711" s="64">
        <f>14.0464 * CHOOSE(CONTROL!$C$22, $C$13, 100%, $E$13)</f>
        <v>14.0464</v>
      </c>
      <c r="K711" s="64">
        <f>14.0466 * CHOOSE(CONTROL!$C$22, $C$13, 100%, $E$13)</f>
        <v>14.0466</v>
      </c>
    </row>
    <row r="712" spans="1:11" ht="15">
      <c r="A712" s="13">
        <v>63310</v>
      </c>
      <c r="B712" s="63">
        <f>11.9073 * CHOOSE(CONTROL!$C$22, $C$13, 100%, $E$13)</f>
        <v>11.907299999999999</v>
      </c>
      <c r="C712" s="63">
        <f>11.9073 * CHOOSE(CONTROL!$C$22, $C$13, 100%, $E$13)</f>
        <v>11.907299999999999</v>
      </c>
      <c r="D712" s="63">
        <f>11.933 * CHOOSE(CONTROL!$C$22, $C$13, 100%, $E$13)</f>
        <v>11.933</v>
      </c>
      <c r="E712" s="64">
        <f>14.0949 * CHOOSE(CONTROL!$C$22, $C$13, 100%, $E$13)</f>
        <v>14.094900000000001</v>
      </c>
      <c r="F712" s="64">
        <f>14.0949 * CHOOSE(CONTROL!$C$22, $C$13, 100%, $E$13)</f>
        <v>14.094900000000001</v>
      </c>
      <c r="G712" s="64">
        <f>14.0966 * CHOOSE(CONTROL!$C$22, $C$13, 100%, $E$13)</f>
        <v>14.0966</v>
      </c>
      <c r="H712" s="64">
        <f>23.175* CHOOSE(CONTROL!$C$22, $C$13, 100%, $E$13)</f>
        <v>23.175000000000001</v>
      </c>
      <c r="I712" s="64">
        <f>23.1767 * CHOOSE(CONTROL!$C$22, $C$13, 100%, $E$13)</f>
        <v>23.1767</v>
      </c>
      <c r="J712" s="64">
        <f>14.0949 * CHOOSE(CONTROL!$C$22, $C$13, 100%, $E$13)</f>
        <v>14.094900000000001</v>
      </c>
      <c r="K712" s="64">
        <f>14.0966 * CHOOSE(CONTROL!$C$22, $C$13, 100%, $E$13)</f>
        <v>14.0966</v>
      </c>
    </row>
    <row r="713" spans="1:11" ht="15">
      <c r="A713" s="13">
        <v>63341</v>
      </c>
      <c r="B713" s="63">
        <f>11.9134 * CHOOSE(CONTROL!$C$22, $C$13, 100%, $E$13)</f>
        <v>11.913399999999999</v>
      </c>
      <c r="C713" s="63">
        <f>11.9134 * CHOOSE(CONTROL!$C$22, $C$13, 100%, $E$13)</f>
        <v>11.913399999999999</v>
      </c>
      <c r="D713" s="63">
        <f>11.9391 * CHOOSE(CONTROL!$C$22, $C$13, 100%, $E$13)</f>
        <v>11.9391</v>
      </c>
      <c r="E713" s="64">
        <f>14.0507 * CHOOSE(CONTROL!$C$22, $C$13, 100%, $E$13)</f>
        <v>14.050700000000001</v>
      </c>
      <c r="F713" s="64">
        <f>14.0507 * CHOOSE(CONTROL!$C$22, $C$13, 100%, $E$13)</f>
        <v>14.050700000000001</v>
      </c>
      <c r="G713" s="64">
        <f>14.0523 * CHOOSE(CONTROL!$C$22, $C$13, 100%, $E$13)</f>
        <v>14.052300000000001</v>
      </c>
      <c r="H713" s="64">
        <f>23.2233* CHOOSE(CONTROL!$C$22, $C$13, 100%, $E$13)</f>
        <v>23.223299999999998</v>
      </c>
      <c r="I713" s="64">
        <f>23.2249 * CHOOSE(CONTROL!$C$22, $C$13, 100%, $E$13)</f>
        <v>23.224900000000002</v>
      </c>
      <c r="J713" s="64">
        <f>14.0507 * CHOOSE(CONTROL!$C$22, $C$13, 100%, $E$13)</f>
        <v>14.050700000000001</v>
      </c>
      <c r="K713" s="64">
        <f>14.0523 * CHOOSE(CONTROL!$C$22, $C$13, 100%, $E$13)</f>
        <v>14.052300000000001</v>
      </c>
    </row>
    <row r="714" spans="1:11" ht="15">
      <c r="A714" s="13">
        <v>63371</v>
      </c>
      <c r="B714" s="63">
        <f>12.1019 * CHOOSE(CONTROL!$C$22, $C$13, 100%, $E$13)</f>
        <v>12.101900000000001</v>
      </c>
      <c r="C714" s="63">
        <f>12.1019 * CHOOSE(CONTROL!$C$22, $C$13, 100%, $E$13)</f>
        <v>12.101900000000001</v>
      </c>
      <c r="D714" s="63">
        <f>12.1276 * CHOOSE(CONTROL!$C$22, $C$13, 100%, $E$13)</f>
        <v>12.127599999999999</v>
      </c>
      <c r="E714" s="64">
        <f>14.3199 * CHOOSE(CONTROL!$C$22, $C$13, 100%, $E$13)</f>
        <v>14.319900000000001</v>
      </c>
      <c r="F714" s="64">
        <f>14.3199 * CHOOSE(CONTROL!$C$22, $C$13, 100%, $E$13)</f>
        <v>14.319900000000001</v>
      </c>
      <c r="G714" s="64">
        <f>14.3215 * CHOOSE(CONTROL!$C$22, $C$13, 100%, $E$13)</f>
        <v>14.3215</v>
      </c>
      <c r="H714" s="64">
        <f>23.2717* CHOOSE(CONTROL!$C$22, $C$13, 100%, $E$13)</f>
        <v>23.271699999999999</v>
      </c>
      <c r="I714" s="64">
        <f>23.2733 * CHOOSE(CONTROL!$C$22, $C$13, 100%, $E$13)</f>
        <v>23.273299999999999</v>
      </c>
      <c r="J714" s="64">
        <f>14.3199 * CHOOSE(CONTROL!$C$22, $C$13, 100%, $E$13)</f>
        <v>14.319900000000001</v>
      </c>
      <c r="K714" s="64">
        <f>14.3215 * CHOOSE(CONTROL!$C$22, $C$13, 100%, $E$13)</f>
        <v>14.3215</v>
      </c>
    </row>
    <row r="715" spans="1:11" ht="15">
      <c r="A715" s="13">
        <v>63402</v>
      </c>
      <c r="B715" s="63">
        <f>12.1086 * CHOOSE(CONTROL!$C$22, $C$13, 100%, $E$13)</f>
        <v>12.108599999999999</v>
      </c>
      <c r="C715" s="63">
        <f>12.1086 * CHOOSE(CONTROL!$C$22, $C$13, 100%, $E$13)</f>
        <v>12.108599999999999</v>
      </c>
      <c r="D715" s="63">
        <f>12.1343 * CHOOSE(CONTROL!$C$22, $C$13, 100%, $E$13)</f>
        <v>12.1343</v>
      </c>
      <c r="E715" s="64">
        <f>14.1791 * CHOOSE(CONTROL!$C$22, $C$13, 100%, $E$13)</f>
        <v>14.1791</v>
      </c>
      <c r="F715" s="64">
        <f>14.1791 * CHOOSE(CONTROL!$C$22, $C$13, 100%, $E$13)</f>
        <v>14.1791</v>
      </c>
      <c r="G715" s="64">
        <f>14.1807 * CHOOSE(CONTROL!$C$22, $C$13, 100%, $E$13)</f>
        <v>14.1807</v>
      </c>
      <c r="H715" s="64">
        <f>23.3202* CHOOSE(CONTROL!$C$22, $C$13, 100%, $E$13)</f>
        <v>23.3202</v>
      </c>
      <c r="I715" s="64">
        <f>23.3218 * CHOOSE(CONTROL!$C$22, $C$13, 100%, $E$13)</f>
        <v>23.3218</v>
      </c>
      <c r="J715" s="64">
        <f>14.1791 * CHOOSE(CONTROL!$C$22, $C$13, 100%, $E$13)</f>
        <v>14.1791</v>
      </c>
      <c r="K715" s="64">
        <f>14.1807 * CHOOSE(CONTROL!$C$22, $C$13, 100%, $E$13)</f>
        <v>14.1807</v>
      </c>
    </row>
    <row r="716" spans="1:11" ht="15">
      <c r="A716" s="13">
        <v>63433</v>
      </c>
      <c r="B716" s="63">
        <f>12.1055 * CHOOSE(CONTROL!$C$22, $C$13, 100%, $E$13)</f>
        <v>12.105499999999999</v>
      </c>
      <c r="C716" s="63">
        <f>12.1055 * CHOOSE(CONTROL!$C$22, $C$13, 100%, $E$13)</f>
        <v>12.105499999999999</v>
      </c>
      <c r="D716" s="63">
        <f>12.1313 * CHOOSE(CONTROL!$C$22, $C$13, 100%, $E$13)</f>
        <v>12.1313</v>
      </c>
      <c r="E716" s="64">
        <f>14.1608 * CHOOSE(CONTROL!$C$22, $C$13, 100%, $E$13)</f>
        <v>14.1608</v>
      </c>
      <c r="F716" s="64">
        <f>14.1608 * CHOOSE(CONTROL!$C$22, $C$13, 100%, $E$13)</f>
        <v>14.1608</v>
      </c>
      <c r="G716" s="64">
        <f>14.1625 * CHOOSE(CONTROL!$C$22, $C$13, 100%, $E$13)</f>
        <v>14.1625</v>
      </c>
      <c r="H716" s="64">
        <f>23.3687* CHOOSE(CONTROL!$C$22, $C$13, 100%, $E$13)</f>
        <v>23.3687</v>
      </c>
      <c r="I716" s="64">
        <f>23.3704 * CHOOSE(CONTROL!$C$22, $C$13, 100%, $E$13)</f>
        <v>23.3704</v>
      </c>
      <c r="J716" s="64">
        <f>14.1608 * CHOOSE(CONTROL!$C$22, $C$13, 100%, $E$13)</f>
        <v>14.1608</v>
      </c>
      <c r="K716" s="64">
        <f>14.1625 * CHOOSE(CONTROL!$C$22, $C$13, 100%, $E$13)</f>
        <v>14.1625</v>
      </c>
    </row>
    <row r="717" spans="1:11" ht="15">
      <c r="A717" s="13">
        <v>63463</v>
      </c>
      <c r="B717" s="63">
        <f>12.1273 * CHOOSE(CONTROL!$C$22, $C$13, 100%, $E$13)</f>
        <v>12.1273</v>
      </c>
      <c r="C717" s="63">
        <f>12.1273 * CHOOSE(CONTROL!$C$22, $C$13, 100%, $E$13)</f>
        <v>12.1273</v>
      </c>
      <c r="D717" s="63">
        <f>12.1402 * CHOOSE(CONTROL!$C$22, $C$13, 100%, $E$13)</f>
        <v>12.1402</v>
      </c>
      <c r="E717" s="64">
        <f>14.212 * CHOOSE(CONTROL!$C$22, $C$13, 100%, $E$13)</f>
        <v>14.212</v>
      </c>
      <c r="F717" s="64">
        <f>14.212 * CHOOSE(CONTROL!$C$22, $C$13, 100%, $E$13)</f>
        <v>14.212</v>
      </c>
      <c r="G717" s="64">
        <f>14.2122 * CHOOSE(CONTROL!$C$22, $C$13, 100%, $E$13)</f>
        <v>14.212199999999999</v>
      </c>
      <c r="H717" s="64">
        <f>23.4174* CHOOSE(CONTROL!$C$22, $C$13, 100%, $E$13)</f>
        <v>23.417400000000001</v>
      </c>
      <c r="I717" s="64">
        <f>23.4176 * CHOOSE(CONTROL!$C$22, $C$13, 100%, $E$13)</f>
        <v>23.4176</v>
      </c>
      <c r="J717" s="64">
        <f>14.212 * CHOOSE(CONTROL!$C$22, $C$13, 100%, $E$13)</f>
        <v>14.212</v>
      </c>
      <c r="K717" s="64">
        <f>14.2122 * CHOOSE(CONTROL!$C$22, $C$13, 100%, $E$13)</f>
        <v>14.212199999999999</v>
      </c>
    </row>
    <row r="718" spans="1:11" ht="15">
      <c r="A718" s="13">
        <v>63494</v>
      </c>
      <c r="B718" s="63">
        <f>12.1304 * CHOOSE(CONTROL!$C$22, $C$13, 100%, $E$13)</f>
        <v>12.1304</v>
      </c>
      <c r="C718" s="63">
        <f>12.1304 * CHOOSE(CONTROL!$C$22, $C$13, 100%, $E$13)</f>
        <v>12.1304</v>
      </c>
      <c r="D718" s="63">
        <f>12.1432 * CHOOSE(CONTROL!$C$22, $C$13, 100%, $E$13)</f>
        <v>12.1432</v>
      </c>
      <c r="E718" s="64">
        <f>14.2465 * CHOOSE(CONTROL!$C$22, $C$13, 100%, $E$13)</f>
        <v>14.246499999999999</v>
      </c>
      <c r="F718" s="64">
        <f>14.2465 * CHOOSE(CONTROL!$C$22, $C$13, 100%, $E$13)</f>
        <v>14.246499999999999</v>
      </c>
      <c r="G718" s="64">
        <f>14.2467 * CHOOSE(CONTROL!$C$22, $C$13, 100%, $E$13)</f>
        <v>14.246700000000001</v>
      </c>
      <c r="H718" s="64">
        <f>23.4662* CHOOSE(CONTROL!$C$22, $C$13, 100%, $E$13)</f>
        <v>23.466200000000001</v>
      </c>
      <c r="I718" s="64">
        <f>23.4664 * CHOOSE(CONTROL!$C$22, $C$13, 100%, $E$13)</f>
        <v>23.4664</v>
      </c>
      <c r="J718" s="64">
        <f>14.2465 * CHOOSE(CONTROL!$C$22, $C$13, 100%, $E$13)</f>
        <v>14.246499999999999</v>
      </c>
      <c r="K718" s="64">
        <f>14.2467 * CHOOSE(CONTROL!$C$22, $C$13, 100%, $E$13)</f>
        <v>14.246700000000001</v>
      </c>
    </row>
    <row r="719" spans="1:11" ht="15">
      <c r="A719" s="13">
        <v>63524</v>
      </c>
      <c r="B719" s="63">
        <f>12.1304 * CHOOSE(CONTROL!$C$22, $C$13, 100%, $E$13)</f>
        <v>12.1304</v>
      </c>
      <c r="C719" s="63">
        <f>12.1304 * CHOOSE(CONTROL!$C$22, $C$13, 100%, $E$13)</f>
        <v>12.1304</v>
      </c>
      <c r="D719" s="63">
        <f>12.1432 * CHOOSE(CONTROL!$C$22, $C$13, 100%, $E$13)</f>
        <v>12.1432</v>
      </c>
      <c r="E719" s="64">
        <f>14.1657 * CHOOSE(CONTROL!$C$22, $C$13, 100%, $E$13)</f>
        <v>14.165699999999999</v>
      </c>
      <c r="F719" s="64">
        <f>14.1657 * CHOOSE(CONTROL!$C$22, $C$13, 100%, $E$13)</f>
        <v>14.165699999999999</v>
      </c>
      <c r="G719" s="64">
        <f>14.1659 * CHOOSE(CONTROL!$C$22, $C$13, 100%, $E$13)</f>
        <v>14.165900000000001</v>
      </c>
      <c r="H719" s="64">
        <f>23.5151* CHOOSE(CONTROL!$C$22, $C$13, 100%, $E$13)</f>
        <v>23.5151</v>
      </c>
      <c r="I719" s="64">
        <f>23.5153 * CHOOSE(CONTROL!$C$22, $C$13, 100%, $E$13)</f>
        <v>23.5153</v>
      </c>
      <c r="J719" s="64">
        <f>14.1657 * CHOOSE(CONTROL!$C$22, $C$13, 100%, $E$13)</f>
        <v>14.165699999999999</v>
      </c>
      <c r="K719" s="64">
        <f>14.1659 * CHOOSE(CONTROL!$C$22, $C$13, 100%, $E$13)</f>
        <v>14.165900000000001</v>
      </c>
    </row>
    <row r="720" spans="1:11" ht="15">
      <c r="A720" s="13">
        <v>63555</v>
      </c>
      <c r="B720" s="63">
        <f>12.1543 * CHOOSE(CONTROL!$C$22, $C$13, 100%, $E$13)</f>
        <v>12.154299999999999</v>
      </c>
      <c r="C720" s="63">
        <f>12.1543 * CHOOSE(CONTROL!$C$22, $C$13, 100%, $E$13)</f>
        <v>12.154299999999999</v>
      </c>
      <c r="D720" s="63">
        <f>12.1671 * CHOOSE(CONTROL!$C$22, $C$13, 100%, $E$13)</f>
        <v>12.1671</v>
      </c>
      <c r="E720" s="64">
        <f>14.2504 * CHOOSE(CONTROL!$C$22, $C$13, 100%, $E$13)</f>
        <v>14.250400000000001</v>
      </c>
      <c r="F720" s="64">
        <f>14.2504 * CHOOSE(CONTROL!$C$22, $C$13, 100%, $E$13)</f>
        <v>14.250400000000001</v>
      </c>
      <c r="G720" s="64">
        <f>14.2505 * CHOOSE(CONTROL!$C$22, $C$13, 100%, $E$13)</f>
        <v>14.250500000000001</v>
      </c>
      <c r="H720" s="64">
        <f>23.4288* CHOOSE(CONTROL!$C$22, $C$13, 100%, $E$13)</f>
        <v>23.428799999999999</v>
      </c>
      <c r="I720" s="64">
        <f>23.429 * CHOOSE(CONTROL!$C$22, $C$13, 100%, $E$13)</f>
        <v>23.428999999999998</v>
      </c>
      <c r="J720" s="64">
        <f>14.2504 * CHOOSE(CONTROL!$C$22, $C$13, 100%, $E$13)</f>
        <v>14.250400000000001</v>
      </c>
      <c r="K720" s="64">
        <f>14.2505 * CHOOSE(CONTROL!$C$22, $C$13, 100%, $E$13)</f>
        <v>14.250500000000001</v>
      </c>
    </row>
    <row r="721" spans="1:11" ht="15">
      <c r="A721" s="13">
        <v>63586</v>
      </c>
      <c r="B721" s="63">
        <f>12.1512 * CHOOSE(CONTROL!$C$22, $C$13, 100%, $E$13)</f>
        <v>12.151199999999999</v>
      </c>
      <c r="C721" s="63">
        <f>12.1512 * CHOOSE(CONTROL!$C$22, $C$13, 100%, $E$13)</f>
        <v>12.151199999999999</v>
      </c>
      <c r="D721" s="63">
        <f>12.1641 * CHOOSE(CONTROL!$C$22, $C$13, 100%, $E$13)</f>
        <v>12.164099999999999</v>
      </c>
      <c r="E721" s="64">
        <f>14.0923 * CHOOSE(CONTROL!$C$22, $C$13, 100%, $E$13)</f>
        <v>14.0923</v>
      </c>
      <c r="F721" s="64">
        <f>14.0923 * CHOOSE(CONTROL!$C$22, $C$13, 100%, $E$13)</f>
        <v>14.0923</v>
      </c>
      <c r="G721" s="64">
        <f>14.0925 * CHOOSE(CONTROL!$C$22, $C$13, 100%, $E$13)</f>
        <v>14.092499999999999</v>
      </c>
      <c r="H721" s="64">
        <f>23.4776* CHOOSE(CONTROL!$C$22, $C$13, 100%, $E$13)</f>
        <v>23.477599999999999</v>
      </c>
      <c r="I721" s="64">
        <f>23.4778 * CHOOSE(CONTROL!$C$22, $C$13, 100%, $E$13)</f>
        <v>23.477799999999998</v>
      </c>
      <c r="J721" s="64">
        <f>14.0923 * CHOOSE(CONTROL!$C$22, $C$13, 100%, $E$13)</f>
        <v>14.0923</v>
      </c>
      <c r="K721" s="64">
        <f>14.0925 * CHOOSE(CONTROL!$C$22, $C$13, 100%, $E$13)</f>
        <v>14.092499999999999</v>
      </c>
    </row>
    <row r="722" spans="1:11" ht="15">
      <c r="A722" s="13">
        <v>63614</v>
      </c>
      <c r="B722" s="63">
        <f>12.1482 * CHOOSE(CONTROL!$C$22, $C$13, 100%, $E$13)</f>
        <v>12.148199999999999</v>
      </c>
      <c r="C722" s="63">
        <f>12.1482 * CHOOSE(CONTROL!$C$22, $C$13, 100%, $E$13)</f>
        <v>12.148199999999999</v>
      </c>
      <c r="D722" s="63">
        <f>12.1611 * CHOOSE(CONTROL!$C$22, $C$13, 100%, $E$13)</f>
        <v>12.161099999999999</v>
      </c>
      <c r="E722" s="64">
        <f>14.2131 * CHOOSE(CONTROL!$C$22, $C$13, 100%, $E$13)</f>
        <v>14.213100000000001</v>
      </c>
      <c r="F722" s="64">
        <f>14.2131 * CHOOSE(CONTROL!$C$22, $C$13, 100%, $E$13)</f>
        <v>14.213100000000001</v>
      </c>
      <c r="G722" s="64">
        <f>14.2133 * CHOOSE(CONTROL!$C$22, $C$13, 100%, $E$13)</f>
        <v>14.2133</v>
      </c>
      <c r="H722" s="64">
        <f>23.5265* CHOOSE(CONTROL!$C$22, $C$13, 100%, $E$13)</f>
        <v>23.526499999999999</v>
      </c>
      <c r="I722" s="64">
        <f>23.5267 * CHOOSE(CONTROL!$C$22, $C$13, 100%, $E$13)</f>
        <v>23.526700000000002</v>
      </c>
      <c r="J722" s="64">
        <f>14.2131 * CHOOSE(CONTROL!$C$22, $C$13, 100%, $E$13)</f>
        <v>14.213100000000001</v>
      </c>
      <c r="K722" s="64">
        <f>14.2133 * CHOOSE(CONTROL!$C$22, $C$13, 100%, $E$13)</f>
        <v>14.2133</v>
      </c>
    </row>
    <row r="723" spans="1:11" ht="15">
      <c r="A723" s="13">
        <v>63645</v>
      </c>
      <c r="B723" s="63">
        <f>12.1528 * CHOOSE(CONTROL!$C$22, $C$13, 100%, $E$13)</f>
        <v>12.152799999999999</v>
      </c>
      <c r="C723" s="63">
        <f>12.1528 * CHOOSE(CONTROL!$C$22, $C$13, 100%, $E$13)</f>
        <v>12.152799999999999</v>
      </c>
      <c r="D723" s="63">
        <f>12.1657 * CHOOSE(CONTROL!$C$22, $C$13, 100%, $E$13)</f>
        <v>12.165699999999999</v>
      </c>
      <c r="E723" s="64">
        <f>14.3409 * CHOOSE(CONTROL!$C$22, $C$13, 100%, $E$13)</f>
        <v>14.3409</v>
      </c>
      <c r="F723" s="64">
        <f>14.3409 * CHOOSE(CONTROL!$C$22, $C$13, 100%, $E$13)</f>
        <v>14.3409</v>
      </c>
      <c r="G723" s="64">
        <f>14.3411 * CHOOSE(CONTROL!$C$22, $C$13, 100%, $E$13)</f>
        <v>14.341100000000001</v>
      </c>
      <c r="H723" s="64">
        <f>23.5755* CHOOSE(CONTROL!$C$22, $C$13, 100%, $E$13)</f>
        <v>23.575500000000002</v>
      </c>
      <c r="I723" s="64">
        <f>23.5757 * CHOOSE(CONTROL!$C$22, $C$13, 100%, $E$13)</f>
        <v>23.575700000000001</v>
      </c>
      <c r="J723" s="64">
        <f>14.3409 * CHOOSE(CONTROL!$C$22, $C$13, 100%, $E$13)</f>
        <v>14.3409</v>
      </c>
      <c r="K723" s="64">
        <f>14.3411 * CHOOSE(CONTROL!$C$22, $C$13, 100%, $E$13)</f>
        <v>14.341100000000001</v>
      </c>
    </row>
    <row r="724" spans="1:11" ht="15">
      <c r="A724" s="13">
        <v>63675</v>
      </c>
      <c r="B724" s="63">
        <f>12.1528 * CHOOSE(CONTROL!$C$22, $C$13, 100%, $E$13)</f>
        <v>12.152799999999999</v>
      </c>
      <c r="C724" s="63">
        <f>12.1528 * CHOOSE(CONTROL!$C$22, $C$13, 100%, $E$13)</f>
        <v>12.152799999999999</v>
      </c>
      <c r="D724" s="63">
        <f>12.1786 * CHOOSE(CONTROL!$C$22, $C$13, 100%, $E$13)</f>
        <v>12.178599999999999</v>
      </c>
      <c r="E724" s="64">
        <f>14.3904 * CHOOSE(CONTROL!$C$22, $C$13, 100%, $E$13)</f>
        <v>14.3904</v>
      </c>
      <c r="F724" s="64">
        <f>14.3904 * CHOOSE(CONTROL!$C$22, $C$13, 100%, $E$13)</f>
        <v>14.3904</v>
      </c>
      <c r="G724" s="64">
        <f>14.392 * CHOOSE(CONTROL!$C$22, $C$13, 100%, $E$13)</f>
        <v>14.391999999999999</v>
      </c>
      <c r="H724" s="64">
        <f>23.6246* CHOOSE(CONTROL!$C$22, $C$13, 100%, $E$13)</f>
        <v>23.624600000000001</v>
      </c>
      <c r="I724" s="64">
        <f>23.6263 * CHOOSE(CONTROL!$C$22, $C$13, 100%, $E$13)</f>
        <v>23.626300000000001</v>
      </c>
      <c r="J724" s="64">
        <f>14.3904 * CHOOSE(CONTROL!$C$22, $C$13, 100%, $E$13)</f>
        <v>14.3904</v>
      </c>
      <c r="K724" s="64">
        <f>14.392 * CHOOSE(CONTROL!$C$22, $C$13, 100%, $E$13)</f>
        <v>14.391999999999999</v>
      </c>
    </row>
    <row r="725" spans="1:11" ht="15">
      <c r="A725" s="13">
        <v>63706</v>
      </c>
      <c r="B725" s="63">
        <f>12.1589 * CHOOSE(CONTROL!$C$22, $C$13, 100%, $E$13)</f>
        <v>12.158899999999999</v>
      </c>
      <c r="C725" s="63">
        <f>12.1589 * CHOOSE(CONTROL!$C$22, $C$13, 100%, $E$13)</f>
        <v>12.158899999999999</v>
      </c>
      <c r="D725" s="63">
        <f>12.1846 * CHOOSE(CONTROL!$C$22, $C$13, 100%, $E$13)</f>
        <v>12.1846</v>
      </c>
      <c r="E725" s="64">
        <f>14.3451 * CHOOSE(CONTROL!$C$22, $C$13, 100%, $E$13)</f>
        <v>14.3451</v>
      </c>
      <c r="F725" s="64">
        <f>14.3451 * CHOOSE(CONTROL!$C$22, $C$13, 100%, $E$13)</f>
        <v>14.3451</v>
      </c>
      <c r="G725" s="64">
        <f>14.3468 * CHOOSE(CONTROL!$C$22, $C$13, 100%, $E$13)</f>
        <v>14.3468</v>
      </c>
      <c r="H725" s="64">
        <f>23.6739* CHOOSE(CONTROL!$C$22, $C$13, 100%, $E$13)</f>
        <v>23.6739</v>
      </c>
      <c r="I725" s="64">
        <f>23.6755 * CHOOSE(CONTROL!$C$22, $C$13, 100%, $E$13)</f>
        <v>23.6755</v>
      </c>
      <c r="J725" s="64">
        <f>14.3451 * CHOOSE(CONTROL!$C$22, $C$13, 100%, $E$13)</f>
        <v>14.3451</v>
      </c>
      <c r="K725" s="64">
        <f>14.3468 * CHOOSE(CONTROL!$C$22, $C$13, 100%, $E$13)</f>
        <v>14.3468</v>
      </c>
    </row>
    <row r="726" spans="1:11" ht="15">
      <c r="A726" s="13">
        <v>63736</v>
      </c>
      <c r="B726" s="63">
        <f>12.3511 * CHOOSE(CONTROL!$C$22, $C$13, 100%, $E$13)</f>
        <v>12.351100000000001</v>
      </c>
      <c r="C726" s="63">
        <f>12.3511 * CHOOSE(CONTROL!$C$22, $C$13, 100%, $E$13)</f>
        <v>12.351100000000001</v>
      </c>
      <c r="D726" s="63">
        <f>12.3768 * CHOOSE(CONTROL!$C$22, $C$13, 100%, $E$13)</f>
        <v>12.376799999999999</v>
      </c>
      <c r="E726" s="64">
        <f>14.6198 * CHOOSE(CONTROL!$C$22, $C$13, 100%, $E$13)</f>
        <v>14.6198</v>
      </c>
      <c r="F726" s="64">
        <f>14.6198 * CHOOSE(CONTROL!$C$22, $C$13, 100%, $E$13)</f>
        <v>14.6198</v>
      </c>
      <c r="G726" s="64">
        <f>14.6214 * CHOOSE(CONTROL!$C$22, $C$13, 100%, $E$13)</f>
        <v>14.6214</v>
      </c>
      <c r="H726" s="64">
        <f>23.7232* CHOOSE(CONTROL!$C$22, $C$13, 100%, $E$13)</f>
        <v>23.723199999999999</v>
      </c>
      <c r="I726" s="64">
        <f>23.7248 * CHOOSE(CONTROL!$C$22, $C$13, 100%, $E$13)</f>
        <v>23.724799999999998</v>
      </c>
      <c r="J726" s="64">
        <f>14.6198 * CHOOSE(CONTROL!$C$22, $C$13, 100%, $E$13)</f>
        <v>14.6198</v>
      </c>
      <c r="K726" s="64">
        <f>14.6214 * CHOOSE(CONTROL!$C$22, $C$13, 100%, $E$13)</f>
        <v>14.6214</v>
      </c>
    </row>
    <row r="727" spans="1:11" ht="15">
      <c r="A727" s="13">
        <v>63767</v>
      </c>
      <c r="B727" s="63">
        <f>12.3578 * CHOOSE(CONTROL!$C$22, $C$13, 100%, $E$13)</f>
        <v>12.357799999999999</v>
      </c>
      <c r="C727" s="63">
        <f>12.3578 * CHOOSE(CONTROL!$C$22, $C$13, 100%, $E$13)</f>
        <v>12.357799999999999</v>
      </c>
      <c r="D727" s="63">
        <f>12.3835 * CHOOSE(CONTROL!$C$22, $C$13, 100%, $E$13)</f>
        <v>12.3835</v>
      </c>
      <c r="E727" s="64">
        <f>14.4759 * CHOOSE(CONTROL!$C$22, $C$13, 100%, $E$13)</f>
        <v>14.475899999999999</v>
      </c>
      <c r="F727" s="64">
        <f>14.4759 * CHOOSE(CONTROL!$C$22, $C$13, 100%, $E$13)</f>
        <v>14.475899999999999</v>
      </c>
      <c r="G727" s="64">
        <f>14.4776 * CHOOSE(CONTROL!$C$22, $C$13, 100%, $E$13)</f>
        <v>14.477600000000001</v>
      </c>
      <c r="H727" s="64">
        <f>23.7726* CHOOSE(CONTROL!$C$22, $C$13, 100%, $E$13)</f>
        <v>23.772600000000001</v>
      </c>
      <c r="I727" s="64">
        <f>23.7742 * CHOOSE(CONTROL!$C$22, $C$13, 100%, $E$13)</f>
        <v>23.7742</v>
      </c>
      <c r="J727" s="64">
        <f>14.4759 * CHOOSE(CONTROL!$C$22, $C$13, 100%, $E$13)</f>
        <v>14.475899999999999</v>
      </c>
      <c r="K727" s="64">
        <f>14.4776 * CHOOSE(CONTROL!$C$22, $C$13, 100%, $E$13)</f>
        <v>14.477600000000001</v>
      </c>
    </row>
    <row r="728" spans="1:11" ht="15">
      <c r="A728" s="13">
        <v>63798</v>
      </c>
      <c r="B728" s="63">
        <f>12.3547 * CHOOSE(CONTROL!$C$22, $C$13, 100%, $E$13)</f>
        <v>12.354699999999999</v>
      </c>
      <c r="C728" s="63">
        <f>12.3547 * CHOOSE(CONTROL!$C$22, $C$13, 100%, $E$13)</f>
        <v>12.354699999999999</v>
      </c>
      <c r="D728" s="63">
        <f>12.3805 * CHOOSE(CONTROL!$C$22, $C$13, 100%, $E$13)</f>
        <v>12.3805</v>
      </c>
      <c r="E728" s="64">
        <f>14.4573 * CHOOSE(CONTROL!$C$22, $C$13, 100%, $E$13)</f>
        <v>14.4573</v>
      </c>
      <c r="F728" s="64">
        <f>14.4573 * CHOOSE(CONTROL!$C$22, $C$13, 100%, $E$13)</f>
        <v>14.4573</v>
      </c>
      <c r="G728" s="64">
        <f>14.4589 * CHOOSE(CONTROL!$C$22, $C$13, 100%, $E$13)</f>
        <v>14.4589</v>
      </c>
      <c r="H728" s="64">
        <f>23.8221* CHOOSE(CONTROL!$C$22, $C$13, 100%, $E$13)</f>
        <v>23.822099999999999</v>
      </c>
      <c r="I728" s="64">
        <f>23.8238 * CHOOSE(CONTROL!$C$22, $C$13, 100%, $E$13)</f>
        <v>23.823799999999999</v>
      </c>
      <c r="J728" s="64">
        <f>14.4573 * CHOOSE(CONTROL!$C$22, $C$13, 100%, $E$13)</f>
        <v>14.4573</v>
      </c>
      <c r="K728" s="64">
        <f>14.4589 * CHOOSE(CONTROL!$C$22, $C$13, 100%, $E$13)</f>
        <v>14.4589</v>
      </c>
    </row>
    <row r="729" spans="1:11" ht="15">
      <c r="A729" s="13">
        <v>63828</v>
      </c>
      <c r="B729" s="63">
        <f>12.3773 * CHOOSE(CONTROL!$C$22, $C$13, 100%, $E$13)</f>
        <v>12.3773</v>
      </c>
      <c r="C729" s="63">
        <f>12.3773 * CHOOSE(CONTROL!$C$22, $C$13, 100%, $E$13)</f>
        <v>12.3773</v>
      </c>
      <c r="D729" s="63">
        <f>12.3902 * CHOOSE(CONTROL!$C$22, $C$13, 100%, $E$13)</f>
        <v>12.3902</v>
      </c>
      <c r="E729" s="64">
        <f>14.5099 * CHOOSE(CONTROL!$C$22, $C$13, 100%, $E$13)</f>
        <v>14.5099</v>
      </c>
      <c r="F729" s="64">
        <f>14.5099 * CHOOSE(CONTROL!$C$22, $C$13, 100%, $E$13)</f>
        <v>14.5099</v>
      </c>
      <c r="G729" s="64">
        <f>14.5101 * CHOOSE(CONTROL!$C$22, $C$13, 100%, $E$13)</f>
        <v>14.5101</v>
      </c>
      <c r="H729" s="64">
        <f>23.8718* CHOOSE(CONTROL!$C$22, $C$13, 100%, $E$13)</f>
        <v>23.8718</v>
      </c>
      <c r="I729" s="64">
        <f>23.8719 * CHOOSE(CONTROL!$C$22, $C$13, 100%, $E$13)</f>
        <v>23.8719</v>
      </c>
      <c r="J729" s="64">
        <f>14.5099 * CHOOSE(CONTROL!$C$22, $C$13, 100%, $E$13)</f>
        <v>14.5099</v>
      </c>
      <c r="K729" s="64">
        <f>14.5101 * CHOOSE(CONTROL!$C$22, $C$13, 100%, $E$13)</f>
        <v>14.5101</v>
      </c>
    </row>
    <row r="730" spans="1:11" ht="15">
      <c r="A730" s="13">
        <v>63859</v>
      </c>
      <c r="B730" s="63">
        <f>12.3804 * CHOOSE(CONTROL!$C$22, $C$13, 100%, $E$13)</f>
        <v>12.3804</v>
      </c>
      <c r="C730" s="63">
        <f>12.3804 * CHOOSE(CONTROL!$C$22, $C$13, 100%, $E$13)</f>
        <v>12.3804</v>
      </c>
      <c r="D730" s="63">
        <f>12.3932 * CHOOSE(CONTROL!$C$22, $C$13, 100%, $E$13)</f>
        <v>12.3932</v>
      </c>
      <c r="E730" s="64">
        <f>14.545 * CHOOSE(CONTROL!$C$22, $C$13, 100%, $E$13)</f>
        <v>14.545</v>
      </c>
      <c r="F730" s="64">
        <f>14.545 * CHOOSE(CONTROL!$C$22, $C$13, 100%, $E$13)</f>
        <v>14.545</v>
      </c>
      <c r="G730" s="64">
        <f>14.5452 * CHOOSE(CONTROL!$C$22, $C$13, 100%, $E$13)</f>
        <v>14.545199999999999</v>
      </c>
      <c r="H730" s="64">
        <f>23.9215* CHOOSE(CONTROL!$C$22, $C$13, 100%, $E$13)</f>
        <v>23.921500000000002</v>
      </c>
      <c r="I730" s="64">
        <f>23.9217 * CHOOSE(CONTROL!$C$22, $C$13, 100%, $E$13)</f>
        <v>23.921700000000001</v>
      </c>
      <c r="J730" s="64">
        <f>14.545 * CHOOSE(CONTROL!$C$22, $C$13, 100%, $E$13)</f>
        <v>14.545</v>
      </c>
      <c r="K730" s="64">
        <f>14.5452 * CHOOSE(CONTROL!$C$22, $C$13, 100%, $E$13)</f>
        <v>14.545199999999999</v>
      </c>
    </row>
    <row r="731" spans="1:11" ht="15">
      <c r="A731" s="13">
        <v>63889</v>
      </c>
      <c r="B731" s="63">
        <f>12.3804 * CHOOSE(CONTROL!$C$22, $C$13, 100%, $E$13)</f>
        <v>12.3804</v>
      </c>
      <c r="C731" s="63">
        <f>12.3804 * CHOOSE(CONTROL!$C$22, $C$13, 100%, $E$13)</f>
        <v>12.3804</v>
      </c>
      <c r="D731" s="63">
        <f>12.3932 * CHOOSE(CONTROL!$C$22, $C$13, 100%, $E$13)</f>
        <v>12.3932</v>
      </c>
      <c r="E731" s="64">
        <f>14.4625 * CHOOSE(CONTROL!$C$22, $C$13, 100%, $E$13)</f>
        <v>14.4625</v>
      </c>
      <c r="F731" s="64">
        <f>14.4625 * CHOOSE(CONTROL!$C$22, $C$13, 100%, $E$13)</f>
        <v>14.4625</v>
      </c>
      <c r="G731" s="64">
        <f>14.4627 * CHOOSE(CONTROL!$C$22, $C$13, 100%, $E$13)</f>
        <v>14.4627</v>
      </c>
      <c r="H731" s="64">
        <f>23.9713* CHOOSE(CONTROL!$C$22, $C$13, 100%, $E$13)</f>
        <v>23.971299999999999</v>
      </c>
      <c r="I731" s="64">
        <f>23.9715 * CHOOSE(CONTROL!$C$22, $C$13, 100%, $E$13)</f>
        <v>23.971499999999999</v>
      </c>
      <c r="J731" s="64">
        <f>14.4625 * CHOOSE(CONTROL!$C$22, $C$13, 100%, $E$13)</f>
        <v>14.4625</v>
      </c>
      <c r="K731" s="64">
        <f>14.4627 * CHOOSE(CONTROL!$C$22, $C$13, 100%, $E$13)</f>
        <v>14.4627</v>
      </c>
    </row>
    <row r="732" spans="1:11" ht="15">
      <c r="A732" s="13">
        <v>63920</v>
      </c>
      <c r="B732" s="63">
        <f>12.3996 * CHOOSE(CONTROL!$C$22, $C$13, 100%, $E$13)</f>
        <v>12.3996</v>
      </c>
      <c r="C732" s="63">
        <f>12.3996 * CHOOSE(CONTROL!$C$22, $C$13, 100%, $E$13)</f>
        <v>12.3996</v>
      </c>
      <c r="D732" s="63">
        <f>12.4125 * CHOOSE(CONTROL!$C$22, $C$13, 100%, $E$13)</f>
        <v>12.4125</v>
      </c>
      <c r="E732" s="64">
        <f>14.5428 * CHOOSE(CONTROL!$C$22, $C$13, 100%, $E$13)</f>
        <v>14.5428</v>
      </c>
      <c r="F732" s="64">
        <f>14.5428 * CHOOSE(CONTROL!$C$22, $C$13, 100%, $E$13)</f>
        <v>14.5428</v>
      </c>
      <c r="G732" s="64">
        <f>14.543 * CHOOSE(CONTROL!$C$22, $C$13, 100%, $E$13)</f>
        <v>14.542999999999999</v>
      </c>
      <c r="H732" s="64">
        <f>23.8747* CHOOSE(CONTROL!$C$22, $C$13, 100%, $E$13)</f>
        <v>23.874700000000001</v>
      </c>
      <c r="I732" s="64">
        <f>23.8749 * CHOOSE(CONTROL!$C$22, $C$13, 100%, $E$13)</f>
        <v>23.8749</v>
      </c>
      <c r="J732" s="64">
        <f>14.5428 * CHOOSE(CONTROL!$C$22, $C$13, 100%, $E$13)</f>
        <v>14.5428</v>
      </c>
      <c r="K732" s="64">
        <f>14.543 * CHOOSE(CONTROL!$C$22, $C$13, 100%, $E$13)</f>
        <v>14.542999999999999</v>
      </c>
    </row>
    <row r="733" spans="1:11" ht="15">
      <c r="A733" s="13">
        <v>63951</v>
      </c>
      <c r="B733" s="63">
        <f>12.3965 * CHOOSE(CONTROL!$C$22, $C$13, 100%, $E$13)</f>
        <v>12.3965</v>
      </c>
      <c r="C733" s="63">
        <f>12.3965 * CHOOSE(CONTROL!$C$22, $C$13, 100%, $E$13)</f>
        <v>12.3965</v>
      </c>
      <c r="D733" s="63">
        <f>12.4094 * CHOOSE(CONTROL!$C$22, $C$13, 100%, $E$13)</f>
        <v>12.4094</v>
      </c>
      <c r="E733" s="64">
        <f>14.3815 * CHOOSE(CONTROL!$C$22, $C$13, 100%, $E$13)</f>
        <v>14.381500000000001</v>
      </c>
      <c r="F733" s="64">
        <f>14.3815 * CHOOSE(CONTROL!$C$22, $C$13, 100%, $E$13)</f>
        <v>14.381500000000001</v>
      </c>
      <c r="G733" s="64">
        <f>14.3817 * CHOOSE(CONTROL!$C$22, $C$13, 100%, $E$13)</f>
        <v>14.3817</v>
      </c>
      <c r="H733" s="64">
        <f>23.9244* CHOOSE(CONTROL!$C$22, $C$13, 100%, $E$13)</f>
        <v>23.924399999999999</v>
      </c>
      <c r="I733" s="64">
        <f>23.9246 * CHOOSE(CONTROL!$C$22, $C$13, 100%, $E$13)</f>
        <v>23.924600000000002</v>
      </c>
      <c r="J733" s="64">
        <f>14.3815 * CHOOSE(CONTROL!$C$22, $C$13, 100%, $E$13)</f>
        <v>14.381500000000001</v>
      </c>
      <c r="K733" s="64">
        <f>14.3817 * CHOOSE(CONTROL!$C$22, $C$13, 100%, $E$13)</f>
        <v>14.3817</v>
      </c>
    </row>
    <row r="734" spans="1:11" ht="15">
      <c r="A734" s="13">
        <v>63979</v>
      </c>
      <c r="B734" s="63">
        <f>12.3935 * CHOOSE(CONTROL!$C$22, $C$13, 100%, $E$13)</f>
        <v>12.3935</v>
      </c>
      <c r="C734" s="63">
        <f>12.3935 * CHOOSE(CONTROL!$C$22, $C$13, 100%, $E$13)</f>
        <v>12.3935</v>
      </c>
      <c r="D734" s="63">
        <f>12.4064 * CHOOSE(CONTROL!$C$22, $C$13, 100%, $E$13)</f>
        <v>12.4064</v>
      </c>
      <c r="E734" s="64">
        <f>14.5049 * CHOOSE(CONTROL!$C$22, $C$13, 100%, $E$13)</f>
        <v>14.504899999999999</v>
      </c>
      <c r="F734" s="64">
        <f>14.5049 * CHOOSE(CONTROL!$C$22, $C$13, 100%, $E$13)</f>
        <v>14.504899999999999</v>
      </c>
      <c r="G734" s="64">
        <f>14.505 * CHOOSE(CONTROL!$C$22, $C$13, 100%, $E$13)</f>
        <v>14.505000000000001</v>
      </c>
      <c r="H734" s="64">
        <f>23.9743* CHOOSE(CONTROL!$C$22, $C$13, 100%, $E$13)</f>
        <v>23.974299999999999</v>
      </c>
      <c r="I734" s="64">
        <f>23.9744 * CHOOSE(CONTROL!$C$22, $C$13, 100%, $E$13)</f>
        <v>23.974399999999999</v>
      </c>
      <c r="J734" s="64">
        <f>14.5049 * CHOOSE(CONTROL!$C$22, $C$13, 100%, $E$13)</f>
        <v>14.504899999999999</v>
      </c>
      <c r="K734" s="64">
        <f>14.505 * CHOOSE(CONTROL!$C$22, $C$13, 100%, $E$13)</f>
        <v>14.505000000000001</v>
      </c>
    </row>
    <row r="735" spans="1:11" ht="15">
      <c r="A735" s="13">
        <v>64010</v>
      </c>
      <c r="B735" s="63">
        <f>12.3983 * CHOOSE(CONTROL!$C$22, $C$13, 100%, $E$13)</f>
        <v>12.398300000000001</v>
      </c>
      <c r="C735" s="63">
        <f>12.3983 * CHOOSE(CONTROL!$C$22, $C$13, 100%, $E$13)</f>
        <v>12.398300000000001</v>
      </c>
      <c r="D735" s="63">
        <f>12.4112 * CHOOSE(CONTROL!$C$22, $C$13, 100%, $E$13)</f>
        <v>12.411199999999999</v>
      </c>
      <c r="E735" s="64">
        <f>14.6353 * CHOOSE(CONTROL!$C$22, $C$13, 100%, $E$13)</f>
        <v>14.635300000000001</v>
      </c>
      <c r="F735" s="64">
        <f>14.6353 * CHOOSE(CONTROL!$C$22, $C$13, 100%, $E$13)</f>
        <v>14.635300000000001</v>
      </c>
      <c r="G735" s="64">
        <f>14.6355 * CHOOSE(CONTROL!$C$22, $C$13, 100%, $E$13)</f>
        <v>14.6355</v>
      </c>
      <c r="H735" s="64">
        <f>24.0242* CHOOSE(CONTROL!$C$22, $C$13, 100%, $E$13)</f>
        <v>24.0242</v>
      </c>
      <c r="I735" s="64">
        <f>24.0244 * CHOOSE(CONTROL!$C$22, $C$13, 100%, $E$13)</f>
        <v>24.0244</v>
      </c>
      <c r="J735" s="64">
        <f>14.6353 * CHOOSE(CONTROL!$C$22, $C$13, 100%, $E$13)</f>
        <v>14.635300000000001</v>
      </c>
      <c r="K735" s="64">
        <f>14.6355 * CHOOSE(CONTROL!$C$22, $C$13, 100%, $E$13)</f>
        <v>14.6355</v>
      </c>
    </row>
    <row r="736" spans="1:11" ht="15">
      <c r="A736" s="13">
        <v>64040</v>
      </c>
      <c r="B736" s="63">
        <f>12.3983 * CHOOSE(CONTROL!$C$22, $C$13, 100%, $E$13)</f>
        <v>12.398300000000001</v>
      </c>
      <c r="C736" s="63">
        <f>12.3983 * CHOOSE(CONTROL!$C$22, $C$13, 100%, $E$13)</f>
        <v>12.398300000000001</v>
      </c>
      <c r="D736" s="63">
        <f>12.4241 * CHOOSE(CONTROL!$C$22, $C$13, 100%, $E$13)</f>
        <v>12.424099999999999</v>
      </c>
      <c r="E736" s="64">
        <f>14.6859 * CHOOSE(CONTROL!$C$22, $C$13, 100%, $E$13)</f>
        <v>14.6859</v>
      </c>
      <c r="F736" s="64">
        <f>14.6859 * CHOOSE(CONTROL!$C$22, $C$13, 100%, $E$13)</f>
        <v>14.6859</v>
      </c>
      <c r="G736" s="64">
        <f>14.6875 * CHOOSE(CONTROL!$C$22, $C$13, 100%, $E$13)</f>
        <v>14.6875</v>
      </c>
      <c r="H736" s="64">
        <f>24.0743* CHOOSE(CONTROL!$C$22, $C$13, 100%, $E$13)</f>
        <v>24.074300000000001</v>
      </c>
      <c r="I736" s="64">
        <f>24.0759 * CHOOSE(CONTROL!$C$22, $C$13, 100%, $E$13)</f>
        <v>24.075900000000001</v>
      </c>
      <c r="J736" s="64">
        <f>14.6859 * CHOOSE(CONTROL!$C$22, $C$13, 100%, $E$13)</f>
        <v>14.6859</v>
      </c>
      <c r="K736" s="64">
        <f>14.6875 * CHOOSE(CONTROL!$C$22, $C$13, 100%, $E$13)</f>
        <v>14.6875</v>
      </c>
    </row>
    <row r="737" spans="1:11" ht="15">
      <c r="A737" s="13">
        <v>64071</v>
      </c>
      <c r="B737" s="63">
        <f>12.4044 * CHOOSE(CONTROL!$C$22, $C$13, 100%, $E$13)</f>
        <v>12.404400000000001</v>
      </c>
      <c r="C737" s="63">
        <f>12.4044 * CHOOSE(CONTROL!$C$22, $C$13, 100%, $E$13)</f>
        <v>12.404400000000001</v>
      </c>
      <c r="D737" s="63">
        <f>12.4302 * CHOOSE(CONTROL!$C$22, $C$13, 100%, $E$13)</f>
        <v>12.430199999999999</v>
      </c>
      <c r="E737" s="64">
        <f>14.6396 * CHOOSE(CONTROL!$C$22, $C$13, 100%, $E$13)</f>
        <v>14.6396</v>
      </c>
      <c r="F737" s="64">
        <f>14.6396 * CHOOSE(CONTROL!$C$22, $C$13, 100%, $E$13)</f>
        <v>14.6396</v>
      </c>
      <c r="G737" s="64">
        <f>14.6412 * CHOOSE(CONTROL!$C$22, $C$13, 100%, $E$13)</f>
        <v>14.6412</v>
      </c>
      <c r="H737" s="64">
        <f>24.1244* CHOOSE(CONTROL!$C$22, $C$13, 100%, $E$13)</f>
        <v>24.124400000000001</v>
      </c>
      <c r="I737" s="64">
        <f>24.126 * CHOOSE(CONTROL!$C$22, $C$13, 100%, $E$13)</f>
        <v>24.126000000000001</v>
      </c>
      <c r="J737" s="64">
        <f>14.6396 * CHOOSE(CONTROL!$C$22, $C$13, 100%, $E$13)</f>
        <v>14.6396</v>
      </c>
      <c r="K737" s="64">
        <f>14.6412 * CHOOSE(CONTROL!$C$22, $C$13, 100%, $E$13)</f>
        <v>14.6412</v>
      </c>
    </row>
    <row r="738" spans="1:11" ht="15">
      <c r="A738" s="13">
        <v>64101</v>
      </c>
      <c r="B738" s="63">
        <f>12.6003 * CHOOSE(CONTROL!$C$22, $C$13, 100%, $E$13)</f>
        <v>12.600300000000001</v>
      </c>
      <c r="C738" s="63">
        <f>12.6003 * CHOOSE(CONTROL!$C$22, $C$13, 100%, $E$13)</f>
        <v>12.600300000000001</v>
      </c>
      <c r="D738" s="63">
        <f>12.626 * CHOOSE(CONTROL!$C$22, $C$13, 100%, $E$13)</f>
        <v>12.625999999999999</v>
      </c>
      <c r="E738" s="64">
        <f>14.9196 * CHOOSE(CONTROL!$C$22, $C$13, 100%, $E$13)</f>
        <v>14.919600000000001</v>
      </c>
      <c r="F738" s="64">
        <f>14.9196 * CHOOSE(CONTROL!$C$22, $C$13, 100%, $E$13)</f>
        <v>14.919600000000001</v>
      </c>
      <c r="G738" s="64">
        <f>14.9213 * CHOOSE(CONTROL!$C$22, $C$13, 100%, $E$13)</f>
        <v>14.9213</v>
      </c>
      <c r="H738" s="64">
        <f>24.1747* CHOOSE(CONTROL!$C$22, $C$13, 100%, $E$13)</f>
        <v>24.174700000000001</v>
      </c>
      <c r="I738" s="64">
        <f>24.1763 * CHOOSE(CONTROL!$C$22, $C$13, 100%, $E$13)</f>
        <v>24.176300000000001</v>
      </c>
      <c r="J738" s="64">
        <f>14.9196 * CHOOSE(CONTROL!$C$22, $C$13, 100%, $E$13)</f>
        <v>14.919600000000001</v>
      </c>
      <c r="K738" s="64">
        <f>14.9213 * CHOOSE(CONTROL!$C$22, $C$13, 100%, $E$13)</f>
        <v>14.9213</v>
      </c>
    </row>
    <row r="739" spans="1:11" ht="15">
      <c r="A739" s="13">
        <v>64132</v>
      </c>
      <c r="B739" s="63">
        <f>12.607 * CHOOSE(CONTROL!$C$22, $C$13, 100%, $E$13)</f>
        <v>12.606999999999999</v>
      </c>
      <c r="C739" s="63">
        <f>12.607 * CHOOSE(CONTROL!$C$22, $C$13, 100%, $E$13)</f>
        <v>12.606999999999999</v>
      </c>
      <c r="D739" s="63">
        <f>12.6327 * CHOOSE(CONTROL!$C$22, $C$13, 100%, $E$13)</f>
        <v>12.6327</v>
      </c>
      <c r="E739" s="64">
        <f>14.7728 * CHOOSE(CONTROL!$C$22, $C$13, 100%, $E$13)</f>
        <v>14.7728</v>
      </c>
      <c r="F739" s="64">
        <f>14.7728 * CHOOSE(CONTROL!$C$22, $C$13, 100%, $E$13)</f>
        <v>14.7728</v>
      </c>
      <c r="G739" s="64">
        <f>14.7744 * CHOOSE(CONTROL!$C$22, $C$13, 100%, $E$13)</f>
        <v>14.7744</v>
      </c>
      <c r="H739" s="64">
        <f>24.225* CHOOSE(CONTROL!$C$22, $C$13, 100%, $E$13)</f>
        <v>24.225000000000001</v>
      </c>
      <c r="I739" s="64">
        <f>24.2267 * CHOOSE(CONTROL!$C$22, $C$13, 100%, $E$13)</f>
        <v>24.226700000000001</v>
      </c>
      <c r="J739" s="64">
        <f>14.7728 * CHOOSE(CONTROL!$C$22, $C$13, 100%, $E$13)</f>
        <v>14.7728</v>
      </c>
      <c r="K739" s="64">
        <f>14.7744 * CHOOSE(CONTROL!$C$22, $C$13, 100%, $E$13)</f>
        <v>14.7744</v>
      </c>
    </row>
    <row r="740" spans="1:11" ht="15">
      <c r="A740" s="13">
        <v>64163</v>
      </c>
      <c r="B740" s="63">
        <f>12.6039 * CHOOSE(CONTROL!$C$22, $C$13, 100%, $E$13)</f>
        <v>12.603899999999999</v>
      </c>
      <c r="C740" s="63">
        <f>12.6039 * CHOOSE(CONTROL!$C$22, $C$13, 100%, $E$13)</f>
        <v>12.603899999999999</v>
      </c>
      <c r="D740" s="63">
        <f>12.6297 * CHOOSE(CONTROL!$C$22, $C$13, 100%, $E$13)</f>
        <v>12.6297</v>
      </c>
      <c r="E740" s="64">
        <f>14.7538 * CHOOSE(CONTROL!$C$22, $C$13, 100%, $E$13)</f>
        <v>14.7538</v>
      </c>
      <c r="F740" s="64">
        <f>14.7538 * CHOOSE(CONTROL!$C$22, $C$13, 100%, $E$13)</f>
        <v>14.7538</v>
      </c>
      <c r="G740" s="64">
        <f>14.7554 * CHOOSE(CONTROL!$C$22, $C$13, 100%, $E$13)</f>
        <v>14.7554</v>
      </c>
      <c r="H740" s="64">
        <f>24.2755* CHOOSE(CONTROL!$C$22, $C$13, 100%, $E$13)</f>
        <v>24.275500000000001</v>
      </c>
      <c r="I740" s="64">
        <f>24.2771 * CHOOSE(CONTROL!$C$22, $C$13, 100%, $E$13)</f>
        <v>24.277100000000001</v>
      </c>
      <c r="J740" s="64">
        <f>14.7538 * CHOOSE(CONTROL!$C$22, $C$13, 100%, $E$13)</f>
        <v>14.7538</v>
      </c>
      <c r="K740" s="64">
        <f>14.7554 * CHOOSE(CONTROL!$C$22, $C$13, 100%, $E$13)</f>
        <v>14.7554</v>
      </c>
    </row>
    <row r="741" spans="1:11" ht="15">
      <c r="A741" s="13">
        <v>64193</v>
      </c>
      <c r="B741" s="63">
        <f>12.6274 * CHOOSE(CONTROL!$C$22, $C$13, 100%, $E$13)</f>
        <v>12.6274</v>
      </c>
      <c r="C741" s="63">
        <f>12.6274 * CHOOSE(CONTROL!$C$22, $C$13, 100%, $E$13)</f>
        <v>12.6274</v>
      </c>
      <c r="D741" s="63">
        <f>12.6402 * CHOOSE(CONTROL!$C$22, $C$13, 100%, $E$13)</f>
        <v>12.6402</v>
      </c>
      <c r="E741" s="64">
        <f>14.8077 * CHOOSE(CONTROL!$C$22, $C$13, 100%, $E$13)</f>
        <v>14.807700000000001</v>
      </c>
      <c r="F741" s="64">
        <f>14.8077 * CHOOSE(CONTROL!$C$22, $C$13, 100%, $E$13)</f>
        <v>14.807700000000001</v>
      </c>
      <c r="G741" s="64">
        <f>14.8079 * CHOOSE(CONTROL!$C$22, $C$13, 100%, $E$13)</f>
        <v>14.8079</v>
      </c>
      <c r="H741" s="64">
        <f>24.3261* CHOOSE(CONTROL!$C$22, $C$13, 100%, $E$13)</f>
        <v>24.3261</v>
      </c>
      <c r="I741" s="64">
        <f>24.3263 * CHOOSE(CONTROL!$C$22, $C$13, 100%, $E$13)</f>
        <v>24.3263</v>
      </c>
      <c r="J741" s="64">
        <f>14.8077 * CHOOSE(CONTROL!$C$22, $C$13, 100%, $E$13)</f>
        <v>14.807700000000001</v>
      </c>
      <c r="K741" s="64">
        <f>14.8079 * CHOOSE(CONTROL!$C$22, $C$13, 100%, $E$13)</f>
        <v>14.8079</v>
      </c>
    </row>
    <row r="742" spans="1:11" ht="15">
      <c r="A742" s="13">
        <v>64224</v>
      </c>
      <c r="B742" s="63">
        <f>12.6304 * CHOOSE(CONTROL!$C$22, $C$13, 100%, $E$13)</f>
        <v>12.6304</v>
      </c>
      <c r="C742" s="63">
        <f>12.6304 * CHOOSE(CONTROL!$C$22, $C$13, 100%, $E$13)</f>
        <v>12.6304</v>
      </c>
      <c r="D742" s="63">
        <f>12.6433 * CHOOSE(CONTROL!$C$22, $C$13, 100%, $E$13)</f>
        <v>12.6433</v>
      </c>
      <c r="E742" s="64">
        <f>14.8435 * CHOOSE(CONTROL!$C$22, $C$13, 100%, $E$13)</f>
        <v>14.843500000000001</v>
      </c>
      <c r="F742" s="64">
        <f>14.8435 * CHOOSE(CONTROL!$C$22, $C$13, 100%, $E$13)</f>
        <v>14.843500000000001</v>
      </c>
      <c r="G742" s="64">
        <f>14.8437 * CHOOSE(CONTROL!$C$22, $C$13, 100%, $E$13)</f>
        <v>14.8437</v>
      </c>
      <c r="H742" s="64">
        <f>24.3768* CHOOSE(CONTROL!$C$22, $C$13, 100%, $E$13)</f>
        <v>24.376799999999999</v>
      </c>
      <c r="I742" s="64">
        <f>24.3769 * CHOOSE(CONTROL!$C$22, $C$13, 100%, $E$13)</f>
        <v>24.376899999999999</v>
      </c>
      <c r="J742" s="64">
        <f>14.8435 * CHOOSE(CONTROL!$C$22, $C$13, 100%, $E$13)</f>
        <v>14.843500000000001</v>
      </c>
      <c r="K742" s="64">
        <f>14.8437 * CHOOSE(CONTROL!$C$22, $C$13, 100%, $E$13)</f>
        <v>14.8437</v>
      </c>
    </row>
    <row r="743" spans="1:11" ht="15">
      <c r="A743" s="13">
        <v>64254</v>
      </c>
      <c r="B743" s="63">
        <f>12.6304 * CHOOSE(CONTROL!$C$22, $C$13, 100%, $E$13)</f>
        <v>12.6304</v>
      </c>
      <c r="C743" s="63">
        <f>12.6304 * CHOOSE(CONTROL!$C$22, $C$13, 100%, $E$13)</f>
        <v>12.6304</v>
      </c>
      <c r="D743" s="63">
        <f>12.6433 * CHOOSE(CONTROL!$C$22, $C$13, 100%, $E$13)</f>
        <v>12.6433</v>
      </c>
      <c r="E743" s="64">
        <f>14.7593 * CHOOSE(CONTROL!$C$22, $C$13, 100%, $E$13)</f>
        <v>14.7593</v>
      </c>
      <c r="F743" s="64">
        <f>14.7593 * CHOOSE(CONTROL!$C$22, $C$13, 100%, $E$13)</f>
        <v>14.7593</v>
      </c>
      <c r="G743" s="64">
        <f>14.7595 * CHOOSE(CONTROL!$C$22, $C$13, 100%, $E$13)</f>
        <v>14.759499999999999</v>
      </c>
      <c r="H743" s="64">
        <f>24.4275* CHOOSE(CONTROL!$C$22, $C$13, 100%, $E$13)</f>
        <v>24.427499999999998</v>
      </c>
      <c r="I743" s="64">
        <f>24.4277 * CHOOSE(CONTROL!$C$22, $C$13, 100%, $E$13)</f>
        <v>24.427700000000002</v>
      </c>
      <c r="J743" s="64">
        <f>14.7593 * CHOOSE(CONTROL!$C$22, $C$13, 100%, $E$13)</f>
        <v>14.7593</v>
      </c>
      <c r="K743" s="64">
        <f>14.7595 * CHOOSE(CONTROL!$C$22, $C$13, 100%, $E$13)</f>
        <v>14.759499999999999</v>
      </c>
    </row>
    <row r="744" spans="1:11" ht="15">
      <c r="A744" s="13">
        <v>64285</v>
      </c>
      <c r="B744" s="63">
        <f>12.6449 * CHOOSE(CONTROL!$C$22, $C$13, 100%, $E$13)</f>
        <v>12.6449</v>
      </c>
      <c r="C744" s="63">
        <f>12.6449 * CHOOSE(CONTROL!$C$22, $C$13, 100%, $E$13)</f>
        <v>12.6449</v>
      </c>
      <c r="D744" s="63">
        <f>12.6578 * CHOOSE(CONTROL!$C$22, $C$13, 100%, $E$13)</f>
        <v>12.6578</v>
      </c>
      <c r="E744" s="64">
        <f>14.8352 * CHOOSE(CONTROL!$C$22, $C$13, 100%, $E$13)</f>
        <v>14.8352</v>
      </c>
      <c r="F744" s="64">
        <f>14.8352 * CHOOSE(CONTROL!$C$22, $C$13, 100%, $E$13)</f>
        <v>14.8352</v>
      </c>
      <c r="G744" s="64">
        <f>14.8354 * CHOOSE(CONTROL!$C$22, $C$13, 100%, $E$13)</f>
        <v>14.8354</v>
      </c>
      <c r="H744" s="64">
        <f>24.3206* CHOOSE(CONTROL!$C$22, $C$13, 100%, $E$13)</f>
        <v>24.320599999999999</v>
      </c>
      <c r="I744" s="64">
        <f>24.3207 * CHOOSE(CONTROL!$C$22, $C$13, 100%, $E$13)</f>
        <v>24.320699999999999</v>
      </c>
      <c r="J744" s="64">
        <f>14.8352 * CHOOSE(CONTROL!$C$22, $C$13, 100%, $E$13)</f>
        <v>14.8352</v>
      </c>
      <c r="K744" s="64">
        <f>14.8354 * CHOOSE(CONTROL!$C$22, $C$13, 100%, $E$13)</f>
        <v>14.8354</v>
      </c>
    </row>
    <row r="745" spans="1:11" ht="15">
      <c r="A745" s="13">
        <v>64316</v>
      </c>
      <c r="B745" s="63">
        <f>12.6419 * CHOOSE(CONTROL!$C$22, $C$13, 100%, $E$13)</f>
        <v>12.6419</v>
      </c>
      <c r="C745" s="63">
        <f>12.6419 * CHOOSE(CONTROL!$C$22, $C$13, 100%, $E$13)</f>
        <v>12.6419</v>
      </c>
      <c r="D745" s="63">
        <f>12.6547 * CHOOSE(CONTROL!$C$22, $C$13, 100%, $E$13)</f>
        <v>12.6547</v>
      </c>
      <c r="E745" s="64">
        <f>14.6708 * CHOOSE(CONTROL!$C$22, $C$13, 100%, $E$13)</f>
        <v>14.6708</v>
      </c>
      <c r="F745" s="64">
        <f>14.6708 * CHOOSE(CONTROL!$C$22, $C$13, 100%, $E$13)</f>
        <v>14.6708</v>
      </c>
      <c r="G745" s="64">
        <f>14.6709 * CHOOSE(CONTROL!$C$22, $C$13, 100%, $E$13)</f>
        <v>14.6709</v>
      </c>
      <c r="H745" s="64">
        <f>24.3712* CHOOSE(CONTROL!$C$22, $C$13, 100%, $E$13)</f>
        <v>24.371200000000002</v>
      </c>
      <c r="I745" s="64">
        <f>24.3714 * CHOOSE(CONTROL!$C$22, $C$13, 100%, $E$13)</f>
        <v>24.371400000000001</v>
      </c>
      <c r="J745" s="64">
        <f>14.6708 * CHOOSE(CONTROL!$C$22, $C$13, 100%, $E$13)</f>
        <v>14.6708</v>
      </c>
      <c r="K745" s="64">
        <f>14.6709 * CHOOSE(CONTROL!$C$22, $C$13, 100%, $E$13)</f>
        <v>14.6709</v>
      </c>
    </row>
    <row r="746" spans="1:11" ht="15">
      <c r="A746" s="13">
        <v>64345</v>
      </c>
      <c r="B746" s="63">
        <f>12.6388 * CHOOSE(CONTROL!$C$22, $C$13, 100%, $E$13)</f>
        <v>12.6388</v>
      </c>
      <c r="C746" s="63">
        <f>12.6388 * CHOOSE(CONTROL!$C$22, $C$13, 100%, $E$13)</f>
        <v>12.6388</v>
      </c>
      <c r="D746" s="63">
        <f>12.6517 * CHOOSE(CONTROL!$C$22, $C$13, 100%, $E$13)</f>
        <v>12.6517</v>
      </c>
      <c r="E746" s="64">
        <f>14.7966 * CHOOSE(CONTROL!$C$22, $C$13, 100%, $E$13)</f>
        <v>14.7966</v>
      </c>
      <c r="F746" s="64">
        <f>14.7966 * CHOOSE(CONTROL!$C$22, $C$13, 100%, $E$13)</f>
        <v>14.7966</v>
      </c>
      <c r="G746" s="64">
        <f>14.7968 * CHOOSE(CONTROL!$C$22, $C$13, 100%, $E$13)</f>
        <v>14.796799999999999</v>
      </c>
      <c r="H746" s="64">
        <f>24.422* CHOOSE(CONTROL!$C$22, $C$13, 100%, $E$13)</f>
        <v>24.422000000000001</v>
      </c>
      <c r="I746" s="64">
        <f>24.4222 * CHOOSE(CONTROL!$C$22, $C$13, 100%, $E$13)</f>
        <v>24.4222</v>
      </c>
      <c r="J746" s="64">
        <f>14.7966 * CHOOSE(CONTROL!$C$22, $C$13, 100%, $E$13)</f>
        <v>14.7966</v>
      </c>
      <c r="K746" s="64">
        <f>14.7968 * CHOOSE(CONTROL!$C$22, $C$13, 100%, $E$13)</f>
        <v>14.796799999999999</v>
      </c>
    </row>
    <row r="747" spans="1:11" ht="15">
      <c r="A747" s="13">
        <v>64376</v>
      </c>
      <c r="B747" s="63">
        <f>12.6439 * CHOOSE(CONTROL!$C$22, $C$13, 100%, $E$13)</f>
        <v>12.6439</v>
      </c>
      <c r="C747" s="63">
        <f>12.6439 * CHOOSE(CONTROL!$C$22, $C$13, 100%, $E$13)</f>
        <v>12.6439</v>
      </c>
      <c r="D747" s="63">
        <f>12.6567 * CHOOSE(CONTROL!$C$22, $C$13, 100%, $E$13)</f>
        <v>12.656700000000001</v>
      </c>
      <c r="E747" s="64">
        <f>14.9298 * CHOOSE(CONTROL!$C$22, $C$13, 100%, $E$13)</f>
        <v>14.9298</v>
      </c>
      <c r="F747" s="64">
        <f>14.9298 * CHOOSE(CONTROL!$C$22, $C$13, 100%, $E$13)</f>
        <v>14.9298</v>
      </c>
      <c r="G747" s="64">
        <f>14.93 * CHOOSE(CONTROL!$C$22, $C$13, 100%, $E$13)</f>
        <v>14.93</v>
      </c>
      <c r="H747" s="64">
        <f>24.4729* CHOOSE(CONTROL!$C$22, $C$13, 100%, $E$13)</f>
        <v>24.472899999999999</v>
      </c>
      <c r="I747" s="64">
        <f>24.4731 * CHOOSE(CONTROL!$C$22, $C$13, 100%, $E$13)</f>
        <v>24.473099999999999</v>
      </c>
      <c r="J747" s="64">
        <f>14.9298 * CHOOSE(CONTROL!$C$22, $C$13, 100%, $E$13)</f>
        <v>14.9298</v>
      </c>
      <c r="K747" s="64">
        <f>14.93 * CHOOSE(CONTROL!$C$22, $C$13, 100%, $E$13)</f>
        <v>14.93</v>
      </c>
    </row>
    <row r="748" spans="1:11" ht="15">
      <c r="A748" s="13">
        <v>64406</v>
      </c>
      <c r="B748" s="63">
        <f>12.6439 * CHOOSE(CONTROL!$C$22, $C$13, 100%, $E$13)</f>
        <v>12.6439</v>
      </c>
      <c r="C748" s="63">
        <f>12.6439 * CHOOSE(CONTROL!$C$22, $C$13, 100%, $E$13)</f>
        <v>12.6439</v>
      </c>
      <c r="D748" s="63">
        <f>12.6696 * CHOOSE(CONTROL!$C$22, $C$13, 100%, $E$13)</f>
        <v>12.669600000000001</v>
      </c>
      <c r="E748" s="64">
        <f>14.9813 * CHOOSE(CONTROL!$C$22, $C$13, 100%, $E$13)</f>
        <v>14.981299999999999</v>
      </c>
      <c r="F748" s="64">
        <f>14.9813 * CHOOSE(CONTROL!$C$22, $C$13, 100%, $E$13)</f>
        <v>14.981299999999999</v>
      </c>
      <c r="G748" s="64">
        <f>14.983 * CHOOSE(CONTROL!$C$22, $C$13, 100%, $E$13)</f>
        <v>14.983000000000001</v>
      </c>
      <c r="H748" s="64">
        <f>24.5239* CHOOSE(CONTROL!$C$22, $C$13, 100%, $E$13)</f>
        <v>24.523900000000001</v>
      </c>
      <c r="I748" s="64">
        <f>24.5255 * CHOOSE(CONTROL!$C$22, $C$13, 100%, $E$13)</f>
        <v>24.525500000000001</v>
      </c>
      <c r="J748" s="64">
        <f>14.9813 * CHOOSE(CONTROL!$C$22, $C$13, 100%, $E$13)</f>
        <v>14.981299999999999</v>
      </c>
      <c r="K748" s="64">
        <f>14.983 * CHOOSE(CONTROL!$C$22, $C$13, 100%, $E$13)</f>
        <v>14.983000000000001</v>
      </c>
    </row>
    <row r="749" spans="1:11" ht="15">
      <c r="A749" s="13">
        <v>64437</v>
      </c>
      <c r="B749" s="63">
        <f>12.65 * CHOOSE(CONTROL!$C$22, $C$13, 100%, $E$13)</f>
        <v>12.65</v>
      </c>
      <c r="C749" s="63">
        <f>12.65 * CHOOSE(CONTROL!$C$22, $C$13, 100%, $E$13)</f>
        <v>12.65</v>
      </c>
      <c r="D749" s="63">
        <f>12.6757 * CHOOSE(CONTROL!$C$22, $C$13, 100%, $E$13)</f>
        <v>12.675700000000001</v>
      </c>
      <c r="E749" s="64">
        <f>14.934 * CHOOSE(CONTROL!$C$22, $C$13, 100%, $E$13)</f>
        <v>14.933999999999999</v>
      </c>
      <c r="F749" s="64">
        <f>14.934 * CHOOSE(CONTROL!$C$22, $C$13, 100%, $E$13)</f>
        <v>14.933999999999999</v>
      </c>
      <c r="G749" s="64">
        <f>14.9357 * CHOOSE(CONTROL!$C$22, $C$13, 100%, $E$13)</f>
        <v>14.935700000000001</v>
      </c>
      <c r="H749" s="64">
        <f>24.575* CHOOSE(CONTROL!$C$22, $C$13, 100%, $E$13)</f>
        <v>24.574999999999999</v>
      </c>
      <c r="I749" s="64">
        <f>24.5766 * CHOOSE(CONTROL!$C$22, $C$13, 100%, $E$13)</f>
        <v>24.576599999999999</v>
      </c>
      <c r="J749" s="64">
        <f>14.934 * CHOOSE(CONTROL!$C$22, $C$13, 100%, $E$13)</f>
        <v>14.933999999999999</v>
      </c>
      <c r="K749" s="64">
        <f>14.9357 * CHOOSE(CONTROL!$C$22, $C$13, 100%, $E$13)</f>
        <v>14.935700000000001</v>
      </c>
    </row>
    <row r="750" spans="1:11" ht="15">
      <c r="A750" s="13">
        <v>64467</v>
      </c>
      <c r="B750" s="63">
        <f>12.8495 * CHOOSE(CONTROL!$C$22, $C$13, 100%, $E$13)</f>
        <v>12.849500000000001</v>
      </c>
      <c r="C750" s="63">
        <f>12.8495 * CHOOSE(CONTROL!$C$22, $C$13, 100%, $E$13)</f>
        <v>12.849500000000001</v>
      </c>
      <c r="D750" s="63">
        <f>12.8753 * CHOOSE(CONTROL!$C$22, $C$13, 100%, $E$13)</f>
        <v>12.875299999999999</v>
      </c>
      <c r="E750" s="64">
        <f>15.2195 * CHOOSE(CONTROL!$C$22, $C$13, 100%, $E$13)</f>
        <v>15.2195</v>
      </c>
      <c r="F750" s="64">
        <f>15.2195 * CHOOSE(CONTROL!$C$22, $C$13, 100%, $E$13)</f>
        <v>15.2195</v>
      </c>
      <c r="G750" s="64">
        <f>15.2212 * CHOOSE(CONTROL!$C$22, $C$13, 100%, $E$13)</f>
        <v>15.2212</v>
      </c>
      <c r="H750" s="64">
        <f>24.6262* CHOOSE(CONTROL!$C$22, $C$13, 100%, $E$13)</f>
        <v>24.626200000000001</v>
      </c>
      <c r="I750" s="64">
        <f>24.6278 * CHOOSE(CONTROL!$C$22, $C$13, 100%, $E$13)</f>
        <v>24.627800000000001</v>
      </c>
      <c r="J750" s="64">
        <f>15.2195 * CHOOSE(CONTROL!$C$22, $C$13, 100%, $E$13)</f>
        <v>15.2195</v>
      </c>
      <c r="K750" s="64">
        <f>15.2212 * CHOOSE(CONTROL!$C$22, $C$13, 100%, $E$13)</f>
        <v>15.2212</v>
      </c>
    </row>
    <row r="751" spans="1:11" ht="15">
      <c r="A751" s="13">
        <v>64498</v>
      </c>
      <c r="B751" s="63">
        <f>12.8562 * CHOOSE(CONTROL!$C$22, $C$13, 100%, $E$13)</f>
        <v>12.856199999999999</v>
      </c>
      <c r="C751" s="63">
        <f>12.8562 * CHOOSE(CONTROL!$C$22, $C$13, 100%, $E$13)</f>
        <v>12.856199999999999</v>
      </c>
      <c r="D751" s="63">
        <f>12.8819 * CHOOSE(CONTROL!$C$22, $C$13, 100%, $E$13)</f>
        <v>12.8819</v>
      </c>
      <c r="E751" s="64">
        <f>15.0696 * CHOOSE(CONTROL!$C$22, $C$13, 100%, $E$13)</f>
        <v>15.069599999999999</v>
      </c>
      <c r="F751" s="64">
        <f>15.0696 * CHOOSE(CONTROL!$C$22, $C$13, 100%, $E$13)</f>
        <v>15.069599999999999</v>
      </c>
      <c r="G751" s="64">
        <f>15.0712 * CHOOSE(CONTROL!$C$22, $C$13, 100%, $E$13)</f>
        <v>15.071199999999999</v>
      </c>
      <c r="H751" s="64">
        <f>24.6775* CHOOSE(CONTROL!$C$22, $C$13, 100%, $E$13)</f>
        <v>24.677499999999998</v>
      </c>
      <c r="I751" s="64">
        <f>24.6791 * CHOOSE(CONTROL!$C$22, $C$13, 100%, $E$13)</f>
        <v>24.679099999999998</v>
      </c>
      <c r="J751" s="64">
        <f>15.0696 * CHOOSE(CONTROL!$C$22, $C$13, 100%, $E$13)</f>
        <v>15.069599999999999</v>
      </c>
      <c r="K751" s="64">
        <f>15.0712 * CHOOSE(CONTROL!$C$22, $C$13, 100%, $E$13)</f>
        <v>15.071199999999999</v>
      </c>
    </row>
    <row r="752" spans="1:11" ht="15">
      <c r="A752" s="13">
        <v>64529</v>
      </c>
      <c r="B752" s="63">
        <f>12.8532 * CHOOSE(CONTROL!$C$22, $C$13, 100%, $E$13)</f>
        <v>12.853199999999999</v>
      </c>
      <c r="C752" s="63">
        <f>12.8532 * CHOOSE(CONTROL!$C$22, $C$13, 100%, $E$13)</f>
        <v>12.853199999999999</v>
      </c>
      <c r="D752" s="63">
        <f>12.8789 * CHOOSE(CONTROL!$C$22, $C$13, 100%, $E$13)</f>
        <v>12.8789</v>
      </c>
      <c r="E752" s="64">
        <f>15.0503 * CHOOSE(CONTROL!$C$22, $C$13, 100%, $E$13)</f>
        <v>15.0503</v>
      </c>
      <c r="F752" s="64">
        <f>15.0503 * CHOOSE(CONTROL!$C$22, $C$13, 100%, $E$13)</f>
        <v>15.0503</v>
      </c>
      <c r="G752" s="64">
        <f>15.0519 * CHOOSE(CONTROL!$C$22, $C$13, 100%, $E$13)</f>
        <v>15.0519</v>
      </c>
      <c r="H752" s="64">
        <f>24.7289* CHOOSE(CONTROL!$C$22, $C$13, 100%, $E$13)</f>
        <v>24.728899999999999</v>
      </c>
      <c r="I752" s="64">
        <f>24.7305 * CHOOSE(CONTROL!$C$22, $C$13, 100%, $E$13)</f>
        <v>24.730499999999999</v>
      </c>
      <c r="J752" s="64">
        <f>15.0503 * CHOOSE(CONTROL!$C$22, $C$13, 100%, $E$13)</f>
        <v>15.0503</v>
      </c>
      <c r="K752" s="64">
        <f>15.0519 * CHOOSE(CONTROL!$C$22, $C$13, 100%, $E$13)</f>
        <v>15.0519</v>
      </c>
    </row>
    <row r="753" spans="1:11" ht="15">
      <c r="A753" s="13">
        <v>64559</v>
      </c>
      <c r="B753" s="63">
        <f>12.8774 * CHOOSE(CONTROL!$C$22, $C$13, 100%, $E$13)</f>
        <v>12.8774</v>
      </c>
      <c r="C753" s="63">
        <f>12.8774 * CHOOSE(CONTROL!$C$22, $C$13, 100%, $E$13)</f>
        <v>12.8774</v>
      </c>
      <c r="D753" s="63">
        <f>12.8902 * CHOOSE(CONTROL!$C$22, $C$13, 100%, $E$13)</f>
        <v>12.8902</v>
      </c>
      <c r="E753" s="64">
        <f>15.1056 * CHOOSE(CONTROL!$C$22, $C$13, 100%, $E$13)</f>
        <v>15.105600000000001</v>
      </c>
      <c r="F753" s="64">
        <f>15.1056 * CHOOSE(CONTROL!$C$22, $C$13, 100%, $E$13)</f>
        <v>15.105600000000001</v>
      </c>
      <c r="G753" s="64">
        <f>15.1058 * CHOOSE(CONTROL!$C$22, $C$13, 100%, $E$13)</f>
        <v>15.1058</v>
      </c>
      <c r="H753" s="64">
        <f>24.7804* CHOOSE(CONTROL!$C$22, $C$13, 100%, $E$13)</f>
        <v>24.7804</v>
      </c>
      <c r="I753" s="64">
        <f>24.7806 * CHOOSE(CONTROL!$C$22, $C$13, 100%, $E$13)</f>
        <v>24.7806</v>
      </c>
      <c r="J753" s="64">
        <f>15.1056 * CHOOSE(CONTROL!$C$22, $C$13, 100%, $E$13)</f>
        <v>15.105600000000001</v>
      </c>
      <c r="K753" s="64">
        <f>15.1058 * CHOOSE(CONTROL!$C$22, $C$13, 100%, $E$13)</f>
        <v>15.1058</v>
      </c>
    </row>
    <row r="754" spans="1:11" ht="15">
      <c r="A754" s="13">
        <v>64590</v>
      </c>
      <c r="B754" s="63">
        <f>12.8804 * CHOOSE(CONTROL!$C$22, $C$13, 100%, $E$13)</f>
        <v>12.8804</v>
      </c>
      <c r="C754" s="63">
        <f>12.8804 * CHOOSE(CONTROL!$C$22, $C$13, 100%, $E$13)</f>
        <v>12.8804</v>
      </c>
      <c r="D754" s="63">
        <f>12.8933 * CHOOSE(CONTROL!$C$22, $C$13, 100%, $E$13)</f>
        <v>12.8933</v>
      </c>
      <c r="E754" s="64">
        <f>15.1421 * CHOOSE(CONTROL!$C$22, $C$13, 100%, $E$13)</f>
        <v>15.142099999999999</v>
      </c>
      <c r="F754" s="64">
        <f>15.1421 * CHOOSE(CONTROL!$C$22, $C$13, 100%, $E$13)</f>
        <v>15.142099999999999</v>
      </c>
      <c r="G754" s="64">
        <f>15.1422 * CHOOSE(CONTROL!$C$22, $C$13, 100%, $E$13)</f>
        <v>15.142200000000001</v>
      </c>
      <c r="H754" s="64">
        <f>24.832* CHOOSE(CONTROL!$C$22, $C$13, 100%, $E$13)</f>
        <v>24.832000000000001</v>
      </c>
      <c r="I754" s="64">
        <f>24.8322 * CHOOSE(CONTROL!$C$22, $C$13, 100%, $E$13)</f>
        <v>24.8322</v>
      </c>
      <c r="J754" s="64">
        <f>15.1421 * CHOOSE(CONTROL!$C$22, $C$13, 100%, $E$13)</f>
        <v>15.142099999999999</v>
      </c>
      <c r="K754" s="64">
        <f>15.1422 * CHOOSE(CONTROL!$C$22, $C$13, 100%, $E$13)</f>
        <v>15.142200000000001</v>
      </c>
    </row>
    <row r="755" spans="1:11" ht="15">
      <c r="A755" s="13">
        <v>64620</v>
      </c>
      <c r="B755" s="63">
        <f>12.8804 * CHOOSE(CONTROL!$C$22, $C$13, 100%, $E$13)</f>
        <v>12.8804</v>
      </c>
      <c r="C755" s="63">
        <f>12.8804 * CHOOSE(CONTROL!$C$22, $C$13, 100%, $E$13)</f>
        <v>12.8804</v>
      </c>
      <c r="D755" s="63">
        <f>12.8933 * CHOOSE(CONTROL!$C$22, $C$13, 100%, $E$13)</f>
        <v>12.8933</v>
      </c>
      <c r="E755" s="64">
        <f>15.0562 * CHOOSE(CONTROL!$C$22, $C$13, 100%, $E$13)</f>
        <v>15.0562</v>
      </c>
      <c r="F755" s="64">
        <f>15.0562 * CHOOSE(CONTROL!$C$22, $C$13, 100%, $E$13)</f>
        <v>15.0562</v>
      </c>
      <c r="G755" s="64">
        <f>15.0563 * CHOOSE(CONTROL!$C$22, $C$13, 100%, $E$13)</f>
        <v>15.0563</v>
      </c>
      <c r="H755" s="64">
        <f>24.8838* CHOOSE(CONTROL!$C$22, $C$13, 100%, $E$13)</f>
        <v>24.883800000000001</v>
      </c>
      <c r="I755" s="64">
        <f>24.8839 * CHOOSE(CONTROL!$C$22, $C$13, 100%, $E$13)</f>
        <v>24.883900000000001</v>
      </c>
      <c r="J755" s="64">
        <f>15.0562 * CHOOSE(CONTROL!$C$22, $C$13, 100%, $E$13)</f>
        <v>15.0562</v>
      </c>
      <c r="K755" s="64">
        <f>15.0563 * CHOOSE(CONTROL!$C$22, $C$13, 100%, $E$13)</f>
        <v>15.0563</v>
      </c>
    </row>
    <row r="756" spans="1:11" ht="15">
      <c r="A756" s="13">
        <v>64651</v>
      </c>
      <c r="B756" s="63">
        <f>12.8902 * CHOOSE(CONTROL!$C$22, $C$13, 100%, $E$13)</f>
        <v>12.8902</v>
      </c>
      <c r="C756" s="63">
        <f>12.8902 * CHOOSE(CONTROL!$C$22, $C$13, 100%, $E$13)</f>
        <v>12.8902</v>
      </c>
      <c r="D756" s="63">
        <f>12.9031 * CHOOSE(CONTROL!$C$22, $C$13, 100%, $E$13)</f>
        <v>12.9031</v>
      </c>
      <c r="E756" s="64">
        <f>15.1276 * CHOOSE(CONTROL!$C$22, $C$13, 100%, $E$13)</f>
        <v>15.127599999999999</v>
      </c>
      <c r="F756" s="64">
        <f>15.1276 * CHOOSE(CONTROL!$C$22, $C$13, 100%, $E$13)</f>
        <v>15.127599999999999</v>
      </c>
      <c r="G756" s="64">
        <f>15.1278 * CHOOSE(CONTROL!$C$22, $C$13, 100%, $E$13)</f>
        <v>15.127800000000001</v>
      </c>
      <c r="H756" s="64">
        <f>24.7665* CHOOSE(CONTROL!$C$22, $C$13, 100%, $E$13)</f>
        <v>24.766500000000001</v>
      </c>
      <c r="I756" s="64">
        <f>24.7666 * CHOOSE(CONTROL!$C$22, $C$13, 100%, $E$13)</f>
        <v>24.7666</v>
      </c>
      <c r="J756" s="64">
        <f>15.1276 * CHOOSE(CONTROL!$C$22, $C$13, 100%, $E$13)</f>
        <v>15.127599999999999</v>
      </c>
      <c r="K756" s="64">
        <f>15.1278 * CHOOSE(CONTROL!$C$22, $C$13, 100%, $E$13)</f>
        <v>15.127800000000001</v>
      </c>
    </row>
    <row r="757" spans="1:11" ht="15">
      <c r="A757" s="13">
        <v>64682</v>
      </c>
      <c r="B757" s="63">
        <f>12.8872 * CHOOSE(CONTROL!$C$22, $C$13, 100%, $E$13)</f>
        <v>12.8872</v>
      </c>
      <c r="C757" s="63">
        <f>12.8872 * CHOOSE(CONTROL!$C$22, $C$13, 100%, $E$13)</f>
        <v>12.8872</v>
      </c>
      <c r="D757" s="63">
        <f>12.9001 * CHOOSE(CONTROL!$C$22, $C$13, 100%, $E$13)</f>
        <v>12.9001</v>
      </c>
      <c r="E757" s="64">
        <f>14.96 * CHOOSE(CONTROL!$C$22, $C$13, 100%, $E$13)</f>
        <v>14.96</v>
      </c>
      <c r="F757" s="64">
        <f>14.96 * CHOOSE(CONTROL!$C$22, $C$13, 100%, $E$13)</f>
        <v>14.96</v>
      </c>
      <c r="G757" s="64">
        <f>14.9601 * CHOOSE(CONTROL!$C$22, $C$13, 100%, $E$13)</f>
        <v>14.960100000000001</v>
      </c>
      <c r="H757" s="64">
        <f>24.8181* CHOOSE(CONTROL!$C$22, $C$13, 100%, $E$13)</f>
        <v>24.818100000000001</v>
      </c>
      <c r="I757" s="64">
        <f>24.8182 * CHOOSE(CONTROL!$C$22, $C$13, 100%, $E$13)</f>
        <v>24.818200000000001</v>
      </c>
      <c r="J757" s="64">
        <f>14.96 * CHOOSE(CONTROL!$C$22, $C$13, 100%, $E$13)</f>
        <v>14.96</v>
      </c>
      <c r="K757" s="64">
        <f>14.9601 * CHOOSE(CONTROL!$C$22, $C$13, 100%, $E$13)</f>
        <v>14.960100000000001</v>
      </c>
    </row>
    <row r="758" spans="1:11" ht="15">
      <c r="A758" s="13">
        <v>64710</v>
      </c>
      <c r="B758" s="63">
        <f>12.8841 * CHOOSE(CONTROL!$C$22, $C$13, 100%, $E$13)</f>
        <v>12.8841</v>
      </c>
      <c r="C758" s="63">
        <f>12.8841 * CHOOSE(CONTROL!$C$22, $C$13, 100%, $E$13)</f>
        <v>12.8841</v>
      </c>
      <c r="D758" s="63">
        <f>12.897 * CHOOSE(CONTROL!$C$22, $C$13, 100%, $E$13)</f>
        <v>12.897</v>
      </c>
      <c r="E758" s="64">
        <f>15.0883 * CHOOSE(CONTROL!$C$22, $C$13, 100%, $E$13)</f>
        <v>15.0883</v>
      </c>
      <c r="F758" s="64">
        <f>15.0883 * CHOOSE(CONTROL!$C$22, $C$13, 100%, $E$13)</f>
        <v>15.0883</v>
      </c>
      <c r="G758" s="64">
        <f>15.0885 * CHOOSE(CONTROL!$C$22, $C$13, 100%, $E$13)</f>
        <v>15.0885</v>
      </c>
      <c r="H758" s="64">
        <f>24.8698* CHOOSE(CONTROL!$C$22, $C$13, 100%, $E$13)</f>
        <v>24.869800000000001</v>
      </c>
      <c r="I758" s="64">
        <f>24.8699 * CHOOSE(CONTROL!$C$22, $C$13, 100%, $E$13)</f>
        <v>24.869900000000001</v>
      </c>
      <c r="J758" s="64">
        <f>15.0883 * CHOOSE(CONTROL!$C$22, $C$13, 100%, $E$13)</f>
        <v>15.0883</v>
      </c>
      <c r="K758" s="64">
        <f>15.0885 * CHOOSE(CONTROL!$C$22, $C$13, 100%, $E$13)</f>
        <v>15.0885</v>
      </c>
    </row>
    <row r="759" spans="1:11" ht="15">
      <c r="A759" s="13">
        <v>64741</v>
      </c>
      <c r="B759" s="63">
        <f>12.8894 * CHOOSE(CONTROL!$C$22, $C$13, 100%, $E$13)</f>
        <v>12.8894</v>
      </c>
      <c r="C759" s="63">
        <f>12.8894 * CHOOSE(CONTROL!$C$22, $C$13, 100%, $E$13)</f>
        <v>12.8894</v>
      </c>
      <c r="D759" s="63">
        <f>12.9023 * CHOOSE(CONTROL!$C$22, $C$13, 100%, $E$13)</f>
        <v>12.9023</v>
      </c>
      <c r="E759" s="64">
        <f>15.2242 * CHOOSE(CONTROL!$C$22, $C$13, 100%, $E$13)</f>
        <v>15.2242</v>
      </c>
      <c r="F759" s="64">
        <f>15.2242 * CHOOSE(CONTROL!$C$22, $C$13, 100%, $E$13)</f>
        <v>15.2242</v>
      </c>
      <c r="G759" s="64">
        <f>15.2244 * CHOOSE(CONTROL!$C$22, $C$13, 100%, $E$13)</f>
        <v>15.224399999999999</v>
      </c>
      <c r="H759" s="64">
        <f>24.9216* CHOOSE(CONTROL!$C$22, $C$13, 100%, $E$13)</f>
        <v>24.921600000000002</v>
      </c>
      <c r="I759" s="64">
        <f>24.9217 * CHOOSE(CONTROL!$C$22, $C$13, 100%, $E$13)</f>
        <v>24.921700000000001</v>
      </c>
      <c r="J759" s="64">
        <f>15.2242 * CHOOSE(CONTROL!$C$22, $C$13, 100%, $E$13)</f>
        <v>15.2242</v>
      </c>
      <c r="K759" s="64">
        <f>15.2244 * CHOOSE(CONTROL!$C$22, $C$13, 100%, $E$13)</f>
        <v>15.224399999999999</v>
      </c>
    </row>
    <row r="760" spans="1:11" ht="15">
      <c r="A760" s="13">
        <v>64771</v>
      </c>
      <c r="B760" s="63">
        <f>12.8894 * CHOOSE(CONTROL!$C$22, $C$13, 100%, $E$13)</f>
        <v>12.8894</v>
      </c>
      <c r="C760" s="63">
        <f>12.8894 * CHOOSE(CONTROL!$C$22, $C$13, 100%, $E$13)</f>
        <v>12.8894</v>
      </c>
      <c r="D760" s="63">
        <f>12.9151 * CHOOSE(CONTROL!$C$22, $C$13, 100%, $E$13)</f>
        <v>12.915100000000001</v>
      </c>
      <c r="E760" s="64">
        <f>15.2768 * CHOOSE(CONTROL!$C$22, $C$13, 100%, $E$13)</f>
        <v>15.2768</v>
      </c>
      <c r="F760" s="64">
        <f>15.2768 * CHOOSE(CONTROL!$C$22, $C$13, 100%, $E$13)</f>
        <v>15.2768</v>
      </c>
      <c r="G760" s="64">
        <f>15.2784 * CHOOSE(CONTROL!$C$22, $C$13, 100%, $E$13)</f>
        <v>15.2784</v>
      </c>
      <c r="H760" s="64">
        <f>24.9735* CHOOSE(CONTROL!$C$22, $C$13, 100%, $E$13)</f>
        <v>24.973500000000001</v>
      </c>
      <c r="I760" s="64">
        <f>24.9751 * CHOOSE(CONTROL!$C$22, $C$13, 100%, $E$13)</f>
        <v>24.975100000000001</v>
      </c>
      <c r="J760" s="64">
        <f>15.2768 * CHOOSE(CONTROL!$C$22, $C$13, 100%, $E$13)</f>
        <v>15.2768</v>
      </c>
      <c r="K760" s="64">
        <f>15.2784 * CHOOSE(CONTROL!$C$22, $C$13, 100%, $E$13)</f>
        <v>15.2784</v>
      </c>
    </row>
    <row r="761" spans="1:11" ht="15">
      <c r="A761" s="13">
        <v>64802</v>
      </c>
      <c r="B761" s="63">
        <f>12.8955 * CHOOSE(CONTROL!$C$22, $C$13, 100%, $E$13)</f>
        <v>12.8955</v>
      </c>
      <c r="C761" s="63">
        <f>12.8955 * CHOOSE(CONTROL!$C$22, $C$13, 100%, $E$13)</f>
        <v>12.8955</v>
      </c>
      <c r="D761" s="63">
        <f>12.9212 * CHOOSE(CONTROL!$C$22, $C$13, 100%, $E$13)</f>
        <v>12.921200000000001</v>
      </c>
      <c r="E761" s="64">
        <f>15.2285 * CHOOSE(CONTROL!$C$22, $C$13, 100%, $E$13)</f>
        <v>15.2285</v>
      </c>
      <c r="F761" s="64">
        <f>15.2285 * CHOOSE(CONTROL!$C$22, $C$13, 100%, $E$13)</f>
        <v>15.2285</v>
      </c>
      <c r="G761" s="64">
        <f>15.2301 * CHOOSE(CONTROL!$C$22, $C$13, 100%, $E$13)</f>
        <v>15.2301</v>
      </c>
      <c r="H761" s="64">
        <f>25.0255* CHOOSE(CONTROL!$C$22, $C$13, 100%, $E$13)</f>
        <v>25.025500000000001</v>
      </c>
      <c r="I761" s="64">
        <f>25.0272 * CHOOSE(CONTROL!$C$22, $C$13, 100%, $E$13)</f>
        <v>25.027200000000001</v>
      </c>
      <c r="J761" s="64">
        <f>15.2285 * CHOOSE(CONTROL!$C$22, $C$13, 100%, $E$13)</f>
        <v>15.2285</v>
      </c>
      <c r="K761" s="64">
        <f>15.2301 * CHOOSE(CONTROL!$C$22, $C$13, 100%, $E$13)</f>
        <v>15.2301</v>
      </c>
    </row>
    <row r="762" spans="1:11" ht="15">
      <c r="A762" s="13">
        <v>64832</v>
      </c>
      <c r="B762" s="63">
        <f>13.0987 * CHOOSE(CONTROL!$C$22, $C$13, 100%, $E$13)</f>
        <v>13.098699999999999</v>
      </c>
      <c r="C762" s="63">
        <f>13.0987 * CHOOSE(CONTROL!$C$22, $C$13, 100%, $E$13)</f>
        <v>13.098699999999999</v>
      </c>
      <c r="D762" s="63">
        <f>13.1245 * CHOOSE(CONTROL!$C$22, $C$13, 100%, $E$13)</f>
        <v>13.124499999999999</v>
      </c>
      <c r="E762" s="64">
        <f>15.5194 * CHOOSE(CONTROL!$C$22, $C$13, 100%, $E$13)</f>
        <v>15.519399999999999</v>
      </c>
      <c r="F762" s="64">
        <f>15.5194 * CHOOSE(CONTROL!$C$22, $C$13, 100%, $E$13)</f>
        <v>15.519399999999999</v>
      </c>
      <c r="G762" s="64">
        <f>15.521 * CHOOSE(CONTROL!$C$22, $C$13, 100%, $E$13)</f>
        <v>15.521000000000001</v>
      </c>
      <c r="H762" s="64">
        <f>25.0777* CHOOSE(CONTROL!$C$22, $C$13, 100%, $E$13)</f>
        <v>25.0777</v>
      </c>
      <c r="I762" s="64">
        <f>25.0793 * CHOOSE(CONTROL!$C$22, $C$13, 100%, $E$13)</f>
        <v>25.0793</v>
      </c>
      <c r="J762" s="64">
        <f>15.5194 * CHOOSE(CONTROL!$C$22, $C$13, 100%, $E$13)</f>
        <v>15.519399999999999</v>
      </c>
      <c r="K762" s="64">
        <f>15.521 * CHOOSE(CONTROL!$C$22, $C$13, 100%, $E$13)</f>
        <v>15.521000000000001</v>
      </c>
    </row>
    <row r="763" spans="1:11" ht="15">
      <c r="A763" s="13">
        <v>64863</v>
      </c>
      <c r="B763" s="63">
        <f>13.1054 * CHOOSE(CONTROL!$C$22, $C$13, 100%, $E$13)</f>
        <v>13.105399999999999</v>
      </c>
      <c r="C763" s="63">
        <f>13.1054 * CHOOSE(CONTROL!$C$22, $C$13, 100%, $E$13)</f>
        <v>13.105399999999999</v>
      </c>
      <c r="D763" s="63">
        <f>13.1312 * CHOOSE(CONTROL!$C$22, $C$13, 100%, $E$13)</f>
        <v>13.1312</v>
      </c>
      <c r="E763" s="64">
        <f>15.3664 * CHOOSE(CONTROL!$C$22, $C$13, 100%, $E$13)</f>
        <v>15.366400000000001</v>
      </c>
      <c r="F763" s="64">
        <f>15.3664 * CHOOSE(CONTROL!$C$22, $C$13, 100%, $E$13)</f>
        <v>15.366400000000001</v>
      </c>
      <c r="G763" s="64">
        <f>15.3681 * CHOOSE(CONTROL!$C$22, $C$13, 100%, $E$13)</f>
        <v>15.3681</v>
      </c>
      <c r="H763" s="64">
        <f>25.1299* CHOOSE(CONTROL!$C$22, $C$13, 100%, $E$13)</f>
        <v>25.129899999999999</v>
      </c>
      <c r="I763" s="64">
        <f>25.1315 * CHOOSE(CONTROL!$C$22, $C$13, 100%, $E$13)</f>
        <v>25.131499999999999</v>
      </c>
      <c r="J763" s="64">
        <f>15.3664 * CHOOSE(CONTROL!$C$22, $C$13, 100%, $E$13)</f>
        <v>15.366400000000001</v>
      </c>
      <c r="K763" s="64">
        <f>15.3681 * CHOOSE(CONTROL!$C$22, $C$13, 100%, $E$13)</f>
        <v>15.3681</v>
      </c>
    </row>
    <row r="764" spans="1:11" ht="15">
      <c r="A764" s="13">
        <v>64894</v>
      </c>
      <c r="B764" s="63">
        <f>13.1024 * CHOOSE(CONTROL!$C$22, $C$13, 100%, $E$13)</f>
        <v>13.102399999999999</v>
      </c>
      <c r="C764" s="63">
        <f>13.1024 * CHOOSE(CONTROL!$C$22, $C$13, 100%, $E$13)</f>
        <v>13.102399999999999</v>
      </c>
      <c r="D764" s="63">
        <f>13.1281 * CHOOSE(CONTROL!$C$22, $C$13, 100%, $E$13)</f>
        <v>13.1281</v>
      </c>
      <c r="E764" s="64">
        <f>15.3468 * CHOOSE(CONTROL!$C$22, $C$13, 100%, $E$13)</f>
        <v>15.3468</v>
      </c>
      <c r="F764" s="64">
        <f>15.3468 * CHOOSE(CONTROL!$C$22, $C$13, 100%, $E$13)</f>
        <v>15.3468</v>
      </c>
      <c r="G764" s="64">
        <f>15.3484 * CHOOSE(CONTROL!$C$22, $C$13, 100%, $E$13)</f>
        <v>15.3484</v>
      </c>
      <c r="H764" s="64">
        <f>25.1823* CHOOSE(CONTROL!$C$22, $C$13, 100%, $E$13)</f>
        <v>25.182300000000001</v>
      </c>
      <c r="I764" s="64">
        <f>25.1839 * CHOOSE(CONTROL!$C$22, $C$13, 100%, $E$13)</f>
        <v>25.183900000000001</v>
      </c>
      <c r="J764" s="64">
        <f>15.3468 * CHOOSE(CONTROL!$C$22, $C$13, 100%, $E$13)</f>
        <v>15.3468</v>
      </c>
      <c r="K764" s="64">
        <f>15.3484 * CHOOSE(CONTROL!$C$22, $C$13, 100%, $E$13)</f>
        <v>15.3484</v>
      </c>
    </row>
    <row r="765" spans="1:11" ht="15">
      <c r="A765" s="13">
        <v>64924</v>
      </c>
      <c r="B765" s="63">
        <f>13.1274 * CHOOSE(CONTROL!$C$22, $C$13, 100%, $E$13)</f>
        <v>13.1274</v>
      </c>
      <c r="C765" s="63">
        <f>13.1274 * CHOOSE(CONTROL!$C$22, $C$13, 100%, $E$13)</f>
        <v>13.1274</v>
      </c>
      <c r="D765" s="63">
        <f>13.1403 * CHOOSE(CONTROL!$C$22, $C$13, 100%, $E$13)</f>
        <v>13.1403</v>
      </c>
      <c r="E765" s="64">
        <f>15.4034 * CHOOSE(CONTROL!$C$22, $C$13, 100%, $E$13)</f>
        <v>15.4034</v>
      </c>
      <c r="F765" s="64">
        <f>15.4034 * CHOOSE(CONTROL!$C$22, $C$13, 100%, $E$13)</f>
        <v>15.4034</v>
      </c>
      <c r="G765" s="64">
        <f>15.4036 * CHOOSE(CONTROL!$C$22, $C$13, 100%, $E$13)</f>
        <v>15.403600000000001</v>
      </c>
      <c r="H765" s="64">
        <f>25.2347* CHOOSE(CONTROL!$C$22, $C$13, 100%, $E$13)</f>
        <v>25.2347</v>
      </c>
      <c r="I765" s="64">
        <f>25.2349 * CHOOSE(CONTROL!$C$22, $C$13, 100%, $E$13)</f>
        <v>25.2349</v>
      </c>
      <c r="J765" s="64">
        <f>15.4034 * CHOOSE(CONTROL!$C$22, $C$13, 100%, $E$13)</f>
        <v>15.4034</v>
      </c>
      <c r="K765" s="64">
        <f>15.4036 * CHOOSE(CONTROL!$C$22, $C$13, 100%, $E$13)</f>
        <v>15.403600000000001</v>
      </c>
    </row>
    <row r="766" spans="1:11" ht="15">
      <c r="A766" s="13">
        <v>64955</v>
      </c>
      <c r="B766" s="63">
        <f>13.1304 * CHOOSE(CONTROL!$C$22, $C$13, 100%, $E$13)</f>
        <v>13.1304</v>
      </c>
      <c r="C766" s="63">
        <f>13.1304 * CHOOSE(CONTROL!$C$22, $C$13, 100%, $E$13)</f>
        <v>13.1304</v>
      </c>
      <c r="D766" s="63">
        <f>13.1433 * CHOOSE(CONTROL!$C$22, $C$13, 100%, $E$13)</f>
        <v>13.1433</v>
      </c>
      <c r="E766" s="64">
        <f>15.4406 * CHOOSE(CONTROL!$C$22, $C$13, 100%, $E$13)</f>
        <v>15.4406</v>
      </c>
      <c r="F766" s="64">
        <f>15.4406 * CHOOSE(CONTROL!$C$22, $C$13, 100%, $E$13)</f>
        <v>15.4406</v>
      </c>
      <c r="G766" s="64">
        <f>15.4408 * CHOOSE(CONTROL!$C$22, $C$13, 100%, $E$13)</f>
        <v>15.440799999999999</v>
      </c>
      <c r="H766" s="64">
        <f>25.2873* CHOOSE(CONTROL!$C$22, $C$13, 100%, $E$13)</f>
        <v>25.287299999999998</v>
      </c>
      <c r="I766" s="64">
        <f>25.2875 * CHOOSE(CONTROL!$C$22, $C$13, 100%, $E$13)</f>
        <v>25.287500000000001</v>
      </c>
      <c r="J766" s="64">
        <f>15.4406 * CHOOSE(CONTROL!$C$22, $C$13, 100%, $E$13)</f>
        <v>15.4406</v>
      </c>
      <c r="K766" s="64">
        <f>15.4408 * CHOOSE(CONTROL!$C$22, $C$13, 100%, $E$13)</f>
        <v>15.440799999999999</v>
      </c>
    </row>
    <row r="767" spans="1:11" ht="15">
      <c r="A767" s="13">
        <v>64985</v>
      </c>
      <c r="B767" s="63">
        <f>13.1304 * CHOOSE(CONTROL!$C$22, $C$13, 100%, $E$13)</f>
        <v>13.1304</v>
      </c>
      <c r="C767" s="63">
        <f>13.1304 * CHOOSE(CONTROL!$C$22, $C$13, 100%, $E$13)</f>
        <v>13.1304</v>
      </c>
      <c r="D767" s="63">
        <f>13.1433 * CHOOSE(CONTROL!$C$22, $C$13, 100%, $E$13)</f>
        <v>13.1433</v>
      </c>
      <c r="E767" s="64">
        <f>15.353 * CHOOSE(CONTROL!$C$22, $C$13, 100%, $E$13)</f>
        <v>15.353</v>
      </c>
      <c r="F767" s="64">
        <f>15.353 * CHOOSE(CONTROL!$C$22, $C$13, 100%, $E$13)</f>
        <v>15.353</v>
      </c>
      <c r="G767" s="64">
        <f>15.3532 * CHOOSE(CONTROL!$C$22, $C$13, 100%, $E$13)</f>
        <v>15.353199999999999</v>
      </c>
      <c r="H767" s="64">
        <f>25.34* CHOOSE(CONTROL!$C$22, $C$13, 100%, $E$13)</f>
        <v>25.34</v>
      </c>
      <c r="I767" s="64">
        <f>25.3401 * CHOOSE(CONTROL!$C$22, $C$13, 100%, $E$13)</f>
        <v>25.3401</v>
      </c>
      <c r="J767" s="64">
        <f>15.353 * CHOOSE(CONTROL!$C$22, $C$13, 100%, $E$13)</f>
        <v>15.353</v>
      </c>
      <c r="K767" s="64">
        <f>15.3532 * CHOOSE(CONTROL!$C$22, $C$13, 100%, $E$13)</f>
        <v>15.353199999999999</v>
      </c>
    </row>
    <row r="768" spans="1:11" ht="15">
      <c r="A768" s="13">
        <v>65016</v>
      </c>
      <c r="B768" s="63">
        <f>13.1355 * CHOOSE(CONTROL!$C$22, $C$13, 100%, $E$13)</f>
        <v>13.1355</v>
      </c>
      <c r="C768" s="63">
        <f>13.1355 * CHOOSE(CONTROL!$C$22, $C$13, 100%, $E$13)</f>
        <v>13.1355</v>
      </c>
      <c r="D768" s="63">
        <f>13.1484 * CHOOSE(CONTROL!$C$22, $C$13, 100%, $E$13)</f>
        <v>13.148400000000001</v>
      </c>
      <c r="E768" s="64">
        <f>15.42 * CHOOSE(CONTROL!$C$22, $C$13, 100%, $E$13)</f>
        <v>15.42</v>
      </c>
      <c r="F768" s="64">
        <f>15.42 * CHOOSE(CONTROL!$C$22, $C$13, 100%, $E$13)</f>
        <v>15.42</v>
      </c>
      <c r="G768" s="64">
        <f>15.4202 * CHOOSE(CONTROL!$C$22, $C$13, 100%, $E$13)</f>
        <v>15.420199999999999</v>
      </c>
      <c r="H768" s="64">
        <f>25.2123* CHOOSE(CONTROL!$C$22, $C$13, 100%, $E$13)</f>
        <v>25.212299999999999</v>
      </c>
      <c r="I768" s="64">
        <f>25.2125 * CHOOSE(CONTROL!$C$22, $C$13, 100%, $E$13)</f>
        <v>25.212499999999999</v>
      </c>
      <c r="J768" s="64">
        <f>15.42 * CHOOSE(CONTROL!$C$22, $C$13, 100%, $E$13)</f>
        <v>15.42</v>
      </c>
      <c r="K768" s="64">
        <f>15.4202 * CHOOSE(CONTROL!$C$22, $C$13, 100%, $E$13)</f>
        <v>15.420199999999999</v>
      </c>
    </row>
    <row r="769" spans="1:11" ht="15">
      <c r="A769" s="13">
        <v>65047</v>
      </c>
      <c r="B769" s="63">
        <f>13.1325 * CHOOSE(CONTROL!$C$22, $C$13, 100%, $E$13)</f>
        <v>13.1325</v>
      </c>
      <c r="C769" s="63">
        <f>13.1325 * CHOOSE(CONTROL!$C$22, $C$13, 100%, $E$13)</f>
        <v>13.1325</v>
      </c>
      <c r="D769" s="63">
        <f>13.1454 * CHOOSE(CONTROL!$C$22, $C$13, 100%, $E$13)</f>
        <v>13.1454</v>
      </c>
      <c r="E769" s="64">
        <f>15.2492 * CHOOSE(CONTROL!$C$22, $C$13, 100%, $E$13)</f>
        <v>15.2492</v>
      </c>
      <c r="F769" s="64">
        <f>15.2492 * CHOOSE(CONTROL!$C$22, $C$13, 100%, $E$13)</f>
        <v>15.2492</v>
      </c>
      <c r="G769" s="64">
        <f>15.2493 * CHOOSE(CONTROL!$C$22, $C$13, 100%, $E$13)</f>
        <v>15.2493</v>
      </c>
      <c r="H769" s="64">
        <f>25.2649* CHOOSE(CONTROL!$C$22, $C$13, 100%, $E$13)</f>
        <v>25.264900000000001</v>
      </c>
      <c r="I769" s="64">
        <f>25.2651 * CHOOSE(CONTROL!$C$22, $C$13, 100%, $E$13)</f>
        <v>25.2651</v>
      </c>
      <c r="J769" s="64">
        <f>15.2492 * CHOOSE(CONTROL!$C$22, $C$13, 100%, $E$13)</f>
        <v>15.2492</v>
      </c>
      <c r="K769" s="64">
        <f>15.2493 * CHOOSE(CONTROL!$C$22, $C$13, 100%, $E$13)</f>
        <v>15.2493</v>
      </c>
    </row>
    <row r="770" spans="1:11" ht="15">
      <c r="A770" s="13">
        <v>65075</v>
      </c>
      <c r="B770" s="63">
        <f>13.1295 * CHOOSE(CONTROL!$C$22, $C$13, 100%, $E$13)</f>
        <v>13.1295</v>
      </c>
      <c r="C770" s="63">
        <f>13.1295 * CHOOSE(CONTROL!$C$22, $C$13, 100%, $E$13)</f>
        <v>13.1295</v>
      </c>
      <c r="D770" s="63">
        <f>13.1423 * CHOOSE(CONTROL!$C$22, $C$13, 100%, $E$13)</f>
        <v>13.142300000000001</v>
      </c>
      <c r="E770" s="64">
        <f>15.3801 * CHOOSE(CONTROL!$C$22, $C$13, 100%, $E$13)</f>
        <v>15.380100000000001</v>
      </c>
      <c r="F770" s="64">
        <f>15.3801 * CHOOSE(CONTROL!$C$22, $C$13, 100%, $E$13)</f>
        <v>15.380100000000001</v>
      </c>
      <c r="G770" s="64">
        <f>15.3802 * CHOOSE(CONTROL!$C$22, $C$13, 100%, $E$13)</f>
        <v>15.3802</v>
      </c>
      <c r="H770" s="64">
        <f>25.3175* CHOOSE(CONTROL!$C$22, $C$13, 100%, $E$13)</f>
        <v>25.317499999999999</v>
      </c>
      <c r="I770" s="64">
        <f>25.3177 * CHOOSE(CONTROL!$C$22, $C$13, 100%, $E$13)</f>
        <v>25.317699999999999</v>
      </c>
      <c r="J770" s="64">
        <f>15.3801 * CHOOSE(CONTROL!$C$22, $C$13, 100%, $E$13)</f>
        <v>15.380100000000001</v>
      </c>
      <c r="K770" s="64">
        <f>15.3802 * CHOOSE(CONTROL!$C$22, $C$13, 100%, $E$13)</f>
        <v>15.3802</v>
      </c>
    </row>
    <row r="771" spans="1:11" ht="15">
      <c r="A771" s="13">
        <v>65106</v>
      </c>
      <c r="B771" s="63">
        <f>13.1349 * CHOOSE(CONTROL!$C$22, $C$13, 100%, $E$13)</f>
        <v>13.1349</v>
      </c>
      <c r="C771" s="63">
        <f>13.1349 * CHOOSE(CONTROL!$C$22, $C$13, 100%, $E$13)</f>
        <v>13.1349</v>
      </c>
      <c r="D771" s="63">
        <f>13.1478 * CHOOSE(CONTROL!$C$22, $C$13, 100%, $E$13)</f>
        <v>13.1478</v>
      </c>
      <c r="E771" s="64">
        <f>15.5187 * CHOOSE(CONTROL!$C$22, $C$13, 100%, $E$13)</f>
        <v>15.518700000000001</v>
      </c>
      <c r="F771" s="64">
        <f>15.5187 * CHOOSE(CONTROL!$C$22, $C$13, 100%, $E$13)</f>
        <v>15.518700000000001</v>
      </c>
      <c r="G771" s="64">
        <f>15.5189 * CHOOSE(CONTROL!$C$22, $C$13, 100%, $E$13)</f>
        <v>15.5189</v>
      </c>
      <c r="H771" s="64">
        <f>25.3703* CHOOSE(CONTROL!$C$22, $C$13, 100%, $E$13)</f>
        <v>25.3703</v>
      </c>
      <c r="I771" s="64">
        <f>25.3704 * CHOOSE(CONTROL!$C$22, $C$13, 100%, $E$13)</f>
        <v>25.3704</v>
      </c>
      <c r="J771" s="64">
        <f>15.5187 * CHOOSE(CONTROL!$C$22, $C$13, 100%, $E$13)</f>
        <v>15.518700000000001</v>
      </c>
      <c r="K771" s="64">
        <f>15.5189 * CHOOSE(CONTROL!$C$22, $C$13, 100%, $E$13)</f>
        <v>15.5189</v>
      </c>
    </row>
    <row r="772" spans="1:11" ht="15">
      <c r="A772" s="13">
        <v>65136</v>
      </c>
      <c r="B772" s="63">
        <f>13.1349 * CHOOSE(CONTROL!$C$22, $C$13, 100%, $E$13)</f>
        <v>13.1349</v>
      </c>
      <c r="C772" s="63">
        <f>13.1349 * CHOOSE(CONTROL!$C$22, $C$13, 100%, $E$13)</f>
        <v>13.1349</v>
      </c>
      <c r="D772" s="63">
        <f>13.1607 * CHOOSE(CONTROL!$C$22, $C$13, 100%, $E$13)</f>
        <v>13.1607</v>
      </c>
      <c r="E772" s="64">
        <f>15.5722 * CHOOSE(CONTROL!$C$22, $C$13, 100%, $E$13)</f>
        <v>15.5722</v>
      </c>
      <c r="F772" s="64">
        <f>15.5722 * CHOOSE(CONTROL!$C$22, $C$13, 100%, $E$13)</f>
        <v>15.5722</v>
      </c>
      <c r="G772" s="64">
        <f>15.5739 * CHOOSE(CONTROL!$C$22, $C$13, 100%, $E$13)</f>
        <v>15.5739</v>
      </c>
      <c r="H772" s="64">
        <f>25.4231* CHOOSE(CONTROL!$C$22, $C$13, 100%, $E$13)</f>
        <v>25.423100000000002</v>
      </c>
      <c r="I772" s="64">
        <f>25.4247 * CHOOSE(CONTROL!$C$22, $C$13, 100%, $E$13)</f>
        <v>25.424700000000001</v>
      </c>
      <c r="J772" s="64">
        <f>15.5722 * CHOOSE(CONTROL!$C$22, $C$13, 100%, $E$13)</f>
        <v>15.5722</v>
      </c>
      <c r="K772" s="64">
        <f>15.5739 * CHOOSE(CONTROL!$C$22, $C$13, 100%, $E$13)</f>
        <v>15.5739</v>
      </c>
    </row>
    <row r="773" spans="1:11" ht="15">
      <c r="A773" s="13">
        <v>65167</v>
      </c>
      <c r="B773" s="63">
        <f>13.141 * CHOOSE(CONTROL!$C$22, $C$13, 100%, $E$13)</f>
        <v>13.141</v>
      </c>
      <c r="C773" s="63">
        <f>13.141 * CHOOSE(CONTROL!$C$22, $C$13, 100%, $E$13)</f>
        <v>13.141</v>
      </c>
      <c r="D773" s="63">
        <f>13.1667 * CHOOSE(CONTROL!$C$22, $C$13, 100%, $E$13)</f>
        <v>13.166700000000001</v>
      </c>
      <c r="E773" s="64">
        <f>15.5229 * CHOOSE(CONTROL!$C$22, $C$13, 100%, $E$13)</f>
        <v>15.5229</v>
      </c>
      <c r="F773" s="64">
        <f>15.5229 * CHOOSE(CONTROL!$C$22, $C$13, 100%, $E$13)</f>
        <v>15.5229</v>
      </c>
      <c r="G773" s="64">
        <f>15.5246 * CHOOSE(CONTROL!$C$22, $C$13, 100%, $E$13)</f>
        <v>15.5246</v>
      </c>
      <c r="H773" s="64">
        <f>25.4761* CHOOSE(CONTROL!$C$22, $C$13, 100%, $E$13)</f>
        <v>25.476099999999999</v>
      </c>
      <c r="I773" s="64">
        <f>25.4777 * CHOOSE(CONTROL!$C$22, $C$13, 100%, $E$13)</f>
        <v>25.477699999999999</v>
      </c>
      <c r="J773" s="64">
        <f>15.5229 * CHOOSE(CONTROL!$C$22, $C$13, 100%, $E$13)</f>
        <v>15.5229</v>
      </c>
      <c r="K773" s="64">
        <f>15.5246 * CHOOSE(CONTROL!$C$22, $C$13, 100%, $E$13)</f>
        <v>15.5246</v>
      </c>
    </row>
    <row r="774" spans="1:11" ht="15">
      <c r="A774" s="13">
        <v>65197</v>
      </c>
      <c r="B774" s="63">
        <f>13.3479 * CHOOSE(CONTROL!$C$22, $C$13, 100%, $E$13)</f>
        <v>13.347899999999999</v>
      </c>
      <c r="C774" s="63">
        <f>13.3479 * CHOOSE(CONTROL!$C$22, $C$13, 100%, $E$13)</f>
        <v>13.347899999999999</v>
      </c>
      <c r="D774" s="63">
        <f>13.3737 * CHOOSE(CONTROL!$C$22, $C$13, 100%, $E$13)</f>
        <v>13.373699999999999</v>
      </c>
      <c r="E774" s="64">
        <f>15.8193 * CHOOSE(CONTROL!$C$22, $C$13, 100%, $E$13)</f>
        <v>15.8193</v>
      </c>
      <c r="F774" s="64">
        <f>15.8193 * CHOOSE(CONTROL!$C$22, $C$13, 100%, $E$13)</f>
        <v>15.8193</v>
      </c>
      <c r="G774" s="64">
        <f>15.8209 * CHOOSE(CONTROL!$C$22, $C$13, 100%, $E$13)</f>
        <v>15.8209</v>
      </c>
      <c r="H774" s="64">
        <f>25.5291* CHOOSE(CONTROL!$C$22, $C$13, 100%, $E$13)</f>
        <v>25.5291</v>
      </c>
      <c r="I774" s="64">
        <f>25.5308 * CHOOSE(CONTROL!$C$22, $C$13, 100%, $E$13)</f>
        <v>25.530799999999999</v>
      </c>
      <c r="J774" s="64">
        <f>15.8193 * CHOOSE(CONTROL!$C$22, $C$13, 100%, $E$13)</f>
        <v>15.8193</v>
      </c>
      <c r="K774" s="64">
        <f>15.8209 * CHOOSE(CONTROL!$C$22, $C$13, 100%, $E$13)</f>
        <v>15.8209</v>
      </c>
    </row>
    <row r="775" spans="1:11" ht="15">
      <c r="A775" s="13">
        <v>65228</v>
      </c>
      <c r="B775" s="63">
        <f>13.3546 * CHOOSE(CONTROL!$C$22, $C$13, 100%, $E$13)</f>
        <v>13.3546</v>
      </c>
      <c r="C775" s="63">
        <f>13.3546 * CHOOSE(CONTROL!$C$22, $C$13, 100%, $E$13)</f>
        <v>13.3546</v>
      </c>
      <c r="D775" s="63">
        <f>13.3804 * CHOOSE(CONTROL!$C$22, $C$13, 100%, $E$13)</f>
        <v>13.3804</v>
      </c>
      <c r="E775" s="64">
        <f>15.6632 * CHOOSE(CONTROL!$C$22, $C$13, 100%, $E$13)</f>
        <v>15.6632</v>
      </c>
      <c r="F775" s="64">
        <f>15.6632 * CHOOSE(CONTROL!$C$22, $C$13, 100%, $E$13)</f>
        <v>15.6632</v>
      </c>
      <c r="G775" s="64">
        <f>15.6649 * CHOOSE(CONTROL!$C$22, $C$13, 100%, $E$13)</f>
        <v>15.664899999999999</v>
      </c>
      <c r="H775" s="64">
        <f>25.5823* CHOOSE(CONTROL!$C$22, $C$13, 100%, $E$13)</f>
        <v>25.5823</v>
      </c>
      <c r="I775" s="64">
        <f>25.584 * CHOOSE(CONTROL!$C$22, $C$13, 100%, $E$13)</f>
        <v>25.584</v>
      </c>
      <c r="J775" s="64">
        <f>15.6632 * CHOOSE(CONTROL!$C$22, $C$13, 100%, $E$13)</f>
        <v>15.6632</v>
      </c>
      <c r="K775" s="64">
        <f>15.6649 * CHOOSE(CONTROL!$C$22, $C$13, 100%, $E$13)</f>
        <v>15.664899999999999</v>
      </c>
    </row>
    <row r="776" spans="1:11" ht="15">
      <c r="A776" s="13">
        <v>65259</v>
      </c>
      <c r="B776" s="63">
        <f>13.3516 * CHOOSE(CONTROL!$C$22, $C$13, 100%, $E$13)</f>
        <v>13.351599999999999</v>
      </c>
      <c r="C776" s="63">
        <f>13.3516 * CHOOSE(CONTROL!$C$22, $C$13, 100%, $E$13)</f>
        <v>13.351599999999999</v>
      </c>
      <c r="D776" s="63">
        <f>13.3773 * CHOOSE(CONTROL!$C$22, $C$13, 100%, $E$13)</f>
        <v>13.3773</v>
      </c>
      <c r="E776" s="64">
        <f>15.6433 * CHOOSE(CONTROL!$C$22, $C$13, 100%, $E$13)</f>
        <v>15.6433</v>
      </c>
      <c r="F776" s="64">
        <f>15.6433 * CHOOSE(CONTROL!$C$22, $C$13, 100%, $E$13)</f>
        <v>15.6433</v>
      </c>
      <c r="G776" s="64">
        <f>15.6449 * CHOOSE(CONTROL!$C$22, $C$13, 100%, $E$13)</f>
        <v>15.6449</v>
      </c>
      <c r="H776" s="64">
        <f>25.6356* CHOOSE(CONTROL!$C$22, $C$13, 100%, $E$13)</f>
        <v>25.6356</v>
      </c>
      <c r="I776" s="64">
        <f>25.6373 * CHOOSE(CONTROL!$C$22, $C$13, 100%, $E$13)</f>
        <v>25.6373</v>
      </c>
      <c r="J776" s="64">
        <f>15.6433 * CHOOSE(CONTROL!$C$22, $C$13, 100%, $E$13)</f>
        <v>15.6433</v>
      </c>
      <c r="K776" s="64">
        <f>15.6449 * CHOOSE(CONTROL!$C$22, $C$13, 100%, $E$13)</f>
        <v>15.6449</v>
      </c>
    </row>
    <row r="777" spans="1:11" ht="15">
      <c r="A777" s="13">
        <v>65289</v>
      </c>
      <c r="B777" s="63">
        <f>13.3774 * CHOOSE(CONTROL!$C$22, $C$13, 100%, $E$13)</f>
        <v>13.3774</v>
      </c>
      <c r="C777" s="63">
        <f>13.3774 * CHOOSE(CONTROL!$C$22, $C$13, 100%, $E$13)</f>
        <v>13.3774</v>
      </c>
      <c r="D777" s="63">
        <f>13.3903 * CHOOSE(CONTROL!$C$22, $C$13, 100%, $E$13)</f>
        <v>13.3903</v>
      </c>
      <c r="E777" s="64">
        <f>15.7013 * CHOOSE(CONTROL!$C$22, $C$13, 100%, $E$13)</f>
        <v>15.7013</v>
      </c>
      <c r="F777" s="64">
        <f>15.7013 * CHOOSE(CONTROL!$C$22, $C$13, 100%, $E$13)</f>
        <v>15.7013</v>
      </c>
      <c r="G777" s="64">
        <f>15.7015 * CHOOSE(CONTROL!$C$22, $C$13, 100%, $E$13)</f>
        <v>15.701499999999999</v>
      </c>
      <c r="H777" s="64">
        <f>25.689* CHOOSE(CONTROL!$C$22, $C$13, 100%, $E$13)</f>
        <v>25.689</v>
      </c>
      <c r="I777" s="64">
        <f>25.6892 * CHOOSE(CONTROL!$C$22, $C$13, 100%, $E$13)</f>
        <v>25.6892</v>
      </c>
      <c r="J777" s="64">
        <f>15.7013 * CHOOSE(CONTROL!$C$22, $C$13, 100%, $E$13)</f>
        <v>15.7013</v>
      </c>
      <c r="K777" s="64">
        <f>15.7015 * CHOOSE(CONTROL!$C$22, $C$13, 100%, $E$13)</f>
        <v>15.701499999999999</v>
      </c>
    </row>
    <row r="778" spans="1:11" ht="15">
      <c r="A778" s="13">
        <v>65320</v>
      </c>
      <c r="B778" s="63">
        <f>13.3804 * CHOOSE(CONTROL!$C$22, $C$13, 100%, $E$13)</f>
        <v>13.3804</v>
      </c>
      <c r="C778" s="63">
        <f>13.3804 * CHOOSE(CONTROL!$C$22, $C$13, 100%, $E$13)</f>
        <v>13.3804</v>
      </c>
      <c r="D778" s="63">
        <f>13.3933 * CHOOSE(CONTROL!$C$22, $C$13, 100%, $E$13)</f>
        <v>13.3933</v>
      </c>
      <c r="E778" s="64">
        <f>15.7391 * CHOOSE(CONTROL!$C$22, $C$13, 100%, $E$13)</f>
        <v>15.739100000000001</v>
      </c>
      <c r="F778" s="64">
        <f>15.7391 * CHOOSE(CONTROL!$C$22, $C$13, 100%, $E$13)</f>
        <v>15.739100000000001</v>
      </c>
      <c r="G778" s="64">
        <f>15.7393 * CHOOSE(CONTROL!$C$22, $C$13, 100%, $E$13)</f>
        <v>15.7393</v>
      </c>
      <c r="H778" s="64">
        <f>25.7426* CHOOSE(CONTROL!$C$22, $C$13, 100%, $E$13)</f>
        <v>25.742599999999999</v>
      </c>
      <c r="I778" s="64">
        <f>25.7427 * CHOOSE(CONTROL!$C$22, $C$13, 100%, $E$13)</f>
        <v>25.742699999999999</v>
      </c>
      <c r="J778" s="64">
        <f>15.7391 * CHOOSE(CONTROL!$C$22, $C$13, 100%, $E$13)</f>
        <v>15.739100000000001</v>
      </c>
      <c r="K778" s="64">
        <f>15.7393 * CHOOSE(CONTROL!$C$22, $C$13, 100%, $E$13)</f>
        <v>15.7393</v>
      </c>
    </row>
    <row r="779" spans="1:11" ht="15">
      <c r="A779" s="13">
        <v>65350</v>
      </c>
      <c r="B779" s="63">
        <f>13.3804 * CHOOSE(CONTROL!$C$22, $C$13, 100%, $E$13)</f>
        <v>13.3804</v>
      </c>
      <c r="C779" s="63">
        <f>13.3804 * CHOOSE(CONTROL!$C$22, $C$13, 100%, $E$13)</f>
        <v>13.3804</v>
      </c>
      <c r="D779" s="63">
        <f>13.3933 * CHOOSE(CONTROL!$C$22, $C$13, 100%, $E$13)</f>
        <v>13.3933</v>
      </c>
      <c r="E779" s="64">
        <f>15.6498 * CHOOSE(CONTROL!$C$22, $C$13, 100%, $E$13)</f>
        <v>15.649800000000001</v>
      </c>
      <c r="F779" s="64">
        <f>15.6498 * CHOOSE(CONTROL!$C$22, $C$13, 100%, $E$13)</f>
        <v>15.649800000000001</v>
      </c>
      <c r="G779" s="64">
        <f>15.65 * CHOOSE(CONTROL!$C$22, $C$13, 100%, $E$13)</f>
        <v>15.65</v>
      </c>
      <c r="H779" s="64">
        <f>25.7962* CHOOSE(CONTROL!$C$22, $C$13, 100%, $E$13)</f>
        <v>25.796199999999999</v>
      </c>
      <c r="I779" s="64">
        <f>25.7964 * CHOOSE(CONTROL!$C$22, $C$13, 100%, $E$13)</f>
        <v>25.796399999999998</v>
      </c>
      <c r="J779" s="64">
        <f>15.6498 * CHOOSE(CONTROL!$C$22, $C$13, 100%, $E$13)</f>
        <v>15.649800000000001</v>
      </c>
      <c r="K779" s="64">
        <f>15.65 * CHOOSE(CONTROL!$C$22, $C$13, 100%, $E$13)</f>
        <v>15.65</v>
      </c>
    </row>
    <row r="780" spans="1:11" ht="15">
      <c r="A780" s="13">
        <v>65381</v>
      </c>
      <c r="B780" s="63">
        <f>13.3809 * CHOOSE(CONTROL!$C$22, $C$13, 100%, $E$13)</f>
        <v>13.3809</v>
      </c>
      <c r="C780" s="63">
        <f>13.3809 * CHOOSE(CONTROL!$C$22, $C$13, 100%, $E$13)</f>
        <v>13.3809</v>
      </c>
      <c r="D780" s="63">
        <f>13.3937 * CHOOSE(CONTROL!$C$22, $C$13, 100%, $E$13)</f>
        <v>13.393700000000001</v>
      </c>
      <c r="E780" s="64">
        <f>15.7124 * CHOOSE(CONTROL!$C$22, $C$13, 100%, $E$13)</f>
        <v>15.712400000000001</v>
      </c>
      <c r="F780" s="64">
        <f>15.7124 * CHOOSE(CONTROL!$C$22, $C$13, 100%, $E$13)</f>
        <v>15.712400000000001</v>
      </c>
      <c r="G780" s="64">
        <f>15.7126 * CHOOSE(CONTROL!$C$22, $C$13, 100%, $E$13)</f>
        <v>15.7126</v>
      </c>
      <c r="H780" s="64">
        <f>25.6582* CHOOSE(CONTROL!$C$22, $C$13, 100%, $E$13)</f>
        <v>25.658200000000001</v>
      </c>
      <c r="I780" s="64">
        <f>25.6584 * CHOOSE(CONTROL!$C$22, $C$13, 100%, $E$13)</f>
        <v>25.6584</v>
      </c>
      <c r="J780" s="64">
        <f>15.7124 * CHOOSE(CONTROL!$C$22, $C$13, 100%, $E$13)</f>
        <v>15.712400000000001</v>
      </c>
      <c r="K780" s="64">
        <f>15.7126 * CHOOSE(CONTROL!$C$22, $C$13, 100%, $E$13)</f>
        <v>15.7126</v>
      </c>
    </row>
    <row r="781" spans="1:11" ht="15">
      <c r="A781" s="13">
        <v>65412</v>
      </c>
      <c r="B781" s="63">
        <f>13.3778 * CHOOSE(CONTROL!$C$22, $C$13, 100%, $E$13)</f>
        <v>13.377800000000001</v>
      </c>
      <c r="C781" s="63">
        <f>13.3778 * CHOOSE(CONTROL!$C$22, $C$13, 100%, $E$13)</f>
        <v>13.377800000000001</v>
      </c>
      <c r="D781" s="63">
        <f>13.3907 * CHOOSE(CONTROL!$C$22, $C$13, 100%, $E$13)</f>
        <v>13.390700000000001</v>
      </c>
      <c r="E781" s="64">
        <f>15.5384 * CHOOSE(CONTROL!$C$22, $C$13, 100%, $E$13)</f>
        <v>15.538399999999999</v>
      </c>
      <c r="F781" s="64">
        <f>15.5384 * CHOOSE(CONTROL!$C$22, $C$13, 100%, $E$13)</f>
        <v>15.538399999999999</v>
      </c>
      <c r="G781" s="64">
        <f>15.5385 * CHOOSE(CONTROL!$C$22, $C$13, 100%, $E$13)</f>
        <v>15.538500000000001</v>
      </c>
      <c r="H781" s="64">
        <f>25.7117* CHOOSE(CONTROL!$C$22, $C$13, 100%, $E$13)</f>
        <v>25.7117</v>
      </c>
      <c r="I781" s="64">
        <f>25.7119 * CHOOSE(CONTROL!$C$22, $C$13, 100%, $E$13)</f>
        <v>25.7119</v>
      </c>
      <c r="J781" s="64">
        <f>15.5384 * CHOOSE(CONTROL!$C$22, $C$13, 100%, $E$13)</f>
        <v>15.538399999999999</v>
      </c>
      <c r="K781" s="64">
        <f>15.5385 * CHOOSE(CONTROL!$C$22, $C$13, 100%, $E$13)</f>
        <v>15.538500000000001</v>
      </c>
    </row>
    <row r="782" spans="1:11" ht="15">
      <c r="A782" s="13">
        <v>65440</v>
      </c>
      <c r="B782" s="63">
        <f>13.3748 * CHOOSE(CONTROL!$C$22, $C$13, 100%, $E$13)</f>
        <v>13.3748</v>
      </c>
      <c r="C782" s="63">
        <f>13.3748 * CHOOSE(CONTROL!$C$22, $C$13, 100%, $E$13)</f>
        <v>13.3748</v>
      </c>
      <c r="D782" s="63">
        <f>13.3876 * CHOOSE(CONTROL!$C$22, $C$13, 100%, $E$13)</f>
        <v>13.387600000000001</v>
      </c>
      <c r="E782" s="64">
        <f>15.6718 * CHOOSE(CONTROL!$C$22, $C$13, 100%, $E$13)</f>
        <v>15.671799999999999</v>
      </c>
      <c r="F782" s="64">
        <f>15.6718 * CHOOSE(CONTROL!$C$22, $C$13, 100%, $E$13)</f>
        <v>15.671799999999999</v>
      </c>
      <c r="G782" s="64">
        <f>15.672 * CHOOSE(CONTROL!$C$22, $C$13, 100%, $E$13)</f>
        <v>15.672000000000001</v>
      </c>
      <c r="H782" s="64">
        <f>25.7653* CHOOSE(CONTROL!$C$22, $C$13, 100%, $E$13)</f>
        <v>25.7653</v>
      </c>
      <c r="I782" s="64">
        <f>25.7654 * CHOOSE(CONTROL!$C$22, $C$13, 100%, $E$13)</f>
        <v>25.7654</v>
      </c>
      <c r="J782" s="64">
        <f>15.6718 * CHOOSE(CONTROL!$C$22, $C$13, 100%, $E$13)</f>
        <v>15.671799999999999</v>
      </c>
      <c r="K782" s="64">
        <f>15.672 * CHOOSE(CONTROL!$C$22, $C$13, 100%, $E$13)</f>
        <v>15.672000000000001</v>
      </c>
    </row>
    <row r="783" spans="1:11" ht="15">
      <c r="A783" s="13">
        <v>65471</v>
      </c>
      <c r="B783" s="63">
        <f>13.3804 * CHOOSE(CONTROL!$C$22, $C$13, 100%, $E$13)</f>
        <v>13.3804</v>
      </c>
      <c r="C783" s="63">
        <f>13.3804 * CHOOSE(CONTROL!$C$22, $C$13, 100%, $E$13)</f>
        <v>13.3804</v>
      </c>
      <c r="D783" s="63">
        <f>13.3933 * CHOOSE(CONTROL!$C$22, $C$13, 100%, $E$13)</f>
        <v>13.3933</v>
      </c>
      <c r="E783" s="64">
        <f>15.8131 * CHOOSE(CONTROL!$C$22, $C$13, 100%, $E$13)</f>
        <v>15.8131</v>
      </c>
      <c r="F783" s="64">
        <f>15.8131 * CHOOSE(CONTROL!$C$22, $C$13, 100%, $E$13)</f>
        <v>15.8131</v>
      </c>
      <c r="G783" s="64">
        <f>15.8133 * CHOOSE(CONTROL!$C$22, $C$13, 100%, $E$13)</f>
        <v>15.8133</v>
      </c>
      <c r="H783" s="64">
        <f>25.8189* CHOOSE(CONTROL!$C$22, $C$13, 100%, $E$13)</f>
        <v>25.818899999999999</v>
      </c>
      <c r="I783" s="64">
        <f>25.8191 * CHOOSE(CONTROL!$C$22, $C$13, 100%, $E$13)</f>
        <v>25.819099999999999</v>
      </c>
      <c r="J783" s="64">
        <f>15.8131 * CHOOSE(CONTROL!$C$22, $C$13, 100%, $E$13)</f>
        <v>15.8131</v>
      </c>
      <c r="K783" s="64">
        <f>15.8133 * CHOOSE(CONTROL!$C$22, $C$13, 100%, $E$13)</f>
        <v>15.8133</v>
      </c>
    </row>
    <row r="784" spans="1:11" ht="15">
      <c r="A784" s="13">
        <v>65501</v>
      </c>
      <c r="B784" s="63">
        <f>13.3804 * CHOOSE(CONTROL!$C$22, $C$13, 100%, $E$13)</f>
        <v>13.3804</v>
      </c>
      <c r="C784" s="63">
        <f>13.3804 * CHOOSE(CONTROL!$C$22, $C$13, 100%, $E$13)</f>
        <v>13.3804</v>
      </c>
      <c r="D784" s="63">
        <f>13.4062 * CHOOSE(CONTROL!$C$22, $C$13, 100%, $E$13)</f>
        <v>13.4062</v>
      </c>
      <c r="E784" s="64">
        <f>15.8677 * CHOOSE(CONTROL!$C$22, $C$13, 100%, $E$13)</f>
        <v>15.867699999999999</v>
      </c>
      <c r="F784" s="64">
        <f>15.8677 * CHOOSE(CONTROL!$C$22, $C$13, 100%, $E$13)</f>
        <v>15.867699999999999</v>
      </c>
      <c r="G784" s="64">
        <f>15.8693 * CHOOSE(CONTROL!$C$22, $C$13, 100%, $E$13)</f>
        <v>15.869300000000001</v>
      </c>
      <c r="H784" s="64">
        <f>25.8727* CHOOSE(CONTROL!$C$22, $C$13, 100%, $E$13)</f>
        <v>25.872699999999998</v>
      </c>
      <c r="I784" s="64">
        <f>25.8744 * CHOOSE(CONTROL!$C$22, $C$13, 100%, $E$13)</f>
        <v>25.874400000000001</v>
      </c>
      <c r="J784" s="64">
        <f>15.8677 * CHOOSE(CONTROL!$C$22, $C$13, 100%, $E$13)</f>
        <v>15.867699999999999</v>
      </c>
      <c r="K784" s="64">
        <f>15.8693 * CHOOSE(CONTROL!$C$22, $C$13, 100%, $E$13)</f>
        <v>15.869300000000001</v>
      </c>
    </row>
    <row r="785" spans="1:11" ht="15">
      <c r="A785" s="13">
        <v>65532</v>
      </c>
      <c r="B785" s="63">
        <f>13.3865 * CHOOSE(CONTROL!$C$22, $C$13, 100%, $E$13)</f>
        <v>13.3865</v>
      </c>
      <c r="C785" s="63">
        <f>13.3865 * CHOOSE(CONTROL!$C$22, $C$13, 100%, $E$13)</f>
        <v>13.3865</v>
      </c>
      <c r="D785" s="63">
        <f>13.4123 * CHOOSE(CONTROL!$C$22, $C$13, 100%, $E$13)</f>
        <v>13.4123</v>
      </c>
      <c r="E785" s="64">
        <f>15.8174 * CHOOSE(CONTROL!$C$22, $C$13, 100%, $E$13)</f>
        <v>15.817399999999999</v>
      </c>
      <c r="F785" s="64">
        <f>15.8174 * CHOOSE(CONTROL!$C$22, $C$13, 100%, $E$13)</f>
        <v>15.817399999999999</v>
      </c>
      <c r="G785" s="64">
        <f>15.819 * CHOOSE(CONTROL!$C$22, $C$13, 100%, $E$13)</f>
        <v>15.819000000000001</v>
      </c>
      <c r="H785" s="64">
        <f>25.9266* CHOOSE(CONTROL!$C$22, $C$13, 100%, $E$13)</f>
        <v>25.926600000000001</v>
      </c>
      <c r="I785" s="64">
        <f>25.9283 * CHOOSE(CONTROL!$C$22, $C$13, 100%, $E$13)</f>
        <v>25.9283</v>
      </c>
      <c r="J785" s="64">
        <f>15.8174 * CHOOSE(CONTROL!$C$22, $C$13, 100%, $E$13)</f>
        <v>15.817399999999999</v>
      </c>
      <c r="K785" s="64">
        <f>15.819 * CHOOSE(CONTROL!$C$22, $C$13, 100%, $E$13)</f>
        <v>15.819000000000001</v>
      </c>
    </row>
    <row r="786" spans="1:11" ht="15">
      <c r="A786" s="13">
        <v>65562</v>
      </c>
      <c r="B786" s="63">
        <f>13.5972 * CHOOSE(CONTROL!$C$22, $C$13, 100%, $E$13)</f>
        <v>13.597200000000001</v>
      </c>
      <c r="C786" s="63">
        <f>13.5972 * CHOOSE(CONTROL!$C$22, $C$13, 100%, $E$13)</f>
        <v>13.597200000000001</v>
      </c>
      <c r="D786" s="63">
        <f>13.6229 * CHOOSE(CONTROL!$C$22, $C$13, 100%, $E$13)</f>
        <v>13.6229</v>
      </c>
      <c r="E786" s="64">
        <f>16.1192 * CHOOSE(CONTROL!$C$22, $C$13, 100%, $E$13)</f>
        <v>16.119199999999999</v>
      </c>
      <c r="F786" s="64">
        <f>16.1192 * CHOOSE(CONTROL!$C$22, $C$13, 100%, $E$13)</f>
        <v>16.119199999999999</v>
      </c>
      <c r="G786" s="64">
        <f>16.1208 * CHOOSE(CONTROL!$C$22, $C$13, 100%, $E$13)</f>
        <v>16.120799999999999</v>
      </c>
      <c r="H786" s="64">
        <f>25.9806* CHOOSE(CONTROL!$C$22, $C$13, 100%, $E$13)</f>
        <v>25.980599999999999</v>
      </c>
      <c r="I786" s="64">
        <f>25.9823 * CHOOSE(CONTROL!$C$22, $C$13, 100%, $E$13)</f>
        <v>25.982299999999999</v>
      </c>
      <c r="J786" s="64">
        <f>16.1192 * CHOOSE(CONTROL!$C$22, $C$13, 100%, $E$13)</f>
        <v>16.119199999999999</v>
      </c>
      <c r="K786" s="64">
        <f>16.1208 * CHOOSE(CONTROL!$C$22, $C$13, 100%, $E$13)</f>
        <v>16.120799999999999</v>
      </c>
    </row>
    <row r="787" spans="1:11" ht="15">
      <c r="A787" s="13">
        <v>65593</v>
      </c>
      <c r="B787" s="63">
        <f>13.6038 * CHOOSE(CONTROL!$C$22, $C$13, 100%, $E$13)</f>
        <v>13.6038</v>
      </c>
      <c r="C787" s="63">
        <f>13.6038 * CHOOSE(CONTROL!$C$22, $C$13, 100%, $E$13)</f>
        <v>13.6038</v>
      </c>
      <c r="D787" s="63">
        <f>13.6296 * CHOOSE(CONTROL!$C$22, $C$13, 100%, $E$13)</f>
        <v>13.6296</v>
      </c>
      <c r="E787" s="64">
        <f>15.9601 * CHOOSE(CONTROL!$C$22, $C$13, 100%, $E$13)</f>
        <v>15.960100000000001</v>
      </c>
      <c r="F787" s="64">
        <f>15.9601 * CHOOSE(CONTROL!$C$22, $C$13, 100%, $E$13)</f>
        <v>15.960100000000001</v>
      </c>
      <c r="G787" s="64">
        <f>15.9617 * CHOOSE(CONTROL!$C$22, $C$13, 100%, $E$13)</f>
        <v>15.9617</v>
      </c>
      <c r="H787" s="64">
        <f>26.0348* CHOOSE(CONTROL!$C$22, $C$13, 100%, $E$13)</f>
        <v>26.034800000000001</v>
      </c>
      <c r="I787" s="64">
        <f>26.0364 * CHOOSE(CONTROL!$C$22, $C$13, 100%, $E$13)</f>
        <v>26.0364</v>
      </c>
      <c r="J787" s="64">
        <f>15.9601 * CHOOSE(CONTROL!$C$22, $C$13, 100%, $E$13)</f>
        <v>15.960100000000001</v>
      </c>
      <c r="K787" s="64">
        <f>15.9617 * CHOOSE(CONTROL!$C$22, $C$13, 100%, $E$13)</f>
        <v>15.9617</v>
      </c>
    </row>
    <row r="788" spans="1:11" ht="15">
      <c r="A788" s="13">
        <v>65624</v>
      </c>
      <c r="B788" s="63">
        <f>13.6008 * CHOOSE(CONTROL!$C$22, $C$13, 100%, $E$13)</f>
        <v>13.6008</v>
      </c>
      <c r="C788" s="63">
        <f>13.6008 * CHOOSE(CONTROL!$C$22, $C$13, 100%, $E$13)</f>
        <v>13.6008</v>
      </c>
      <c r="D788" s="63">
        <f>13.6265 * CHOOSE(CONTROL!$C$22, $C$13, 100%, $E$13)</f>
        <v>13.6265</v>
      </c>
      <c r="E788" s="64">
        <f>15.9398 * CHOOSE(CONTROL!$C$22, $C$13, 100%, $E$13)</f>
        <v>15.9398</v>
      </c>
      <c r="F788" s="64">
        <f>15.9398 * CHOOSE(CONTROL!$C$22, $C$13, 100%, $E$13)</f>
        <v>15.9398</v>
      </c>
      <c r="G788" s="64">
        <f>15.9414 * CHOOSE(CONTROL!$C$22, $C$13, 100%, $E$13)</f>
        <v>15.9414</v>
      </c>
      <c r="H788" s="64">
        <f>26.089* CHOOSE(CONTROL!$C$22, $C$13, 100%, $E$13)</f>
        <v>26.088999999999999</v>
      </c>
      <c r="I788" s="64">
        <f>26.0906 * CHOOSE(CONTROL!$C$22, $C$13, 100%, $E$13)</f>
        <v>26.090599999999998</v>
      </c>
      <c r="J788" s="64">
        <f>15.9398 * CHOOSE(CONTROL!$C$22, $C$13, 100%, $E$13)</f>
        <v>15.9398</v>
      </c>
      <c r="K788" s="64">
        <f>15.9414 * CHOOSE(CONTROL!$C$22, $C$13, 100%, $E$13)</f>
        <v>15.9414</v>
      </c>
    </row>
    <row r="789" spans="1:11" ht="15">
      <c r="A789" s="13">
        <v>65654</v>
      </c>
      <c r="B789" s="63">
        <f>13.6274 * CHOOSE(CONTROL!$C$22, $C$13, 100%, $E$13)</f>
        <v>13.6274</v>
      </c>
      <c r="C789" s="63">
        <f>13.6274 * CHOOSE(CONTROL!$C$22, $C$13, 100%, $E$13)</f>
        <v>13.6274</v>
      </c>
      <c r="D789" s="63">
        <f>13.6403 * CHOOSE(CONTROL!$C$22, $C$13, 100%, $E$13)</f>
        <v>13.6403</v>
      </c>
      <c r="E789" s="64">
        <f>15.9991 * CHOOSE(CONTROL!$C$22, $C$13, 100%, $E$13)</f>
        <v>15.9991</v>
      </c>
      <c r="F789" s="64">
        <f>15.9991 * CHOOSE(CONTROL!$C$22, $C$13, 100%, $E$13)</f>
        <v>15.9991</v>
      </c>
      <c r="G789" s="64">
        <f>15.9993 * CHOOSE(CONTROL!$C$22, $C$13, 100%, $E$13)</f>
        <v>15.9993</v>
      </c>
      <c r="H789" s="64">
        <f>26.1434* CHOOSE(CONTROL!$C$22, $C$13, 100%, $E$13)</f>
        <v>26.1434</v>
      </c>
      <c r="I789" s="64">
        <f>26.1435 * CHOOSE(CONTROL!$C$22, $C$13, 100%, $E$13)</f>
        <v>26.1435</v>
      </c>
      <c r="J789" s="64">
        <f>15.9991 * CHOOSE(CONTROL!$C$22, $C$13, 100%, $E$13)</f>
        <v>15.9991</v>
      </c>
      <c r="K789" s="64">
        <f>15.9993 * CHOOSE(CONTROL!$C$22, $C$13, 100%, $E$13)</f>
        <v>15.9993</v>
      </c>
    </row>
    <row r="790" spans="1:11" ht="15">
      <c r="A790" s="13">
        <v>65685</v>
      </c>
      <c r="B790" s="63">
        <f>13.6305 * CHOOSE(CONTROL!$C$22, $C$13, 100%, $E$13)</f>
        <v>13.6305</v>
      </c>
      <c r="C790" s="63">
        <f>13.6305 * CHOOSE(CONTROL!$C$22, $C$13, 100%, $E$13)</f>
        <v>13.6305</v>
      </c>
      <c r="D790" s="63">
        <f>13.6433 * CHOOSE(CONTROL!$C$22, $C$13, 100%, $E$13)</f>
        <v>13.6433</v>
      </c>
      <c r="E790" s="64">
        <f>16.0376 * CHOOSE(CONTROL!$C$22, $C$13, 100%, $E$13)</f>
        <v>16.037600000000001</v>
      </c>
      <c r="F790" s="64">
        <f>16.0376 * CHOOSE(CONTROL!$C$22, $C$13, 100%, $E$13)</f>
        <v>16.037600000000001</v>
      </c>
      <c r="G790" s="64">
        <f>16.0378 * CHOOSE(CONTROL!$C$22, $C$13, 100%, $E$13)</f>
        <v>16.037800000000001</v>
      </c>
      <c r="H790" s="64">
        <f>26.1978* CHOOSE(CONTROL!$C$22, $C$13, 100%, $E$13)</f>
        <v>26.197800000000001</v>
      </c>
      <c r="I790" s="64">
        <f>26.198 * CHOOSE(CONTROL!$C$22, $C$13, 100%, $E$13)</f>
        <v>26.198</v>
      </c>
      <c r="J790" s="64">
        <f>16.0376 * CHOOSE(CONTROL!$C$22, $C$13, 100%, $E$13)</f>
        <v>16.037600000000001</v>
      </c>
      <c r="K790" s="64">
        <f>16.0378 * CHOOSE(CONTROL!$C$22, $C$13, 100%, $E$13)</f>
        <v>16.037800000000001</v>
      </c>
    </row>
    <row r="791" spans="1:11" ht="15">
      <c r="A791" s="13">
        <v>65715</v>
      </c>
      <c r="B791" s="63">
        <f>13.6305 * CHOOSE(CONTROL!$C$22, $C$13, 100%, $E$13)</f>
        <v>13.6305</v>
      </c>
      <c r="C791" s="63">
        <f>13.6305 * CHOOSE(CONTROL!$C$22, $C$13, 100%, $E$13)</f>
        <v>13.6305</v>
      </c>
      <c r="D791" s="63">
        <f>13.6433 * CHOOSE(CONTROL!$C$22, $C$13, 100%, $E$13)</f>
        <v>13.6433</v>
      </c>
      <c r="E791" s="64">
        <f>15.9467 * CHOOSE(CONTROL!$C$22, $C$13, 100%, $E$13)</f>
        <v>15.9467</v>
      </c>
      <c r="F791" s="64">
        <f>15.9467 * CHOOSE(CONTROL!$C$22, $C$13, 100%, $E$13)</f>
        <v>15.9467</v>
      </c>
      <c r="G791" s="64">
        <f>15.9468 * CHOOSE(CONTROL!$C$22, $C$13, 100%, $E$13)</f>
        <v>15.9468</v>
      </c>
      <c r="H791" s="64">
        <f>26.2524* CHOOSE(CONTROL!$C$22, $C$13, 100%, $E$13)</f>
        <v>26.252400000000002</v>
      </c>
      <c r="I791" s="64">
        <f>26.2526 * CHOOSE(CONTROL!$C$22, $C$13, 100%, $E$13)</f>
        <v>26.252600000000001</v>
      </c>
      <c r="J791" s="64">
        <f>15.9467 * CHOOSE(CONTROL!$C$22, $C$13, 100%, $E$13)</f>
        <v>15.9467</v>
      </c>
      <c r="K791" s="64">
        <f>15.9468 * CHOOSE(CONTROL!$C$22, $C$13, 100%, $E$13)</f>
        <v>15.9468</v>
      </c>
    </row>
    <row r="792" spans="1:11" ht="15">
      <c r="A792" s="13">
        <v>65746</v>
      </c>
      <c r="B792" s="63">
        <f>13.6262 * CHOOSE(CONTROL!$C$22, $C$13, 100%, $E$13)</f>
        <v>13.626200000000001</v>
      </c>
      <c r="C792" s="63">
        <f>13.6262 * CHOOSE(CONTROL!$C$22, $C$13, 100%, $E$13)</f>
        <v>13.626200000000001</v>
      </c>
      <c r="D792" s="63">
        <f>13.639 * CHOOSE(CONTROL!$C$22, $C$13, 100%, $E$13)</f>
        <v>13.638999999999999</v>
      </c>
      <c r="E792" s="64">
        <f>16.0048 * CHOOSE(CONTROL!$C$22, $C$13, 100%, $E$13)</f>
        <v>16.004799999999999</v>
      </c>
      <c r="F792" s="64">
        <f>16.0048 * CHOOSE(CONTROL!$C$22, $C$13, 100%, $E$13)</f>
        <v>16.004799999999999</v>
      </c>
      <c r="G792" s="64">
        <f>16.005 * CHOOSE(CONTROL!$C$22, $C$13, 100%, $E$13)</f>
        <v>16.004999999999999</v>
      </c>
      <c r="H792" s="64">
        <f>26.1041* CHOOSE(CONTROL!$C$22, $C$13, 100%, $E$13)</f>
        <v>26.104099999999999</v>
      </c>
      <c r="I792" s="64">
        <f>26.1043 * CHOOSE(CONTROL!$C$22, $C$13, 100%, $E$13)</f>
        <v>26.104299999999999</v>
      </c>
      <c r="J792" s="64">
        <f>16.0048 * CHOOSE(CONTROL!$C$22, $C$13, 100%, $E$13)</f>
        <v>16.004799999999999</v>
      </c>
      <c r="K792" s="64">
        <f>16.005 * CHOOSE(CONTROL!$C$22, $C$13, 100%, $E$13)</f>
        <v>16.004999999999999</v>
      </c>
    </row>
    <row r="793" spans="1:11" ht="15">
      <c r="A793" s="13">
        <v>65777</v>
      </c>
      <c r="B793" s="63">
        <f>13.6231 * CHOOSE(CONTROL!$C$22, $C$13, 100%, $E$13)</f>
        <v>13.623100000000001</v>
      </c>
      <c r="C793" s="63">
        <f>13.6231 * CHOOSE(CONTROL!$C$22, $C$13, 100%, $E$13)</f>
        <v>13.623100000000001</v>
      </c>
      <c r="D793" s="63">
        <f>13.636 * CHOOSE(CONTROL!$C$22, $C$13, 100%, $E$13)</f>
        <v>13.635999999999999</v>
      </c>
      <c r="E793" s="64">
        <f>15.8276 * CHOOSE(CONTROL!$C$22, $C$13, 100%, $E$13)</f>
        <v>15.8276</v>
      </c>
      <c r="F793" s="64">
        <f>15.8276 * CHOOSE(CONTROL!$C$22, $C$13, 100%, $E$13)</f>
        <v>15.8276</v>
      </c>
      <c r="G793" s="64">
        <f>15.8278 * CHOOSE(CONTROL!$C$22, $C$13, 100%, $E$13)</f>
        <v>15.8278</v>
      </c>
      <c r="H793" s="64">
        <f>26.1585* CHOOSE(CONTROL!$C$22, $C$13, 100%, $E$13)</f>
        <v>26.1585</v>
      </c>
      <c r="I793" s="64">
        <f>26.1587 * CHOOSE(CONTROL!$C$22, $C$13, 100%, $E$13)</f>
        <v>26.1587</v>
      </c>
      <c r="J793" s="64">
        <f>15.8276 * CHOOSE(CONTROL!$C$22, $C$13, 100%, $E$13)</f>
        <v>15.8276</v>
      </c>
      <c r="K793" s="64">
        <f>15.8278 * CHOOSE(CONTROL!$C$22, $C$13, 100%, $E$13)</f>
        <v>15.8278</v>
      </c>
    </row>
    <row r="794" spans="1:11" ht="15">
      <c r="A794" s="13">
        <v>65806</v>
      </c>
      <c r="B794" s="63">
        <f>13.6201 * CHOOSE(CONTROL!$C$22, $C$13, 100%, $E$13)</f>
        <v>13.620100000000001</v>
      </c>
      <c r="C794" s="63">
        <f>13.6201 * CHOOSE(CONTROL!$C$22, $C$13, 100%, $E$13)</f>
        <v>13.620100000000001</v>
      </c>
      <c r="D794" s="63">
        <f>13.633 * CHOOSE(CONTROL!$C$22, $C$13, 100%, $E$13)</f>
        <v>13.632999999999999</v>
      </c>
      <c r="E794" s="64">
        <f>15.9635 * CHOOSE(CONTROL!$C$22, $C$13, 100%, $E$13)</f>
        <v>15.9635</v>
      </c>
      <c r="F794" s="64">
        <f>15.9635 * CHOOSE(CONTROL!$C$22, $C$13, 100%, $E$13)</f>
        <v>15.9635</v>
      </c>
      <c r="G794" s="64">
        <f>15.9637 * CHOOSE(CONTROL!$C$22, $C$13, 100%, $E$13)</f>
        <v>15.963699999999999</v>
      </c>
      <c r="H794" s="64">
        <f>26.213* CHOOSE(CONTROL!$C$22, $C$13, 100%, $E$13)</f>
        <v>26.213000000000001</v>
      </c>
      <c r="I794" s="64">
        <f>26.2132 * CHOOSE(CONTROL!$C$22, $C$13, 100%, $E$13)</f>
        <v>26.213200000000001</v>
      </c>
      <c r="J794" s="64">
        <f>15.9635 * CHOOSE(CONTROL!$C$22, $C$13, 100%, $E$13)</f>
        <v>15.9635</v>
      </c>
      <c r="K794" s="64">
        <f>15.9637 * CHOOSE(CONTROL!$C$22, $C$13, 100%, $E$13)</f>
        <v>15.963699999999999</v>
      </c>
    </row>
    <row r="795" spans="1:11" ht="15">
      <c r="A795" s="13">
        <v>65837</v>
      </c>
      <c r="B795" s="63">
        <f>13.626 * CHOOSE(CONTROL!$C$22, $C$13, 100%, $E$13)</f>
        <v>13.625999999999999</v>
      </c>
      <c r="C795" s="63">
        <f>13.626 * CHOOSE(CONTROL!$C$22, $C$13, 100%, $E$13)</f>
        <v>13.625999999999999</v>
      </c>
      <c r="D795" s="63">
        <f>13.6388 * CHOOSE(CONTROL!$C$22, $C$13, 100%, $E$13)</f>
        <v>13.6388</v>
      </c>
      <c r="E795" s="64">
        <f>16.1076 * CHOOSE(CONTROL!$C$22, $C$13, 100%, $E$13)</f>
        <v>16.107600000000001</v>
      </c>
      <c r="F795" s="64">
        <f>16.1076 * CHOOSE(CONTROL!$C$22, $C$13, 100%, $E$13)</f>
        <v>16.107600000000001</v>
      </c>
      <c r="G795" s="64">
        <f>16.1077 * CHOOSE(CONTROL!$C$22, $C$13, 100%, $E$13)</f>
        <v>16.107700000000001</v>
      </c>
      <c r="H795" s="64">
        <f>26.2676* CHOOSE(CONTROL!$C$22, $C$13, 100%, $E$13)</f>
        <v>26.267600000000002</v>
      </c>
      <c r="I795" s="64">
        <f>26.2678 * CHOOSE(CONTROL!$C$22, $C$13, 100%, $E$13)</f>
        <v>26.267800000000001</v>
      </c>
      <c r="J795" s="64">
        <f>16.1076 * CHOOSE(CONTROL!$C$22, $C$13, 100%, $E$13)</f>
        <v>16.107600000000001</v>
      </c>
      <c r="K795" s="64">
        <f>16.1077 * CHOOSE(CONTROL!$C$22, $C$13, 100%, $E$13)</f>
        <v>16.107700000000001</v>
      </c>
    </row>
    <row r="796" spans="1:11" ht="15">
      <c r="A796" s="13">
        <v>65867</v>
      </c>
      <c r="B796" s="63">
        <f>13.626 * CHOOSE(CONTROL!$C$22, $C$13, 100%, $E$13)</f>
        <v>13.625999999999999</v>
      </c>
      <c r="C796" s="63">
        <f>13.626 * CHOOSE(CONTROL!$C$22, $C$13, 100%, $E$13)</f>
        <v>13.625999999999999</v>
      </c>
      <c r="D796" s="63">
        <f>13.6517 * CHOOSE(CONTROL!$C$22, $C$13, 100%, $E$13)</f>
        <v>13.6517</v>
      </c>
      <c r="E796" s="64">
        <f>16.1632 * CHOOSE(CONTROL!$C$22, $C$13, 100%, $E$13)</f>
        <v>16.1632</v>
      </c>
      <c r="F796" s="64">
        <f>16.1632 * CHOOSE(CONTROL!$C$22, $C$13, 100%, $E$13)</f>
        <v>16.1632</v>
      </c>
      <c r="G796" s="64">
        <f>16.1648 * CHOOSE(CONTROL!$C$22, $C$13, 100%, $E$13)</f>
        <v>16.1648</v>
      </c>
      <c r="H796" s="64">
        <f>26.3223* CHOOSE(CONTROL!$C$22, $C$13, 100%, $E$13)</f>
        <v>26.322299999999998</v>
      </c>
      <c r="I796" s="64">
        <f>26.324 * CHOOSE(CONTROL!$C$22, $C$13, 100%, $E$13)</f>
        <v>26.324000000000002</v>
      </c>
      <c r="J796" s="64">
        <f>16.1632 * CHOOSE(CONTROL!$C$22, $C$13, 100%, $E$13)</f>
        <v>16.1632</v>
      </c>
      <c r="K796" s="64">
        <f>16.1648 * CHOOSE(CONTROL!$C$22, $C$13, 100%, $E$13)</f>
        <v>16.1648</v>
      </c>
    </row>
    <row r="797" spans="1:11" ht="15">
      <c r="A797" s="13">
        <v>65898</v>
      </c>
      <c r="B797" s="63">
        <f>13.6321 * CHOOSE(CONTROL!$C$22, $C$13, 100%, $E$13)</f>
        <v>13.632099999999999</v>
      </c>
      <c r="C797" s="63">
        <f>13.6321 * CHOOSE(CONTROL!$C$22, $C$13, 100%, $E$13)</f>
        <v>13.632099999999999</v>
      </c>
      <c r="D797" s="63">
        <f>13.6578 * CHOOSE(CONTROL!$C$22, $C$13, 100%, $E$13)</f>
        <v>13.6578</v>
      </c>
      <c r="E797" s="64">
        <f>16.1118 * CHOOSE(CONTROL!$C$22, $C$13, 100%, $E$13)</f>
        <v>16.111799999999999</v>
      </c>
      <c r="F797" s="64">
        <f>16.1118 * CHOOSE(CONTROL!$C$22, $C$13, 100%, $E$13)</f>
        <v>16.111799999999999</v>
      </c>
      <c r="G797" s="64">
        <f>16.1134 * CHOOSE(CONTROL!$C$22, $C$13, 100%, $E$13)</f>
        <v>16.113399999999999</v>
      </c>
      <c r="H797" s="64">
        <f>26.3772* CHOOSE(CONTROL!$C$22, $C$13, 100%, $E$13)</f>
        <v>26.377199999999998</v>
      </c>
      <c r="I797" s="64">
        <f>26.3788 * CHOOSE(CONTROL!$C$22, $C$13, 100%, $E$13)</f>
        <v>26.378799999999998</v>
      </c>
      <c r="J797" s="64">
        <f>16.1118 * CHOOSE(CONTROL!$C$22, $C$13, 100%, $E$13)</f>
        <v>16.111799999999999</v>
      </c>
      <c r="K797" s="64">
        <f>16.1134 * CHOOSE(CONTROL!$C$22, $C$13, 100%, $E$13)</f>
        <v>16.113399999999999</v>
      </c>
    </row>
    <row r="798" spans="1:11" ht="15">
      <c r="A798" s="13">
        <v>65928</v>
      </c>
      <c r="B798" s="63">
        <f>13.8464 * CHOOSE(CONTROL!$C$22, $C$13, 100%, $E$13)</f>
        <v>13.846399999999999</v>
      </c>
      <c r="C798" s="63">
        <f>13.8464 * CHOOSE(CONTROL!$C$22, $C$13, 100%, $E$13)</f>
        <v>13.846399999999999</v>
      </c>
      <c r="D798" s="63">
        <f>13.8721 * CHOOSE(CONTROL!$C$22, $C$13, 100%, $E$13)</f>
        <v>13.8721</v>
      </c>
      <c r="E798" s="64">
        <f>16.4191 * CHOOSE(CONTROL!$C$22, $C$13, 100%, $E$13)</f>
        <v>16.4191</v>
      </c>
      <c r="F798" s="64">
        <f>16.4191 * CHOOSE(CONTROL!$C$22, $C$13, 100%, $E$13)</f>
        <v>16.4191</v>
      </c>
      <c r="G798" s="64">
        <f>16.4207 * CHOOSE(CONTROL!$C$22, $C$13, 100%, $E$13)</f>
        <v>16.4207</v>
      </c>
      <c r="H798" s="64">
        <f>26.4321* CHOOSE(CONTROL!$C$22, $C$13, 100%, $E$13)</f>
        <v>26.432099999999998</v>
      </c>
      <c r="I798" s="64">
        <f>26.4338 * CHOOSE(CONTROL!$C$22, $C$13, 100%, $E$13)</f>
        <v>26.433800000000002</v>
      </c>
      <c r="J798" s="64">
        <f>16.4191 * CHOOSE(CONTROL!$C$22, $C$13, 100%, $E$13)</f>
        <v>16.4191</v>
      </c>
      <c r="K798" s="64">
        <f>16.4207 * CHOOSE(CONTROL!$C$22, $C$13, 100%, $E$13)</f>
        <v>16.4207</v>
      </c>
    </row>
    <row r="799" spans="1:11" ht="15">
      <c r="A799" s="13">
        <v>65959</v>
      </c>
      <c r="B799" s="63">
        <f>13.8531 * CHOOSE(CONTROL!$C$22, $C$13, 100%, $E$13)</f>
        <v>13.8531</v>
      </c>
      <c r="C799" s="63">
        <f>13.8531 * CHOOSE(CONTROL!$C$22, $C$13, 100%, $E$13)</f>
        <v>13.8531</v>
      </c>
      <c r="D799" s="63">
        <f>13.8788 * CHOOSE(CONTROL!$C$22, $C$13, 100%, $E$13)</f>
        <v>13.8788</v>
      </c>
      <c r="E799" s="64">
        <f>16.2569 * CHOOSE(CONTROL!$C$22, $C$13, 100%, $E$13)</f>
        <v>16.256900000000002</v>
      </c>
      <c r="F799" s="64">
        <f>16.2569 * CHOOSE(CONTROL!$C$22, $C$13, 100%, $E$13)</f>
        <v>16.256900000000002</v>
      </c>
      <c r="G799" s="64">
        <f>16.2585 * CHOOSE(CONTROL!$C$22, $C$13, 100%, $E$13)</f>
        <v>16.258500000000002</v>
      </c>
      <c r="H799" s="64">
        <f>26.4872* CHOOSE(CONTROL!$C$22, $C$13, 100%, $E$13)</f>
        <v>26.487200000000001</v>
      </c>
      <c r="I799" s="64">
        <f>26.4888 * CHOOSE(CONTROL!$C$22, $C$13, 100%, $E$13)</f>
        <v>26.488800000000001</v>
      </c>
      <c r="J799" s="64">
        <f>16.2569 * CHOOSE(CONTROL!$C$22, $C$13, 100%, $E$13)</f>
        <v>16.256900000000002</v>
      </c>
      <c r="K799" s="64">
        <f>16.2585 * CHOOSE(CONTROL!$C$22, $C$13, 100%, $E$13)</f>
        <v>16.258500000000002</v>
      </c>
    </row>
    <row r="800" spans="1:11" ht="15">
      <c r="A800" s="13">
        <v>65990</v>
      </c>
      <c r="B800" s="63">
        <f>13.85 * CHOOSE(CONTROL!$C$22, $C$13, 100%, $E$13)</f>
        <v>13.85</v>
      </c>
      <c r="C800" s="63">
        <f>13.85 * CHOOSE(CONTROL!$C$22, $C$13, 100%, $E$13)</f>
        <v>13.85</v>
      </c>
      <c r="D800" s="63">
        <f>13.8758 * CHOOSE(CONTROL!$C$22, $C$13, 100%, $E$13)</f>
        <v>13.8758</v>
      </c>
      <c r="E800" s="64">
        <f>16.2362 * CHOOSE(CONTROL!$C$22, $C$13, 100%, $E$13)</f>
        <v>16.2362</v>
      </c>
      <c r="F800" s="64">
        <f>16.2362 * CHOOSE(CONTROL!$C$22, $C$13, 100%, $E$13)</f>
        <v>16.2362</v>
      </c>
      <c r="G800" s="64">
        <f>16.2379 * CHOOSE(CONTROL!$C$22, $C$13, 100%, $E$13)</f>
        <v>16.2379</v>
      </c>
      <c r="H800" s="64">
        <f>26.5424* CHOOSE(CONTROL!$C$22, $C$13, 100%, $E$13)</f>
        <v>26.542400000000001</v>
      </c>
      <c r="I800" s="64">
        <f>26.544 * CHOOSE(CONTROL!$C$22, $C$13, 100%, $E$13)</f>
        <v>26.544</v>
      </c>
      <c r="J800" s="64">
        <f>16.2362 * CHOOSE(CONTROL!$C$22, $C$13, 100%, $E$13)</f>
        <v>16.2362</v>
      </c>
      <c r="K800" s="64">
        <f>16.2379 * CHOOSE(CONTROL!$C$22, $C$13, 100%, $E$13)</f>
        <v>16.2379</v>
      </c>
    </row>
    <row r="801" spans="1:11" ht="15">
      <c r="A801" s="13">
        <v>66020</v>
      </c>
      <c r="B801" s="63">
        <f>13.8774 * CHOOSE(CONTROL!$C$22, $C$13, 100%, $E$13)</f>
        <v>13.8774</v>
      </c>
      <c r="C801" s="63">
        <f>13.8774 * CHOOSE(CONTROL!$C$22, $C$13, 100%, $E$13)</f>
        <v>13.8774</v>
      </c>
      <c r="D801" s="63">
        <f>13.8903 * CHOOSE(CONTROL!$C$22, $C$13, 100%, $E$13)</f>
        <v>13.8903</v>
      </c>
      <c r="E801" s="64">
        <f>16.297 * CHOOSE(CONTROL!$C$22, $C$13, 100%, $E$13)</f>
        <v>16.297000000000001</v>
      </c>
      <c r="F801" s="64">
        <f>16.297 * CHOOSE(CONTROL!$C$22, $C$13, 100%, $E$13)</f>
        <v>16.297000000000001</v>
      </c>
      <c r="G801" s="64">
        <f>16.2971 * CHOOSE(CONTROL!$C$22, $C$13, 100%, $E$13)</f>
        <v>16.2971</v>
      </c>
      <c r="H801" s="64">
        <f>26.5977* CHOOSE(CONTROL!$C$22, $C$13, 100%, $E$13)</f>
        <v>26.5977</v>
      </c>
      <c r="I801" s="64">
        <f>26.5979 * CHOOSE(CONTROL!$C$22, $C$13, 100%, $E$13)</f>
        <v>26.597899999999999</v>
      </c>
      <c r="J801" s="64">
        <f>16.297 * CHOOSE(CONTROL!$C$22, $C$13, 100%, $E$13)</f>
        <v>16.297000000000001</v>
      </c>
      <c r="K801" s="64">
        <f>16.2971 * CHOOSE(CONTROL!$C$22, $C$13, 100%, $E$13)</f>
        <v>16.2971</v>
      </c>
    </row>
    <row r="802" spans="1:11" ht="15">
      <c r="A802" s="13">
        <v>66051</v>
      </c>
      <c r="B802" s="63">
        <f>13.8805 * CHOOSE(CONTROL!$C$22, $C$13, 100%, $E$13)</f>
        <v>13.8805</v>
      </c>
      <c r="C802" s="63">
        <f>13.8805 * CHOOSE(CONTROL!$C$22, $C$13, 100%, $E$13)</f>
        <v>13.8805</v>
      </c>
      <c r="D802" s="63">
        <f>13.8934 * CHOOSE(CONTROL!$C$22, $C$13, 100%, $E$13)</f>
        <v>13.8934</v>
      </c>
      <c r="E802" s="64">
        <f>16.3362 * CHOOSE(CONTROL!$C$22, $C$13, 100%, $E$13)</f>
        <v>16.336200000000002</v>
      </c>
      <c r="F802" s="64">
        <f>16.3362 * CHOOSE(CONTROL!$C$22, $C$13, 100%, $E$13)</f>
        <v>16.336200000000002</v>
      </c>
      <c r="G802" s="64">
        <f>16.3363 * CHOOSE(CONTROL!$C$22, $C$13, 100%, $E$13)</f>
        <v>16.336300000000001</v>
      </c>
      <c r="H802" s="64">
        <f>26.6531* CHOOSE(CONTROL!$C$22, $C$13, 100%, $E$13)</f>
        <v>26.653099999999998</v>
      </c>
      <c r="I802" s="64">
        <f>26.6533 * CHOOSE(CONTROL!$C$22, $C$13, 100%, $E$13)</f>
        <v>26.653300000000002</v>
      </c>
      <c r="J802" s="64">
        <f>16.3362 * CHOOSE(CONTROL!$C$22, $C$13, 100%, $E$13)</f>
        <v>16.336200000000002</v>
      </c>
      <c r="K802" s="64">
        <f>16.3363 * CHOOSE(CONTROL!$C$22, $C$13, 100%, $E$13)</f>
        <v>16.336300000000001</v>
      </c>
    </row>
    <row r="803" spans="1:11" ht="15">
      <c r="A803" s="13">
        <v>66081</v>
      </c>
      <c r="B803" s="63">
        <f>13.8805 * CHOOSE(CONTROL!$C$22, $C$13, 100%, $E$13)</f>
        <v>13.8805</v>
      </c>
      <c r="C803" s="63">
        <f>13.8805 * CHOOSE(CONTROL!$C$22, $C$13, 100%, $E$13)</f>
        <v>13.8805</v>
      </c>
      <c r="D803" s="63">
        <f>13.8934 * CHOOSE(CONTROL!$C$22, $C$13, 100%, $E$13)</f>
        <v>13.8934</v>
      </c>
      <c r="E803" s="64">
        <f>16.2435 * CHOOSE(CONTROL!$C$22, $C$13, 100%, $E$13)</f>
        <v>16.243500000000001</v>
      </c>
      <c r="F803" s="64">
        <f>16.2435 * CHOOSE(CONTROL!$C$22, $C$13, 100%, $E$13)</f>
        <v>16.243500000000001</v>
      </c>
      <c r="G803" s="64">
        <f>16.2437 * CHOOSE(CONTROL!$C$22, $C$13, 100%, $E$13)</f>
        <v>16.2437</v>
      </c>
      <c r="H803" s="64">
        <f>26.7086* CHOOSE(CONTROL!$C$22, $C$13, 100%, $E$13)</f>
        <v>26.708600000000001</v>
      </c>
      <c r="I803" s="64">
        <f>26.7088 * CHOOSE(CONTROL!$C$22, $C$13, 100%, $E$13)</f>
        <v>26.7088</v>
      </c>
      <c r="J803" s="64">
        <f>16.2435 * CHOOSE(CONTROL!$C$22, $C$13, 100%, $E$13)</f>
        <v>16.243500000000001</v>
      </c>
      <c r="K803" s="64">
        <f>16.2437 * CHOOSE(CONTROL!$C$22, $C$13, 100%, $E$13)</f>
        <v>16.2437</v>
      </c>
    </row>
    <row r="804" spans="1:11" ht="15">
      <c r="A804" s="13">
        <v>66112</v>
      </c>
      <c r="B804" s="63">
        <f>13.8715 * CHOOSE(CONTROL!$C$22, $C$13, 100%, $E$13)</f>
        <v>13.871499999999999</v>
      </c>
      <c r="C804" s="63">
        <f>13.8715 * CHOOSE(CONTROL!$C$22, $C$13, 100%, $E$13)</f>
        <v>13.871499999999999</v>
      </c>
      <c r="D804" s="63">
        <f>13.8844 * CHOOSE(CONTROL!$C$22, $C$13, 100%, $E$13)</f>
        <v>13.884399999999999</v>
      </c>
      <c r="E804" s="64">
        <f>16.2972 * CHOOSE(CONTROL!$C$22, $C$13, 100%, $E$13)</f>
        <v>16.2972</v>
      </c>
      <c r="F804" s="64">
        <f>16.2972 * CHOOSE(CONTROL!$C$22, $C$13, 100%, $E$13)</f>
        <v>16.2972</v>
      </c>
      <c r="G804" s="64">
        <f>16.2974 * CHOOSE(CONTROL!$C$22, $C$13, 100%, $E$13)</f>
        <v>16.2974</v>
      </c>
      <c r="H804" s="64">
        <f>26.55* CHOOSE(CONTROL!$C$22, $C$13, 100%, $E$13)</f>
        <v>26.55</v>
      </c>
      <c r="I804" s="64">
        <f>26.5502 * CHOOSE(CONTROL!$C$22, $C$13, 100%, $E$13)</f>
        <v>26.5502</v>
      </c>
      <c r="J804" s="64">
        <f>16.2972 * CHOOSE(CONTROL!$C$22, $C$13, 100%, $E$13)</f>
        <v>16.2972</v>
      </c>
      <c r="K804" s="64">
        <f>16.2974 * CHOOSE(CONTROL!$C$22, $C$13, 100%, $E$13)</f>
        <v>16.2974</v>
      </c>
    </row>
    <row r="805" spans="1:11" ht="15">
      <c r="A805" s="13">
        <v>66143</v>
      </c>
      <c r="B805" s="63">
        <f>13.8685 * CHOOSE(CONTROL!$C$22, $C$13, 100%, $E$13)</f>
        <v>13.868499999999999</v>
      </c>
      <c r="C805" s="63">
        <f>13.8685 * CHOOSE(CONTROL!$C$22, $C$13, 100%, $E$13)</f>
        <v>13.868499999999999</v>
      </c>
      <c r="D805" s="63">
        <f>13.8813 * CHOOSE(CONTROL!$C$22, $C$13, 100%, $E$13)</f>
        <v>13.8813</v>
      </c>
      <c r="E805" s="64">
        <f>16.1168 * CHOOSE(CONTROL!$C$22, $C$13, 100%, $E$13)</f>
        <v>16.116800000000001</v>
      </c>
      <c r="F805" s="64">
        <f>16.1168 * CHOOSE(CONTROL!$C$22, $C$13, 100%, $E$13)</f>
        <v>16.116800000000001</v>
      </c>
      <c r="G805" s="64">
        <f>16.117 * CHOOSE(CONTROL!$C$22, $C$13, 100%, $E$13)</f>
        <v>16.117000000000001</v>
      </c>
      <c r="H805" s="64">
        <f>26.6053* CHOOSE(CONTROL!$C$22, $C$13, 100%, $E$13)</f>
        <v>26.6053</v>
      </c>
      <c r="I805" s="64">
        <f>26.6055 * CHOOSE(CONTROL!$C$22, $C$13, 100%, $E$13)</f>
        <v>26.605499999999999</v>
      </c>
      <c r="J805" s="64">
        <f>16.1168 * CHOOSE(CONTROL!$C$22, $C$13, 100%, $E$13)</f>
        <v>16.116800000000001</v>
      </c>
      <c r="K805" s="64">
        <f>16.117 * CHOOSE(CONTROL!$C$22, $C$13, 100%, $E$13)</f>
        <v>16.117000000000001</v>
      </c>
    </row>
    <row r="806" spans="1:11" ht="15">
      <c r="A806" s="13">
        <v>66171</v>
      </c>
      <c r="B806" s="63">
        <f>13.8654 * CHOOSE(CONTROL!$C$22, $C$13, 100%, $E$13)</f>
        <v>13.865399999999999</v>
      </c>
      <c r="C806" s="63">
        <f>13.8654 * CHOOSE(CONTROL!$C$22, $C$13, 100%, $E$13)</f>
        <v>13.865399999999999</v>
      </c>
      <c r="D806" s="63">
        <f>13.8783 * CHOOSE(CONTROL!$C$22, $C$13, 100%, $E$13)</f>
        <v>13.878299999999999</v>
      </c>
      <c r="E806" s="64">
        <f>16.2553 * CHOOSE(CONTROL!$C$22, $C$13, 100%, $E$13)</f>
        <v>16.255299999999998</v>
      </c>
      <c r="F806" s="64">
        <f>16.2553 * CHOOSE(CONTROL!$C$22, $C$13, 100%, $E$13)</f>
        <v>16.255299999999998</v>
      </c>
      <c r="G806" s="64">
        <f>16.2554 * CHOOSE(CONTROL!$C$22, $C$13, 100%, $E$13)</f>
        <v>16.255400000000002</v>
      </c>
      <c r="H806" s="64">
        <f>26.6608* CHOOSE(CONTROL!$C$22, $C$13, 100%, $E$13)</f>
        <v>26.660799999999998</v>
      </c>
      <c r="I806" s="64">
        <f>26.6609 * CHOOSE(CONTROL!$C$22, $C$13, 100%, $E$13)</f>
        <v>26.660900000000002</v>
      </c>
      <c r="J806" s="64">
        <f>16.2553 * CHOOSE(CONTROL!$C$22, $C$13, 100%, $E$13)</f>
        <v>16.255299999999998</v>
      </c>
      <c r="K806" s="64">
        <f>16.2554 * CHOOSE(CONTROL!$C$22, $C$13, 100%, $E$13)</f>
        <v>16.255400000000002</v>
      </c>
    </row>
    <row r="807" spans="1:11" ht="15">
      <c r="A807" s="13">
        <v>66202</v>
      </c>
      <c r="B807" s="63">
        <f>13.8715 * CHOOSE(CONTROL!$C$22, $C$13, 100%, $E$13)</f>
        <v>13.871499999999999</v>
      </c>
      <c r="C807" s="63">
        <f>13.8715 * CHOOSE(CONTROL!$C$22, $C$13, 100%, $E$13)</f>
        <v>13.871499999999999</v>
      </c>
      <c r="D807" s="63">
        <f>13.8844 * CHOOSE(CONTROL!$C$22, $C$13, 100%, $E$13)</f>
        <v>13.884399999999999</v>
      </c>
      <c r="E807" s="64">
        <f>16.402 * CHOOSE(CONTROL!$C$22, $C$13, 100%, $E$13)</f>
        <v>16.402000000000001</v>
      </c>
      <c r="F807" s="64">
        <f>16.402 * CHOOSE(CONTROL!$C$22, $C$13, 100%, $E$13)</f>
        <v>16.402000000000001</v>
      </c>
      <c r="G807" s="64">
        <f>16.4022 * CHOOSE(CONTROL!$C$22, $C$13, 100%, $E$13)</f>
        <v>16.402200000000001</v>
      </c>
      <c r="H807" s="64">
        <f>26.7163* CHOOSE(CONTROL!$C$22, $C$13, 100%, $E$13)</f>
        <v>26.7163</v>
      </c>
      <c r="I807" s="64">
        <f>26.7165 * CHOOSE(CONTROL!$C$22, $C$13, 100%, $E$13)</f>
        <v>26.7165</v>
      </c>
      <c r="J807" s="64">
        <f>16.402 * CHOOSE(CONTROL!$C$22, $C$13, 100%, $E$13)</f>
        <v>16.402000000000001</v>
      </c>
      <c r="K807" s="64">
        <f>16.4022 * CHOOSE(CONTROL!$C$22, $C$13, 100%, $E$13)</f>
        <v>16.402200000000001</v>
      </c>
    </row>
    <row r="808" spans="1:11" ht="15">
      <c r="A808" s="13">
        <v>66232</v>
      </c>
      <c r="B808" s="63">
        <f>13.8715 * CHOOSE(CONTROL!$C$22, $C$13, 100%, $E$13)</f>
        <v>13.871499999999999</v>
      </c>
      <c r="C808" s="63">
        <f>13.8715 * CHOOSE(CONTROL!$C$22, $C$13, 100%, $E$13)</f>
        <v>13.871499999999999</v>
      </c>
      <c r="D808" s="63">
        <f>13.8972 * CHOOSE(CONTROL!$C$22, $C$13, 100%, $E$13)</f>
        <v>13.8972</v>
      </c>
      <c r="E808" s="64">
        <f>16.4586 * CHOOSE(CONTROL!$C$22, $C$13, 100%, $E$13)</f>
        <v>16.458600000000001</v>
      </c>
      <c r="F808" s="64">
        <f>16.4586 * CHOOSE(CONTROL!$C$22, $C$13, 100%, $E$13)</f>
        <v>16.458600000000001</v>
      </c>
      <c r="G808" s="64">
        <f>16.4603 * CHOOSE(CONTROL!$C$22, $C$13, 100%, $E$13)</f>
        <v>16.4603</v>
      </c>
      <c r="H808" s="64">
        <f>26.772* CHOOSE(CONTROL!$C$22, $C$13, 100%, $E$13)</f>
        <v>26.771999999999998</v>
      </c>
      <c r="I808" s="64">
        <f>26.7736 * CHOOSE(CONTROL!$C$22, $C$13, 100%, $E$13)</f>
        <v>26.773599999999998</v>
      </c>
      <c r="J808" s="64">
        <f>16.4586 * CHOOSE(CONTROL!$C$22, $C$13, 100%, $E$13)</f>
        <v>16.458600000000001</v>
      </c>
      <c r="K808" s="64">
        <f>16.4603 * CHOOSE(CONTROL!$C$22, $C$13, 100%, $E$13)</f>
        <v>16.4603</v>
      </c>
    </row>
    <row r="809" spans="1:11" ht="15">
      <c r="A809" s="13">
        <v>66263</v>
      </c>
      <c r="B809" s="63">
        <f>13.8776 * CHOOSE(CONTROL!$C$22, $C$13, 100%, $E$13)</f>
        <v>13.877599999999999</v>
      </c>
      <c r="C809" s="63">
        <f>13.8776 * CHOOSE(CONTROL!$C$22, $C$13, 100%, $E$13)</f>
        <v>13.877599999999999</v>
      </c>
      <c r="D809" s="63">
        <f>13.9033 * CHOOSE(CONTROL!$C$22, $C$13, 100%, $E$13)</f>
        <v>13.9033</v>
      </c>
      <c r="E809" s="64">
        <f>16.4063 * CHOOSE(CONTROL!$C$22, $C$13, 100%, $E$13)</f>
        <v>16.406300000000002</v>
      </c>
      <c r="F809" s="64">
        <f>16.4063 * CHOOSE(CONTROL!$C$22, $C$13, 100%, $E$13)</f>
        <v>16.406300000000002</v>
      </c>
      <c r="G809" s="64">
        <f>16.4079 * CHOOSE(CONTROL!$C$22, $C$13, 100%, $E$13)</f>
        <v>16.407900000000001</v>
      </c>
      <c r="H809" s="64">
        <f>26.8277* CHOOSE(CONTROL!$C$22, $C$13, 100%, $E$13)</f>
        <v>26.8277</v>
      </c>
      <c r="I809" s="64">
        <f>26.8294 * CHOOSE(CONTROL!$C$22, $C$13, 100%, $E$13)</f>
        <v>26.8294</v>
      </c>
      <c r="J809" s="64">
        <f>16.4063 * CHOOSE(CONTROL!$C$22, $C$13, 100%, $E$13)</f>
        <v>16.406300000000002</v>
      </c>
      <c r="K809" s="64">
        <f>16.4079 * CHOOSE(CONTROL!$C$22, $C$13, 100%, $E$13)</f>
        <v>16.407900000000001</v>
      </c>
    </row>
    <row r="810" spans="1:11" ht="15">
      <c r="A810" s="13">
        <v>66293</v>
      </c>
      <c r="B810" s="63">
        <f>14.0956 * CHOOSE(CONTROL!$C$22, $C$13, 100%, $E$13)</f>
        <v>14.095599999999999</v>
      </c>
      <c r="C810" s="63">
        <f>14.0956 * CHOOSE(CONTROL!$C$22, $C$13, 100%, $E$13)</f>
        <v>14.095599999999999</v>
      </c>
      <c r="D810" s="63">
        <f>14.1213 * CHOOSE(CONTROL!$C$22, $C$13, 100%, $E$13)</f>
        <v>14.1213</v>
      </c>
      <c r="E810" s="64">
        <f>16.7189 * CHOOSE(CONTROL!$C$22, $C$13, 100%, $E$13)</f>
        <v>16.718900000000001</v>
      </c>
      <c r="F810" s="64">
        <f>16.7189 * CHOOSE(CONTROL!$C$22, $C$13, 100%, $E$13)</f>
        <v>16.718900000000001</v>
      </c>
      <c r="G810" s="64">
        <f>16.7206 * CHOOSE(CONTROL!$C$22, $C$13, 100%, $E$13)</f>
        <v>16.720600000000001</v>
      </c>
      <c r="H810" s="64">
        <f>26.8836* CHOOSE(CONTROL!$C$22, $C$13, 100%, $E$13)</f>
        <v>26.883600000000001</v>
      </c>
      <c r="I810" s="64">
        <f>26.8853 * CHOOSE(CONTROL!$C$22, $C$13, 100%, $E$13)</f>
        <v>26.885300000000001</v>
      </c>
      <c r="J810" s="64">
        <f>16.7189 * CHOOSE(CONTROL!$C$22, $C$13, 100%, $E$13)</f>
        <v>16.718900000000001</v>
      </c>
      <c r="K810" s="64">
        <f>16.7206 * CHOOSE(CONTROL!$C$22, $C$13, 100%, $E$13)</f>
        <v>16.720600000000001</v>
      </c>
    </row>
    <row r="811" spans="1:11" ht="15">
      <c r="A811" s="13">
        <v>66324</v>
      </c>
      <c r="B811" s="63">
        <f>14.1023 * CHOOSE(CONTROL!$C$22, $C$13, 100%, $E$13)</f>
        <v>14.1023</v>
      </c>
      <c r="C811" s="63">
        <f>14.1023 * CHOOSE(CONTROL!$C$22, $C$13, 100%, $E$13)</f>
        <v>14.1023</v>
      </c>
      <c r="D811" s="63">
        <f>14.128 * CHOOSE(CONTROL!$C$22, $C$13, 100%, $E$13)</f>
        <v>14.128</v>
      </c>
      <c r="E811" s="64">
        <f>16.5537 * CHOOSE(CONTROL!$C$22, $C$13, 100%, $E$13)</f>
        <v>16.553699999999999</v>
      </c>
      <c r="F811" s="64">
        <f>16.5537 * CHOOSE(CONTROL!$C$22, $C$13, 100%, $E$13)</f>
        <v>16.553699999999999</v>
      </c>
      <c r="G811" s="64">
        <f>16.5554 * CHOOSE(CONTROL!$C$22, $C$13, 100%, $E$13)</f>
        <v>16.555399999999999</v>
      </c>
      <c r="H811" s="64">
        <f>26.9396* CHOOSE(CONTROL!$C$22, $C$13, 100%, $E$13)</f>
        <v>26.939599999999999</v>
      </c>
      <c r="I811" s="64">
        <f>26.9413 * CHOOSE(CONTROL!$C$22, $C$13, 100%, $E$13)</f>
        <v>26.941299999999998</v>
      </c>
      <c r="J811" s="64">
        <f>16.5537 * CHOOSE(CONTROL!$C$22, $C$13, 100%, $E$13)</f>
        <v>16.553699999999999</v>
      </c>
      <c r="K811" s="64">
        <f>16.5554 * CHOOSE(CONTROL!$C$22, $C$13, 100%, $E$13)</f>
        <v>16.555399999999999</v>
      </c>
    </row>
    <row r="812" spans="1:11" ht="15">
      <c r="A812" s="13">
        <v>66355</v>
      </c>
      <c r="B812" s="63">
        <f>14.0992 * CHOOSE(CONTROL!$C$22, $C$13, 100%, $E$13)</f>
        <v>14.0992</v>
      </c>
      <c r="C812" s="63">
        <f>14.0992 * CHOOSE(CONTROL!$C$22, $C$13, 100%, $E$13)</f>
        <v>14.0992</v>
      </c>
      <c r="D812" s="63">
        <f>14.125 * CHOOSE(CONTROL!$C$22, $C$13, 100%, $E$13)</f>
        <v>14.125</v>
      </c>
      <c r="E812" s="64">
        <f>16.5327 * CHOOSE(CONTROL!$C$22, $C$13, 100%, $E$13)</f>
        <v>16.532699999999998</v>
      </c>
      <c r="F812" s="64">
        <f>16.5327 * CHOOSE(CONTROL!$C$22, $C$13, 100%, $E$13)</f>
        <v>16.532699999999998</v>
      </c>
      <c r="G812" s="64">
        <f>16.5344 * CHOOSE(CONTROL!$C$22, $C$13, 100%, $E$13)</f>
        <v>16.534400000000002</v>
      </c>
      <c r="H812" s="64">
        <f>26.9958* CHOOSE(CONTROL!$C$22, $C$13, 100%, $E$13)</f>
        <v>26.995799999999999</v>
      </c>
      <c r="I812" s="64">
        <f>26.9974 * CHOOSE(CONTROL!$C$22, $C$13, 100%, $E$13)</f>
        <v>26.997399999999999</v>
      </c>
      <c r="J812" s="64">
        <f>16.5327 * CHOOSE(CONTROL!$C$22, $C$13, 100%, $E$13)</f>
        <v>16.532699999999998</v>
      </c>
      <c r="K812" s="64">
        <f>16.5344 * CHOOSE(CONTROL!$C$22, $C$13, 100%, $E$13)</f>
        <v>16.534400000000002</v>
      </c>
    </row>
    <row r="813" spans="1:11" ht="15">
      <c r="A813" s="13">
        <v>66385</v>
      </c>
      <c r="B813" s="63">
        <f>14.1275 * CHOOSE(CONTROL!$C$22, $C$13, 100%, $E$13)</f>
        <v>14.1275</v>
      </c>
      <c r="C813" s="63">
        <f>14.1275 * CHOOSE(CONTROL!$C$22, $C$13, 100%, $E$13)</f>
        <v>14.1275</v>
      </c>
      <c r="D813" s="63">
        <f>14.1403 * CHOOSE(CONTROL!$C$22, $C$13, 100%, $E$13)</f>
        <v>14.1403</v>
      </c>
      <c r="E813" s="64">
        <f>16.5948 * CHOOSE(CONTROL!$C$22, $C$13, 100%, $E$13)</f>
        <v>16.594799999999999</v>
      </c>
      <c r="F813" s="64">
        <f>16.5948 * CHOOSE(CONTROL!$C$22, $C$13, 100%, $E$13)</f>
        <v>16.594799999999999</v>
      </c>
      <c r="G813" s="64">
        <f>16.595 * CHOOSE(CONTROL!$C$22, $C$13, 100%, $E$13)</f>
        <v>16.594999999999999</v>
      </c>
      <c r="H813" s="64">
        <f>27.052* CHOOSE(CONTROL!$C$22, $C$13, 100%, $E$13)</f>
        <v>27.052</v>
      </c>
      <c r="I813" s="64">
        <f>27.0522 * CHOOSE(CONTROL!$C$22, $C$13, 100%, $E$13)</f>
        <v>27.052199999999999</v>
      </c>
      <c r="J813" s="64">
        <f>16.5948 * CHOOSE(CONTROL!$C$22, $C$13, 100%, $E$13)</f>
        <v>16.594799999999999</v>
      </c>
      <c r="K813" s="64">
        <f>16.595 * CHOOSE(CONTROL!$C$22, $C$13, 100%, $E$13)</f>
        <v>16.594999999999999</v>
      </c>
    </row>
    <row r="814" spans="1:11" ht="15">
      <c r="A814" s="13">
        <v>66416</v>
      </c>
      <c r="B814" s="63">
        <f>14.1305 * CHOOSE(CONTROL!$C$22, $C$13, 100%, $E$13)</f>
        <v>14.1305</v>
      </c>
      <c r="C814" s="63">
        <f>14.1305 * CHOOSE(CONTROL!$C$22, $C$13, 100%, $E$13)</f>
        <v>14.1305</v>
      </c>
      <c r="D814" s="63">
        <f>14.1434 * CHOOSE(CONTROL!$C$22, $C$13, 100%, $E$13)</f>
        <v>14.1434</v>
      </c>
      <c r="E814" s="64">
        <f>16.6347 * CHOOSE(CONTROL!$C$22, $C$13, 100%, $E$13)</f>
        <v>16.634699999999999</v>
      </c>
      <c r="F814" s="64">
        <f>16.6347 * CHOOSE(CONTROL!$C$22, $C$13, 100%, $E$13)</f>
        <v>16.634699999999999</v>
      </c>
      <c r="G814" s="64">
        <f>16.6349 * CHOOSE(CONTROL!$C$22, $C$13, 100%, $E$13)</f>
        <v>16.634899999999998</v>
      </c>
      <c r="H814" s="64">
        <f>27.1084* CHOOSE(CONTROL!$C$22, $C$13, 100%, $E$13)</f>
        <v>27.1084</v>
      </c>
      <c r="I814" s="64">
        <f>27.1085 * CHOOSE(CONTROL!$C$22, $C$13, 100%, $E$13)</f>
        <v>27.108499999999999</v>
      </c>
      <c r="J814" s="64">
        <f>16.6347 * CHOOSE(CONTROL!$C$22, $C$13, 100%, $E$13)</f>
        <v>16.634699999999999</v>
      </c>
      <c r="K814" s="64">
        <f>16.6349 * CHOOSE(CONTROL!$C$22, $C$13, 100%, $E$13)</f>
        <v>16.634899999999998</v>
      </c>
    </row>
    <row r="815" spans="1:11" ht="15">
      <c r="A815" s="13">
        <v>66446</v>
      </c>
      <c r="B815" s="63">
        <f>14.1305 * CHOOSE(CONTROL!$C$22, $C$13, 100%, $E$13)</f>
        <v>14.1305</v>
      </c>
      <c r="C815" s="63">
        <f>14.1305 * CHOOSE(CONTROL!$C$22, $C$13, 100%, $E$13)</f>
        <v>14.1305</v>
      </c>
      <c r="D815" s="63">
        <f>14.1434 * CHOOSE(CONTROL!$C$22, $C$13, 100%, $E$13)</f>
        <v>14.1434</v>
      </c>
      <c r="E815" s="64">
        <f>16.5403 * CHOOSE(CONTROL!$C$22, $C$13, 100%, $E$13)</f>
        <v>16.540299999999998</v>
      </c>
      <c r="F815" s="64">
        <f>16.5403 * CHOOSE(CONTROL!$C$22, $C$13, 100%, $E$13)</f>
        <v>16.540299999999998</v>
      </c>
      <c r="G815" s="64">
        <f>16.5405 * CHOOSE(CONTROL!$C$22, $C$13, 100%, $E$13)</f>
        <v>16.540500000000002</v>
      </c>
      <c r="H815" s="64">
        <f>27.1648* CHOOSE(CONTROL!$C$22, $C$13, 100%, $E$13)</f>
        <v>27.1648</v>
      </c>
      <c r="I815" s="64">
        <f>27.165 * CHOOSE(CONTROL!$C$22, $C$13, 100%, $E$13)</f>
        <v>27.164999999999999</v>
      </c>
      <c r="J815" s="64">
        <f>16.5403 * CHOOSE(CONTROL!$C$22, $C$13, 100%, $E$13)</f>
        <v>16.540299999999998</v>
      </c>
      <c r="K815" s="64">
        <f>16.5405 * CHOOSE(CONTROL!$C$22, $C$13, 100%, $E$13)</f>
        <v>16.540500000000002</v>
      </c>
    </row>
    <row r="816" spans="1:11" ht="15">
      <c r="A816" s="13">
        <v>66477</v>
      </c>
      <c r="B816" s="63">
        <f>14.1168 * CHOOSE(CONTROL!$C$22, $C$13, 100%, $E$13)</f>
        <v>14.1168</v>
      </c>
      <c r="C816" s="63">
        <f>14.1168 * CHOOSE(CONTROL!$C$22, $C$13, 100%, $E$13)</f>
        <v>14.1168</v>
      </c>
      <c r="D816" s="63">
        <f>14.1297 * CHOOSE(CONTROL!$C$22, $C$13, 100%, $E$13)</f>
        <v>14.1297</v>
      </c>
      <c r="E816" s="64">
        <f>16.5897 * CHOOSE(CONTROL!$C$22, $C$13, 100%, $E$13)</f>
        <v>16.589700000000001</v>
      </c>
      <c r="F816" s="64">
        <f>16.5897 * CHOOSE(CONTROL!$C$22, $C$13, 100%, $E$13)</f>
        <v>16.589700000000001</v>
      </c>
      <c r="G816" s="64">
        <f>16.5898 * CHOOSE(CONTROL!$C$22, $C$13, 100%, $E$13)</f>
        <v>16.5898</v>
      </c>
      <c r="H816" s="64">
        <f>26.9959* CHOOSE(CONTROL!$C$22, $C$13, 100%, $E$13)</f>
        <v>26.995899999999999</v>
      </c>
      <c r="I816" s="64">
        <f>26.9961 * CHOOSE(CONTROL!$C$22, $C$13, 100%, $E$13)</f>
        <v>26.996099999999998</v>
      </c>
      <c r="J816" s="64">
        <f>16.5897 * CHOOSE(CONTROL!$C$22, $C$13, 100%, $E$13)</f>
        <v>16.589700000000001</v>
      </c>
      <c r="K816" s="64">
        <f>16.5898 * CHOOSE(CONTROL!$C$22, $C$13, 100%, $E$13)</f>
        <v>16.5898</v>
      </c>
    </row>
    <row r="817" spans="1:11" ht="15">
      <c r="A817" s="13">
        <v>66508</v>
      </c>
      <c r="B817" s="63">
        <f>14.1138 * CHOOSE(CONTROL!$C$22, $C$13, 100%, $E$13)</f>
        <v>14.113799999999999</v>
      </c>
      <c r="C817" s="63">
        <f>14.1138 * CHOOSE(CONTROL!$C$22, $C$13, 100%, $E$13)</f>
        <v>14.113799999999999</v>
      </c>
      <c r="D817" s="63">
        <f>14.1266 * CHOOSE(CONTROL!$C$22, $C$13, 100%, $E$13)</f>
        <v>14.1266</v>
      </c>
      <c r="E817" s="64">
        <f>16.406 * CHOOSE(CONTROL!$C$22, $C$13, 100%, $E$13)</f>
        <v>16.405999999999999</v>
      </c>
      <c r="F817" s="64">
        <f>16.406 * CHOOSE(CONTROL!$C$22, $C$13, 100%, $E$13)</f>
        <v>16.405999999999999</v>
      </c>
      <c r="G817" s="64">
        <f>16.4062 * CHOOSE(CONTROL!$C$22, $C$13, 100%, $E$13)</f>
        <v>16.406199999999998</v>
      </c>
      <c r="H817" s="64">
        <f>27.0522* CHOOSE(CONTROL!$C$22, $C$13, 100%, $E$13)</f>
        <v>27.052199999999999</v>
      </c>
      <c r="I817" s="64">
        <f>27.0523 * CHOOSE(CONTROL!$C$22, $C$13, 100%, $E$13)</f>
        <v>27.052299999999999</v>
      </c>
      <c r="J817" s="64">
        <f>16.406 * CHOOSE(CONTROL!$C$22, $C$13, 100%, $E$13)</f>
        <v>16.405999999999999</v>
      </c>
      <c r="K817" s="64">
        <f>16.4062 * CHOOSE(CONTROL!$C$22, $C$13, 100%, $E$13)</f>
        <v>16.406199999999998</v>
      </c>
    </row>
    <row r="818" spans="1:11" ht="15">
      <c r="A818" s="13">
        <v>66536</v>
      </c>
      <c r="B818" s="63">
        <f>14.1107 * CHOOSE(CONTROL!$C$22, $C$13, 100%, $E$13)</f>
        <v>14.1107</v>
      </c>
      <c r="C818" s="63">
        <f>14.1107 * CHOOSE(CONTROL!$C$22, $C$13, 100%, $E$13)</f>
        <v>14.1107</v>
      </c>
      <c r="D818" s="63">
        <f>14.1236 * CHOOSE(CONTROL!$C$22, $C$13, 100%, $E$13)</f>
        <v>14.1236</v>
      </c>
      <c r="E818" s="64">
        <f>16.547 * CHOOSE(CONTROL!$C$22, $C$13, 100%, $E$13)</f>
        <v>16.547000000000001</v>
      </c>
      <c r="F818" s="64">
        <f>16.547 * CHOOSE(CONTROL!$C$22, $C$13, 100%, $E$13)</f>
        <v>16.547000000000001</v>
      </c>
      <c r="G818" s="64">
        <f>16.5472 * CHOOSE(CONTROL!$C$22, $C$13, 100%, $E$13)</f>
        <v>16.5472</v>
      </c>
      <c r="H818" s="64">
        <f>27.1085* CHOOSE(CONTROL!$C$22, $C$13, 100%, $E$13)</f>
        <v>27.108499999999999</v>
      </c>
      <c r="I818" s="64">
        <f>27.1087 * CHOOSE(CONTROL!$C$22, $C$13, 100%, $E$13)</f>
        <v>27.108699999999999</v>
      </c>
      <c r="J818" s="64">
        <f>16.547 * CHOOSE(CONTROL!$C$22, $C$13, 100%, $E$13)</f>
        <v>16.547000000000001</v>
      </c>
      <c r="K818" s="64">
        <f>16.5472 * CHOOSE(CONTROL!$C$22, $C$13, 100%, $E$13)</f>
        <v>16.5472</v>
      </c>
    </row>
    <row r="819" spans="1:11" ht="15">
      <c r="A819" s="13">
        <v>66567</v>
      </c>
      <c r="B819" s="63">
        <f>14.117 * CHOOSE(CONTROL!$C$22, $C$13, 100%, $E$13)</f>
        <v>14.117000000000001</v>
      </c>
      <c r="C819" s="63">
        <f>14.117 * CHOOSE(CONTROL!$C$22, $C$13, 100%, $E$13)</f>
        <v>14.117000000000001</v>
      </c>
      <c r="D819" s="63">
        <f>14.1299 * CHOOSE(CONTROL!$C$22, $C$13, 100%, $E$13)</f>
        <v>14.129899999999999</v>
      </c>
      <c r="E819" s="64">
        <f>16.6965 * CHOOSE(CONTROL!$C$22, $C$13, 100%, $E$13)</f>
        <v>16.6965</v>
      </c>
      <c r="F819" s="64">
        <f>16.6965 * CHOOSE(CONTROL!$C$22, $C$13, 100%, $E$13)</f>
        <v>16.6965</v>
      </c>
      <c r="G819" s="64">
        <f>16.6966 * CHOOSE(CONTROL!$C$22, $C$13, 100%, $E$13)</f>
        <v>16.6966</v>
      </c>
      <c r="H819" s="64">
        <f>27.165* CHOOSE(CONTROL!$C$22, $C$13, 100%, $E$13)</f>
        <v>27.164999999999999</v>
      </c>
      <c r="I819" s="64">
        <f>27.1652 * CHOOSE(CONTROL!$C$22, $C$13, 100%, $E$13)</f>
        <v>27.165199999999999</v>
      </c>
      <c r="J819" s="64">
        <f>16.6965 * CHOOSE(CONTROL!$C$22, $C$13, 100%, $E$13)</f>
        <v>16.6965</v>
      </c>
      <c r="K819" s="64">
        <f>16.6966 * CHOOSE(CONTROL!$C$22, $C$13, 100%, $E$13)</f>
        <v>16.6966</v>
      </c>
    </row>
    <row r="820" spans="1:11" ht="15">
      <c r="A820" s="13">
        <v>66597</v>
      </c>
      <c r="B820" s="63">
        <f>14.117 * CHOOSE(CONTROL!$C$22, $C$13, 100%, $E$13)</f>
        <v>14.117000000000001</v>
      </c>
      <c r="C820" s="63">
        <f>14.117 * CHOOSE(CONTROL!$C$22, $C$13, 100%, $E$13)</f>
        <v>14.117000000000001</v>
      </c>
      <c r="D820" s="63">
        <f>14.1428 * CHOOSE(CONTROL!$C$22, $C$13, 100%, $E$13)</f>
        <v>14.142799999999999</v>
      </c>
      <c r="E820" s="64">
        <f>16.7541 * CHOOSE(CONTROL!$C$22, $C$13, 100%, $E$13)</f>
        <v>16.754100000000001</v>
      </c>
      <c r="F820" s="64">
        <f>16.7541 * CHOOSE(CONTROL!$C$22, $C$13, 100%, $E$13)</f>
        <v>16.754100000000001</v>
      </c>
      <c r="G820" s="64">
        <f>16.7557 * CHOOSE(CONTROL!$C$22, $C$13, 100%, $E$13)</f>
        <v>16.755700000000001</v>
      </c>
      <c r="H820" s="64">
        <f>27.2216* CHOOSE(CONTROL!$C$22, $C$13, 100%, $E$13)</f>
        <v>27.221599999999999</v>
      </c>
      <c r="I820" s="64">
        <f>27.2232 * CHOOSE(CONTROL!$C$22, $C$13, 100%, $E$13)</f>
        <v>27.223199999999999</v>
      </c>
      <c r="J820" s="64">
        <f>16.7541 * CHOOSE(CONTROL!$C$22, $C$13, 100%, $E$13)</f>
        <v>16.754100000000001</v>
      </c>
      <c r="K820" s="64">
        <f>16.7557 * CHOOSE(CONTROL!$C$22, $C$13, 100%, $E$13)</f>
        <v>16.755700000000001</v>
      </c>
    </row>
    <row r="821" spans="1:11" ht="15">
      <c r="A821" s="13">
        <v>66628</v>
      </c>
      <c r="B821" s="63">
        <f>14.1231 * CHOOSE(CONTROL!$C$22, $C$13, 100%, $E$13)</f>
        <v>14.123100000000001</v>
      </c>
      <c r="C821" s="63">
        <f>14.1231 * CHOOSE(CONTROL!$C$22, $C$13, 100%, $E$13)</f>
        <v>14.123100000000001</v>
      </c>
      <c r="D821" s="63">
        <f>14.1488 * CHOOSE(CONTROL!$C$22, $C$13, 100%, $E$13)</f>
        <v>14.1488</v>
      </c>
      <c r="E821" s="64">
        <f>16.7007 * CHOOSE(CONTROL!$C$22, $C$13, 100%, $E$13)</f>
        <v>16.700700000000001</v>
      </c>
      <c r="F821" s="64">
        <f>16.7007 * CHOOSE(CONTROL!$C$22, $C$13, 100%, $E$13)</f>
        <v>16.700700000000001</v>
      </c>
      <c r="G821" s="64">
        <f>16.7023 * CHOOSE(CONTROL!$C$22, $C$13, 100%, $E$13)</f>
        <v>16.702300000000001</v>
      </c>
      <c r="H821" s="64">
        <f>27.2783* CHOOSE(CONTROL!$C$22, $C$13, 100%, $E$13)</f>
        <v>27.278300000000002</v>
      </c>
      <c r="I821" s="64">
        <f>27.2799 * CHOOSE(CONTROL!$C$22, $C$13, 100%, $E$13)</f>
        <v>27.279900000000001</v>
      </c>
      <c r="J821" s="64">
        <f>16.7007 * CHOOSE(CONTROL!$C$22, $C$13, 100%, $E$13)</f>
        <v>16.700700000000001</v>
      </c>
      <c r="K821" s="64">
        <f>16.7023 * CHOOSE(CONTROL!$C$22, $C$13, 100%, $E$13)</f>
        <v>16.702300000000001</v>
      </c>
    </row>
    <row r="822" spans="1:11" ht="15">
      <c r="A822" s="13">
        <v>66658</v>
      </c>
      <c r="B822" s="63">
        <f>14.3448 * CHOOSE(CONTROL!$C$22, $C$13, 100%, $E$13)</f>
        <v>14.344799999999999</v>
      </c>
      <c r="C822" s="63">
        <f>14.3448 * CHOOSE(CONTROL!$C$22, $C$13, 100%, $E$13)</f>
        <v>14.344799999999999</v>
      </c>
      <c r="D822" s="63">
        <f>14.3705 * CHOOSE(CONTROL!$C$22, $C$13, 100%, $E$13)</f>
        <v>14.3705</v>
      </c>
      <c r="E822" s="64">
        <f>17.0188 * CHOOSE(CONTROL!$C$22, $C$13, 100%, $E$13)</f>
        <v>17.018799999999999</v>
      </c>
      <c r="F822" s="64">
        <f>17.0188 * CHOOSE(CONTROL!$C$22, $C$13, 100%, $E$13)</f>
        <v>17.018799999999999</v>
      </c>
      <c r="G822" s="64">
        <f>17.0205 * CHOOSE(CONTROL!$C$22, $C$13, 100%, $E$13)</f>
        <v>17.020499999999998</v>
      </c>
      <c r="H822" s="64">
        <f>27.3351* CHOOSE(CONTROL!$C$22, $C$13, 100%, $E$13)</f>
        <v>27.335100000000001</v>
      </c>
      <c r="I822" s="64">
        <f>27.3368 * CHOOSE(CONTROL!$C$22, $C$13, 100%, $E$13)</f>
        <v>27.3368</v>
      </c>
      <c r="J822" s="64">
        <f>17.0188 * CHOOSE(CONTROL!$C$22, $C$13, 100%, $E$13)</f>
        <v>17.018799999999999</v>
      </c>
      <c r="K822" s="64">
        <f>17.0205 * CHOOSE(CONTROL!$C$22, $C$13, 100%, $E$13)</f>
        <v>17.020499999999998</v>
      </c>
    </row>
    <row r="823" spans="1:11" ht="15">
      <c r="A823" s="13">
        <v>66689</v>
      </c>
      <c r="B823" s="63">
        <f>14.3515 * CHOOSE(CONTROL!$C$22, $C$13, 100%, $E$13)</f>
        <v>14.3515</v>
      </c>
      <c r="C823" s="63">
        <f>14.3515 * CHOOSE(CONTROL!$C$22, $C$13, 100%, $E$13)</f>
        <v>14.3515</v>
      </c>
      <c r="D823" s="63">
        <f>14.3772 * CHOOSE(CONTROL!$C$22, $C$13, 100%, $E$13)</f>
        <v>14.3772</v>
      </c>
      <c r="E823" s="64">
        <f>16.8506 * CHOOSE(CONTROL!$C$22, $C$13, 100%, $E$13)</f>
        <v>16.8506</v>
      </c>
      <c r="F823" s="64">
        <f>16.8506 * CHOOSE(CONTROL!$C$22, $C$13, 100%, $E$13)</f>
        <v>16.8506</v>
      </c>
      <c r="G823" s="64">
        <f>16.8522 * CHOOSE(CONTROL!$C$22, $C$13, 100%, $E$13)</f>
        <v>16.8522</v>
      </c>
      <c r="H823" s="64">
        <f>27.3921* CHOOSE(CONTROL!$C$22, $C$13, 100%, $E$13)</f>
        <v>27.392099999999999</v>
      </c>
      <c r="I823" s="64">
        <f>27.3937 * CHOOSE(CONTROL!$C$22, $C$13, 100%, $E$13)</f>
        <v>27.393699999999999</v>
      </c>
      <c r="J823" s="64">
        <f>16.8506 * CHOOSE(CONTROL!$C$22, $C$13, 100%, $E$13)</f>
        <v>16.8506</v>
      </c>
      <c r="K823" s="64">
        <f>16.8522 * CHOOSE(CONTROL!$C$22, $C$13, 100%, $E$13)</f>
        <v>16.8522</v>
      </c>
    </row>
    <row r="824" spans="1:11" ht="15">
      <c r="A824" s="13">
        <v>66720</v>
      </c>
      <c r="B824" s="63">
        <f>14.3484 * CHOOSE(CONTROL!$C$22, $C$13, 100%, $E$13)</f>
        <v>14.3484</v>
      </c>
      <c r="C824" s="63">
        <f>14.3484 * CHOOSE(CONTROL!$C$22, $C$13, 100%, $E$13)</f>
        <v>14.3484</v>
      </c>
      <c r="D824" s="63">
        <f>14.3742 * CHOOSE(CONTROL!$C$22, $C$13, 100%, $E$13)</f>
        <v>14.3742</v>
      </c>
      <c r="E824" s="64">
        <f>16.8292 * CHOOSE(CONTROL!$C$22, $C$13, 100%, $E$13)</f>
        <v>16.8292</v>
      </c>
      <c r="F824" s="64">
        <f>16.8292 * CHOOSE(CONTROL!$C$22, $C$13, 100%, $E$13)</f>
        <v>16.8292</v>
      </c>
      <c r="G824" s="64">
        <f>16.8309 * CHOOSE(CONTROL!$C$22, $C$13, 100%, $E$13)</f>
        <v>16.8309</v>
      </c>
      <c r="H824" s="64">
        <f>27.4491* CHOOSE(CONTROL!$C$22, $C$13, 100%, $E$13)</f>
        <v>27.449100000000001</v>
      </c>
      <c r="I824" s="64">
        <f>27.4508 * CHOOSE(CONTROL!$C$22, $C$13, 100%, $E$13)</f>
        <v>27.450800000000001</v>
      </c>
      <c r="J824" s="64">
        <f>16.8292 * CHOOSE(CONTROL!$C$22, $C$13, 100%, $E$13)</f>
        <v>16.8292</v>
      </c>
      <c r="K824" s="64">
        <f>16.8309 * CHOOSE(CONTROL!$C$22, $C$13, 100%, $E$13)</f>
        <v>16.8309</v>
      </c>
    </row>
    <row r="825" spans="1:11" ht="15">
      <c r="A825" s="13">
        <v>66750</v>
      </c>
      <c r="B825" s="63">
        <f>14.3775 * CHOOSE(CONTROL!$C$22, $C$13, 100%, $E$13)</f>
        <v>14.3775</v>
      </c>
      <c r="C825" s="63">
        <f>14.3775 * CHOOSE(CONTROL!$C$22, $C$13, 100%, $E$13)</f>
        <v>14.3775</v>
      </c>
      <c r="D825" s="63">
        <f>14.3903 * CHOOSE(CONTROL!$C$22, $C$13, 100%, $E$13)</f>
        <v>14.3903</v>
      </c>
      <c r="E825" s="64">
        <f>16.8927 * CHOOSE(CONTROL!$C$22, $C$13, 100%, $E$13)</f>
        <v>16.892700000000001</v>
      </c>
      <c r="F825" s="64">
        <f>16.8927 * CHOOSE(CONTROL!$C$22, $C$13, 100%, $E$13)</f>
        <v>16.892700000000001</v>
      </c>
      <c r="G825" s="64">
        <f>16.8928 * CHOOSE(CONTROL!$C$22, $C$13, 100%, $E$13)</f>
        <v>16.892800000000001</v>
      </c>
      <c r="H825" s="64">
        <f>27.5063* CHOOSE(CONTROL!$C$22, $C$13, 100%, $E$13)</f>
        <v>27.5063</v>
      </c>
      <c r="I825" s="64">
        <f>27.5065 * CHOOSE(CONTROL!$C$22, $C$13, 100%, $E$13)</f>
        <v>27.506499999999999</v>
      </c>
      <c r="J825" s="64">
        <f>16.8927 * CHOOSE(CONTROL!$C$22, $C$13, 100%, $E$13)</f>
        <v>16.892700000000001</v>
      </c>
      <c r="K825" s="64">
        <f>16.8928 * CHOOSE(CONTROL!$C$22, $C$13, 100%, $E$13)</f>
        <v>16.892800000000001</v>
      </c>
    </row>
    <row r="826" spans="1:11" ht="15">
      <c r="A826" s="13">
        <v>66781</v>
      </c>
      <c r="B826" s="63">
        <f>14.3805 * CHOOSE(CONTROL!$C$22, $C$13, 100%, $E$13)</f>
        <v>14.3805</v>
      </c>
      <c r="C826" s="63">
        <f>14.3805 * CHOOSE(CONTROL!$C$22, $C$13, 100%, $E$13)</f>
        <v>14.3805</v>
      </c>
      <c r="D826" s="63">
        <f>14.3934 * CHOOSE(CONTROL!$C$22, $C$13, 100%, $E$13)</f>
        <v>14.3934</v>
      </c>
      <c r="E826" s="64">
        <f>16.9332 * CHOOSE(CONTROL!$C$22, $C$13, 100%, $E$13)</f>
        <v>16.933199999999999</v>
      </c>
      <c r="F826" s="64">
        <f>16.9332 * CHOOSE(CONTROL!$C$22, $C$13, 100%, $E$13)</f>
        <v>16.933199999999999</v>
      </c>
      <c r="G826" s="64">
        <f>16.9334 * CHOOSE(CONTROL!$C$22, $C$13, 100%, $E$13)</f>
        <v>16.933399999999999</v>
      </c>
      <c r="H826" s="64">
        <f>27.5636* CHOOSE(CONTROL!$C$22, $C$13, 100%, $E$13)</f>
        <v>27.563600000000001</v>
      </c>
      <c r="I826" s="64">
        <f>27.5638 * CHOOSE(CONTROL!$C$22, $C$13, 100%, $E$13)</f>
        <v>27.563800000000001</v>
      </c>
      <c r="J826" s="64">
        <f>16.9332 * CHOOSE(CONTROL!$C$22, $C$13, 100%, $E$13)</f>
        <v>16.933199999999999</v>
      </c>
      <c r="K826" s="64">
        <f>16.9334 * CHOOSE(CONTROL!$C$22, $C$13, 100%, $E$13)</f>
        <v>16.933399999999999</v>
      </c>
    </row>
    <row r="827" spans="1:11" ht="15">
      <c r="A827" s="13">
        <v>66811</v>
      </c>
      <c r="B827" s="63">
        <f>14.3805 * CHOOSE(CONTROL!$C$22, $C$13, 100%, $E$13)</f>
        <v>14.3805</v>
      </c>
      <c r="C827" s="63">
        <f>14.3805 * CHOOSE(CONTROL!$C$22, $C$13, 100%, $E$13)</f>
        <v>14.3805</v>
      </c>
      <c r="D827" s="63">
        <f>14.3934 * CHOOSE(CONTROL!$C$22, $C$13, 100%, $E$13)</f>
        <v>14.3934</v>
      </c>
      <c r="E827" s="64">
        <f>16.8371 * CHOOSE(CONTROL!$C$22, $C$13, 100%, $E$13)</f>
        <v>16.8371</v>
      </c>
      <c r="F827" s="64">
        <f>16.8371 * CHOOSE(CONTROL!$C$22, $C$13, 100%, $E$13)</f>
        <v>16.8371</v>
      </c>
      <c r="G827" s="64">
        <f>16.8373 * CHOOSE(CONTROL!$C$22, $C$13, 100%, $E$13)</f>
        <v>16.837299999999999</v>
      </c>
      <c r="H827" s="64">
        <f>27.6211* CHOOSE(CONTROL!$C$22, $C$13, 100%, $E$13)</f>
        <v>27.621099999999998</v>
      </c>
      <c r="I827" s="64">
        <f>27.6212 * CHOOSE(CONTROL!$C$22, $C$13, 100%, $E$13)</f>
        <v>27.621200000000002</v>
      </c>
      <c r="J827" s="64">
        <f>16.8371 * CHOOSE(CONTROL!$C$22, $C$13, 100%, $E$13)</f>
        <v>16.8371</v>
      </c>
      <c r="K827" s="64">
        <f>16.8373 * CHOOSE(CONTROL!$C$22, $C$13, 100%, $E$13)</f>
        <v>16.837299999999999</v>
      </c>
    </row>
    <row r="828" spans="1:11" ht="15">
      <c r="A828" s="13">
        <v>66842</v>
      </c>
      <c r="B828" s="63">
        <f>14.3621 * CHOOSE(CONTROL!$C$22, $C$13, 100%, $E$13)</f>
        <v>14.3621</v>
      </c>
      <c r="C828" s="63">
        <f>14.3621 * CHOOSE(CONTROL!$C$22, $C$13, 100%, $E$13)</f>
        <v>14.3621</v>
      </c>
      <c r="D828" s="63">
        <f>14.375 * CHOOSE(CONTROL!$C$22, $C$13, 100%, $E$13)</f>
        <v>14.375</v>
      </c>
      <c r="E828" s="64">
        <f>16.8821 * CHOOSE(CONTROL!$C$22, $C$13, 100%, $E$13)</f>
        <v>16.882100000000001</v>
      </c>
      <c r="F828" s="64">
        <f>16.8821 * CHOOSE(CONTROL!$C$22, $C$13, 100%, $E$13)</f>
        <v>16.882100000000001</v>
      </c>
      <c r="G828" s="64">
        <f>16.8822 * CHOOSE(CONTROL!$C$22, $C$13, 100%, $E$13)</f>
        <v>16.882200000000001</v>
      </c>
      <c r="H828" s="64">
        <f>27.4418* CHOOSE(CONTROL!$C$22, $C$13, 100%, $E$13)</f>
        <v>27.441800000000001</v>
      </c>
      <c r="I828" s="64">
        <f>27.442 * CHOOSE(CONTROL!$C$22, $C$13, 100%, $E$13)</f>
        <v>27.442</v>
      </c>
      <c r="J828" s="64">
        <f>16.8821 * CHOOSE(CONTROL!$C$22, $C$13, 100%, $E$13)</f>
        <v>16.882100000000001</v>
      </c>
      <c r="K828" s="64">
        <f>16.8822 * CHOOSE(CONTROL!$C$22, $C$13, 100%, $E$13)</f>
        <v>16.882200000000001</v>
      </c>
    </row>
    <row r="829" spans="1:11" ht="15">
      <c r="A829" s="13">
        <v>66873</v>
      </c>
      <c r="B829" s="63">
        <f>14.3591 * CHOOSE(CONTROL!$C$22, $C$13, 100%, $E$13)</f>
        <v>14.3591</v>
      </c>
      <c r="C829" s="63">
        <f>14.3591 * CHOOSE(CONTROL!$C$22, $C$13, 100%, $E$13)</f>
        <v>14.3591</v>
      </c>
      <c r="D829" s="63">
        <f>14.372 * CHOOSE(CONTROL!$C$22, $C$13, 100%, $E$13)</f>
        <v>14.372</v>
      </c>
      <c r="E829" s="64">
        <f>16.6952 * CHOOSE(CONTROL!$C$22, $C$13, 100%, $E$13)</f>
        <v>16.6952</v>
      </c>
      <c r="F829" s="64">
        <f>16.6952 * CHOOSE(CONTROL!$C$22, $C$13, 100%, $E$13)</f>
        <v>16.6952</v>
      </c>
      <c r="G829" s="64">
        <f>16.6954 * CHOOSE(CONTROL!$C$22, $C$13, 100%, $E$13)</f>
        <v>16.695399999999999</v>
      </c>
      <c r="H829" s="64">
        <f>27.499* CHOOSE(CONTROL!$C$22, $C$13, 100%, $E$13)</f>
        <v>27.498999999999999</v>
      </c>
      <c r="I829" s="64">
        <f>27.4992 * CHOOSE(CONTROL!$C$22, $C$13, 100%, $E$13)</f>
        <v>27.499199999999998</v>
      </c>
      <c r="J829" s="64">
        <f>16.6952 * CHOOSE(CONTROL!$C$22, $C$13, 100%, $E$13)</f>
        <v>16.6952</v>
      </c>
      <c r="K829" s="64">
        <f>16.6954 * CHOOSE(CONTROL!$C$22, $C$13, 100%, $E$13)</f>
        <v>16.695399999999999</v>
      </c>
    </row>
    <row r="830" spans="1:11" ht="15">
      <c r="A830" s="13">
        <v>66901</v>
      </c>
      <c r="B830" s="63">
        <f>14.3561 * CHOOSE(CONTROL!$C$22, $C$13, 100%, $E$13)</f>
        <v>14.3561</v>
      </c>
      <c r="C830" s="63">
        <f>14.3561 * CHOOSE(CONTROL!$C$22, $C$13, 100%, $E$13)</f>
        <v>14.3561</v>
      </c>
      <c r="D830" s="63">
        <f>14.3689 * CHOOSE(CONTROL!$C$22, $C$13, 100%, $E$13)</f>
        <v>14.3689</v>
      </c>
      <c r="E830" s="64">
        <f>16.8387 * CHOOSE(CONTROL!$C$22, $C$13, 100%, $E$13)</f>
        <v>16.838699999999999</v>
      </c>
      <c r="F830" s="64">
        <f>16.8387 * CHOOSE(CONTROL!$C$22, $C$13, 100%, $E$13)</f>
        <v>16.838699999999999</v>
      </c>
      <c r="G830" s="64">
        <f>16.8389 * CHOOSE(CONTROL!$C$22, $C$13, 100%, $E$13)</f>
        <v>16.838899999999999</v>
      </c>
      <c r="H830" s="64">
        <f>27.5563* CHOOSE(CONTROL!$C$22, $C$13, 100%, $E$13)</f>
        <v>27.5563</v>
      </c>
      <c r="I830" s="64">
        <f>27.5564 * CHOOSE(CONTROL!$C$22, $C$13, 100%, $E$13)</f>
        <v>27.5564</v>
      </c>
      <c r="J830" s="64">
        <f>16.8387 * CHOOSE(CONTROL!$C$22, $C$13, 100%, $E$13)</f>
        <v>16.838699999999999</v>
      </c>
      <c r="K830" s="64">
        <f>16.8389 * CHOOSE(CONTROL!$C$22, $C$13, 100%, $E$13)</f>
        <v>16.838899999999999</v>
      </c>
    </row>
    <row r="831" spans="1:11" ht="15">
      <c r="A831" s="13">
        <v>66932</v>
      </c>
      <c r="B831" s="63">
        <f>14.3625 * CHOOSE(CONTROL!$C$22, $C$13, 100%, $E$13)</f>
        <v>14.362500000000001</v>
      </c>
      <c r="C831" s="63">
        <f>14.3625 * CHOOSE(CONTROL!$C$22, $C$13, 100%, $E$13)</f>
        <v>14.362500000000001</v>
      </c>
      <c r="D831" s="63">
        <f>14.3754 * CHOOSE(CONTROL!$C$22, $C$13, 100%, $E$13)</f>
        <v>14.375400000000001</v>
      </c>
      <c r="E831" s="64">
        <f>16.9909 * CHOOSE(CONTROL!$C$22, $C$13, 100%, $E$13)</f>
        <v>16.9909</v>
      </c>
      <c r="F831" s="64">
        <f>16.9909 * CHOOSE(CONTROL!$C$22, $C$13, 100%, $E$13)</f>
        <v>16.9909</v>
      </c>
      <c r="G831" s="64">
        <f>16.9911 * CHOOSE(CONTROL!$C$22, $C$13, 100%, $E$13)</f>
        <v>16.991099999999999</v>
      </c>
      <c r="H831" s="64">
        <f>27.6137* CHOOSE(CONTROL!$C$22, $C$13, 100%, $E$13)</f>
        <v>27.613700000000001</v>
      </c>
      <c r="I831" s="64">
        <f>27.6138 * CHOOSE(CONTROL!$C$22, $C$13, 100%, $E$13)</f>
        <v>27.613800000000001</v>
      </c>
      <c r="J831" s="64">
        <f>16.9909 * CHOOSE(CONTROL!$C$22, $C$13, 100%, $E$13)</f>
        <v>16.9909</v>
      </c>
      <c r="K831" s="64">
        <f>16.9911 * CHOOSE(CONTROL!$C$22, $C$13, 100%, $E$13)</f>
        <v>16.991099999999999</v>
      </c>
    </row>
    <row r="832" spans="1:11" ht="15">
      <c r="A832" s="13">
        <v>66962</v>
      </c>
      <c r="B832" s="63">
        <f>14.3625 * CHOOSE(CONTROL!$C$22, $C$13, 100%, $E$13)</f>
        <v>14.362500000000001</v>
      </c>
      <c r="C832" s="63">
        <f>14.3625 * CHOOSE(CONTROL!$C$22, $C$13, 100%, $E$13)</f>
        <v>14.362500000000001</v>
      </c>
      <c r="D832" s="63">
        <f>14.3883 * CHOOSE(CONTROL!$C$22, $C$13, 100%, $E$13)</f>
        <v>14.388299999999999</v>
      </c>
      <c r="E832" s="64">
        <f>17.0496 * CHOOSE(CONTROL!$C$22, $C$13, 100%, $E$13)</f>
        <v>17.049600000000002</v>
      </c>
      <c r="F832" s="64">
        <f>17.0496 * CHOOSE(CONTROL!$C$22, $C$13, 100%, $E$13)</f>
        <v>17.049600000000002</v>
      </c>
      <c r="G832" s="64">
        <f>17.0512 * CHOOSE(CONTROL!$C$22, $C$13, 100%, $E$13)</f>
        <v>17.051200000000001</v>
      </c>
      <c r="H832" s="64">
        <f>27.6712* CHOOSE(CONTROL!$C$22, $C$13, 100%, $E$13)</f>
        <v>27.671199999999999</v>
      </c>
      <c r="I832" s="64">
        <f>27.6728 * CHOOSE(CONTROL!$C$22, $C$13, 100%, $E$13)</f>
        <v>27.672799999999999</v>
      </c>
      <c r="J832" s="64">
        <f>17.0496 * CHOOSE(CONTROL!$C$22, $C$13, 100%, $E$13)</f>
        <v>17.049600000000002</v>
      </c>
      <c r="K832" s="64">
        <f>17.0512 * CHOOSE(CONTROL!$C$22, $C$13, 100%, $E$13)</f>
        <v>17.051200000000001</v>
      </c>
    </row>
    <row r="833" spans="1:11" ht="15">
      <c r="A833" s="13">
        <v>66993</v>
      </c>
      <c r="B833" s="63">
        <f>14.3686 * CHOOSE(CONTROL!$C$22, $C$13, 100%, $E$13)</f>
        <v>14.368600000000001</v>
      </c>
      <c r="C833" s="63">
        <f>14.3686 * CHOOSE(CONTROL!$C$22, $C$13, 100%, $E$13)</f>
        <v>14.368600000000001</v>
      </c>
      <c r="D833" s="63">
        <f>14.3944 * CHOOSE(CONTROL!$C$22, $C$13, 100%, $E$13)</f>
        <v>14.394399999999999</v>
      </c>
      <c r="E833" s="64">
        <f>16.9951 * CHOOSE(CONTROL!$C$22, $C$13, 100%, $E$13)</f>
        <v>16.995100000000001</v>
      </c>
      <c r="F833" s="64">
        <f>16.9951 * CHOOSE(CONTROL!$C$22, $C$13, 100%, $E$13)</f>
        <v>16.995100000000001</v>
      </c>
      <c r="G833" s="64">
        <f>16.9968 * CHOOSE(CONTROL!$C$22, $C$13, 100%, $E$13)</f>
        <v>16.9968</v>
      </c>
      <c r="H833" s="64">
        <f>27.7288* CHOOSE(CONTROL!$C$22, $C$13, 100%, $E$13)</f>
        <v>27.7288</v>
      </c>
      <c r="I833" s="64">
        <f>27.7305 * CHOOSE(CONTROL!$C$22, $C$13, 100%, $E$13)</f>
        <v>27.730499999999999</v>
      </c>
      <c r="J833" s="64">
        <f>16.9951 * CHOOSE(CONTROL!$C$22, $C$13, 100%, $E$13)</f>
        <v>16.995100000000001</v>
      </c>
      <c r="K833" s="64">
        <f>16.9968 * CHOOSE(CONTROL!$C$22, $C$13, 100%, $E$13)</f>
        <v>16.9968</v>
      </c>
    </row>
    <row r="834" spans="1:11" ht="15">
      <c r="A834" s="13">
        <v>67023</v>
      </c>
      <c r="B834" s="63">
        <f>14.594 * CHOOSE(CONTROL!$C$22, $C$13, 100%, $E$13)</f>
        <v>14.593999999999999</v>
      </c>
      <c r="C834" s="63">
        <f>14.594 * CHOOSE(CONTROL!$C$22, $C$13, 100%, $E$13)</f>
        <v>14.593999999999999</v>
      </c>
      <c r="D834" s="63">
        <f>14.6198 * CHOOSE(CONTROL!$C$22, $C$13, 100%, $E$13)</f>
        <v>14.6198</v>
      </c>
      <c r="E834" s="64">
        <f>17.3187 * CHOOSE(CONTROL!$C$22, $C$13, 100%, $E$13)</f>
        <v>17.3187</v>
      </c>
      <c r="F834" s="64">
        <f>17.3187 * CHOOSE(CONTROL!$C$22, $C$13, 100%, $E$13)</f>
        <v>17.3187</v>
      </c>
      <c r="G834" s="64">
        <f>17.3203 * CHOOSE(CONTROL!$C$22, $C$13, 100%, $E$13)</f>
        <v>17.3203</v>
      </c>
      <c r="H834" s="64">
        <f>27.7866* CHOOSE(CONTROL!$C$22, $C$13, 100%, $E$13)</f>
        <v>27.7866</v>
      </c>
      <c r="I834" s="64">
        <f>27.7883 * CHOOSE(CONTROL!$C$22, $C$13, 100%, $E$13)</f>
        <v>27.7883</v>
      </c>
      <c r="J834" s="64">
        <f>17.3187 * CHOOSE(CONTROL!$C$22, $C$13, 100%, $E$13)</f>
        <v>17.3187</v>
      </c>
      <c r="K834" s="64">
        <f>17.3203 * CHOOSE(CONTROL!$C$22, $C$13, 100%, $E$13)</f>
        <v>17.3203</v>
      </c>
    </row>
    <row r="835" spans="1:11" ht="15">
      <c r="A835" s="13">
        <v>67054</v>
      </c>
      <c r="B835" s="63">
        <f>14.6007 * CHOOSE(CONTROL!$C$22, $C$13, 100%, $E$13)</f>
        <v>14.6007</v>
      </c>
      <c r="C835" s="63">
        <f>14.6007 * CHOOSE(CONTROL!$C$22, $C$13, 100%, $E$13)</f>
        <v>14.6007</v>
      </c>
      <c r="D835" s="63">
        <f>14.6264 * CHOOSE(CONTROL!$C$22, $C$13, 100%, $E$13)</f>
        <v>14.6264</v>
      </c>
      <c r="E835" s="64">
        <f>17.1474 * CHOOSE(CONTROL!$C$22, $C$13, 100%, $E$13)</f>
        <v>17.147400000000001</v>
      </c>
      <c r="F835" s="64">
        <f>17.1474 * CHOOSE(CONTROL!$C$22, $C$13, 100%, $E$13)</f>
        <v>17.147400000000001</v>
      </c>
      <c r="G835" s="64">
        <f>17.149 * CHOOSE(CONTROL!$C$22, $C$13, 100%, $E$13)</f>
        <v>17.149000000000001</v>
      </c>
      <c r="H835" s="64">
        <f>27.8445* CHOOSE(CONTROL!$C$22, $C$13, 100%, $E$13)</f>
        <v>27.8445</v>
      </c>
      <c r="I835" s="64">
        <f>27.8461 * CHOOSE(CONTROL!$C$22, $C$13, 100%, $E$13)</f>
        <v>27.8461</v>
      </c>
      <c r="J835" s="64">
        <f>17.1474 * CHOOSE(CONTROL!$C$22, $C$13, 100%, $E$13)</f>
        <v>17.147400000000001</v>
      </c>
      <c r="K835" s="64">
        <f>17.149 * CHOOSE(CONTROL!$C$22, $C$13, 100%, $E$13)</f>
        <v>17.149000000000001</v>
      </c>
    </row>
    <row r="836" spans="1:11" ht="15">
      <c r="A836" s="13">
        <v>67085</v>
      </c>
      <c r="B836" s="63">
        <f>14.5977 * CHOOSE(CONTROL!$C$22, $C$13, 100%, $E$13)</f>
        <v>14.5977</v>
      </c>
      <c r="C836" s="63">
        <f>14.5977 * CHOOSE(CONTROL!$C$22, $C$13, 100%, $E$13)</f>
        <v>14.5977</v>
      </c>
      <c r="D836" s="63">
        <f>14.6234 * CHOOSE(CONTROL!$C$22, $C$13, 100%, $E$13)</f>
        <v>14.6234</v>
      </c>
      <c r="E836" s="64">
        <f>17.1257 * CHOOSE(CONTROL!$C$22, $C$13, 100%, $E$13)</f>
        <v>17.125699999999998</v>
      </c>
      <c r="F836" s="64">
        <f>17.1257 * CHOOSE(CONTROL!$C$22, $C$13, 100%, $E$13)</f>
        <v>17.125699999999998</v>
      </c>
      <c r="G836" s="64">
        <f>17.1274 * CHOOSE(CONTROL!$C$22, $C$13, 100%, $E$13)</f>
        <v>17.127400000000002</v>
      </c>
      <c r="H836" s="64">
        <f>27.9025* CHOOSE(CONTROL!$C$22, $C$13, 100%, $E$13)</f>
        <v>27.9025</v>
      </c>
      <c r="I836" s="64">
        <f>27.9042 * CHOOSE(CONTROL!$C$22, $C$13, 100%, $E$13)</f>
        <v>27.904199999999999</v>
      </c>
      <c r="J836" s="64">
        <f>17.1257 * CHOOSE(CONTROL!$C$22, $C$13, 100%, $E$13)</f>
        <v>17.125699999999998</v>
      </c>
      <c r="K836" s="64">
        <f>17.1274 * CHOOSE(CONTROL!$C$22, $C$13, 100%, $E$13)</f>
        <v>17.127400000000002</v>
      </c>
    </row>
    <row r="837" spans="1:11" ht="15">
      <c r="A837" s="13">
        <v>67115</v>
      </c>
      <c r="B837" s="63">
        <f>14.6275 * CHOOSE(CONTROL!$C$22, $C$13, 100%, $E$13)</f>
        <v>14.6275</v>
      </c>
      <c r="C837" s="63">
        <f>14.6275 * CHOOSE(CONTROL!$C$22, $C$13, 100%, $E$13)</f>
        <v>14.6275</v>
      </c>
      <c r="D837" s="63">
        <f>14.6404 * CHOOSE(CONTROL!$C$22, $C$13, 100%, $E$13)</f>
        <v>14.6404</v>
      </c>
      <c r="E837" s="64">
        <f>17.1905 * CHOOSE(CONTROL!$C$22, $C$13, 100%, $E$13)</f>
        <v>17.1905</v>
      </c>
      <c r="F837" s="64">
        <f>17.1905 * CHOOSE(CONTROL!$C$22, $C$13, 100%, $E$13)</f>
        <v>17.1905</v>
      </c>
      <c r="G837" s="64">
        <f>17.1907 * CHOOSE(CONTROL!$C$22, $C$13, 100%, $E$13)</f>
        <v>17.1907</v>
      </c>
      <c r="H837" s="64">
        <f>27.9606* CHOOSE(CONTROL!$C$22, $C$13, 100%, $E$13)</f>
        <v>27.960599999999999</v>
      </c>
      <c r="I837" s="64">
        <f>27.9608 * CHOOSE(CONTROL!$C$22, $C$13, 100%, $E$13)</f>
        <v>27.960799999999999</v>
      </c>
      <c r="J837" s="64">
        <f>17.1905 * CHOOSE(CONTROL!$C$22, $C$13, 100%, $E$13)</f>
        <v>17.1905</v>
      </c>
      <c r="K837" s="64">
        <f>17.1907 * CHOOSE(CONTROL!$C$22, $C$13, 100%, $E$13)</f>
        <v>17.1907</v>
      </c>
    </row>
    <row r="838" spans="1:11" ht="15">
      <c r="A838" s="13">
        <v>67146</v>
      </c>
      <c r="B838" s="63">
        <f>14.6305 * CHOOSE(CONTROL!$C$22, $C$13, 100%, $E$13)</f>
        <v>14.6305</v>
      </c>
      <c r="C838" s="63">
        <f>14.6305 * CHOOSE(CONTROL!$C$22, $C$13, 100%, $E$13)</f>
        <v>14.6305</v>
      </c>
      <c r="D838" s="63">
        <f>14.6434 * CHOOSE(CONTROL!$C$22, $C$13, 100%, $E$13)</f>
        <v>14.6434</v>
      </c>
      <c r="E838" s="64">
        <f>17.2317 * CHOOSE(CONTROL!$C$22, $C$13, 100%, $E$13)</f>
        <v>17.2317</v>
      </c>
      <c r="F838" s="64">
        <f>17.2317 * CHOOSE(CONTROL!$C$22, $C$13, 100%, $E$13)</f>
        <v>17.2317</v>
      </c>
      <c r="G838" s="64">
        <f>17.2319 * CHOOSE(CONTROL!$C$22, $C$13, 100%, $E$13)</f>
        <v>17.2319</v>
      </c>
      <c r="H838" s="64">
        <f>28.0189* CHOOSE(CONTROL!$C$22, $C$13, 100%, $E$13)</f>
        <v>28.018899999999999</v>
      </c>
      <c r="I838" s="64">
        <f>28.0191 * CHOOSE(CONTROL!$C$22, $C$13, 100%, $E$13)</f>
        <v>28.019100000000002</v>
      </c>
      <c r="J838" s="64">
        <f>17.2317 * CHOOSE(CONTROL!$C$22, $C$13, 100%, $E$13)</f>
        <v>17.2317</v>
      </c>
      <c r="K838" s="64">
        <f>17.2319 * CHOOSE(CONTROL!$C$22, $C$13, 100%, $E$13)</f>
        <v>17.2319</v>
      </c>
    </row>
    <row r="839" spans="1:11" ht="15">
      <c r="A839" s="13">
        <v>67176</v>
      </c>
      <c r="B839" s="63">
        <f>14.6305 * CHOOSE(CONTROL!$C$22, $C$13, 100%, $E$13)</f>
        <v>14.6305</v>
      </c>
      <c r="C839" s="63">
        <f>14.6305 * CHOOSE(CONTROL!$C$22, $C$13, 100%, $E$13)</f>
        <v>14.6305</v>
      </c>
      <c r="D839" s="63">
        <f>14.6434 * CHOOSE(CONTROL!$C$22, $C$13, 100%, $E$13)</f>
        <v>14.6434</v>
      </c>
      <c r="E839" s="64">
        <f>17.134 * CHOOSE(CONTROL!$C$22, $C$13, 100%, $E$13)</f>
        <v>17.134</v>
      </c>
      <c r="F839" s="64">
        <f>17.134 * CHOOSE(CONTROL!$C$22, $C$13, 100%, $E$13)</f>
        <v>17.134</v>
      </c>
      <c r="G839" s="64">
        <f>17.1342 * CHOOSE(CONTROL!$C$22, $C$13, 100%, $E$13)</f>
        <v>17.1342</v>
      </c>
      <c r="H839" s="64">
        <f>28.0773* CHOOSE(CONTROL!$C$22, $C$13, 100%, $E$13)</f>
        <v>28.077300000000001</v>
      </c>
      <c r="I839" s="64">
        <f>28.0774 * CHOOSE(CONTROL!$C$22, $C$13, 100%, $E$13)</f>
        <v>28.077400000000001</v>
      </c>
      <c r="J839" s="64">
        <f>17.134 * CHOOSE(CONTROL!$C$22, $C$13, 100%, $E$13)</f>
        <v>17.134</v>
      </c>
      <c r="K839" s="64">
        <f>17.1342 * CHOOSE(CONTROL!$C$22, $C$13, 100%, $E$13)</f>
        <v>17.1342</v>
      </c>
    </row>
    <row r="840" spans="1:11" ht="15">
      <c r="A840" s="13">
        <v>67207</v>
      </c>
      <c r="B840" s="63">
        <f>14.6075 * CHOOSE(CONTROL!$C$22, $C$13, 100%, $E$13)</f>
        <v>14.6075</v>
      </c>
      <c r="C840" s="63">
        <f>14.6075 * CHOOSE(CONTROL!$C$22, $C$13, 100%, $E$13)</f>
        <v>14.6075</v>
      </c>
      <c r="D840" s="63">
        <f>14.6203 * CHOOSE(CONTROL!$C$22, $C$13, 100%, $E$13)</f>
        <v>14.6203</v>
      </c>
      <c r="E840" s="64">
        <f>17.1745 * CHOOSE(CONTROL!$C$22, $C$13, 100%, $E$13)</f>
        <v>17.174499999999998</v>
      </c>
      <c r="F840" s="64">
        <f>17.1745 * CHOOSE(CONTROL!$C$22, $C$13, 100%, $E$13)</f>
        <v>17.174499999999998</v>
      </c>
      <c r="G840" s="64">
        <f>17.1747 * CHOOSE(CONTROL!$C$22, $C$13, 100%, $E$13)</f>
        <v>17.174700000000001</v>
      </c>
      <c r="H840" s="64">
        <f>27.8877* CHOOSE(CONTROL!$C$22, $C$13, 100%, $E$13)</f>
        <v>27.887699999999999</v>
      </c>
      <c r="I840" s="64">
        <f>27.8879 * CHOOSE(CONTROL!$C$22, $C$13, 100%, $E$13)</f>
        <v>27.887899999999998</v>
      </c>
      <c r="J840" s="64">
        <f>17.1745 * CHOOSE(CONTROL!$C$22, $C$13, 100%, $E$13)</f>
        <v>17.174499999999998</v>
      </c>
      <c r="K840" s="64">
        <f>17.1747 * CHOOSE(CONTROL!$C$22, $C$13, 100%, $E$13)</f>
        <v>17.174700000000001</v>
      </c>
    </row>
    <row r="841" spans="1:11" ht="15">
      <c r="A841" s="13">
        <v>67238</v>
      </c>
      <c r="B841" s="63">
        <f>14.6044 * CHOOSE(CONTROL!$C$22, $C$13, 100%, $E$13)</f>
        <v>14.6044</v>
      </c>
      <c r="C841" s="63">
        <f>14.6044 * CHOOSE(CONTROL!$C$22, $C$13, 100%, $E$13)</f>
        <v>14.6044</v>
      </c>
      <c r="D841" s="63">
        <f>14.6173 * CHOOSE(CONTROL!$C$22, $C$13, 100%, $E$13)</f>
        <v>14.6173</v>
      </c>
      <c r="E841" s="64">
        <f>16.9844 * CHOOSE(CONTROL!$C$22, $C$13, 100%, $E$13)</f>
        <v>16.984400000000001</v>
      </c>
      <c r="F841" s="64">
        <f>16.9844 * CHOOSE(CONTROL!$C$22, $C$13, 100%, $E$13)</f>
        <v>16.984400000000001</v>
      </c>
      <c r="G841" s="64">
        <f>16.9846 * CHOOSE(CONTROL!$C$22, $C$13, 100%, $E$13)</f>
        <v>16.9846</v>
      </c>
      <c r="H841" s="64">
        <f>27.9458* CHOOSE(CONTROL!$C$22, $C$13, 100%, $E$13)</f>
        <v>27.945799999999998</v>
      </c>
      <c r="I841" s="64">
        <f>27.946 * CHOOSE(CONTROL!$C$22, $C$13, 100%, $E$13)</f>
        <v>27.946000000000002</v>
      </c>
      <c r="J841" s="64">
        <f>16.9844 * CHOOSE(CONTROL!$C$22, $C$13, 100%, $E$13)</f>
        <v>16.984400000000001</v>
      </c>
      <c r="K841" s="64">
        <f>16.9846 * CHOOSE(CONTROL!$C$22, $C$13, 100%, $E$13)</f>
        <v>16.9846</v>
      </c>
    </row>
    <row r="842" spans="1:11" ht="15">
      <c r="A842" s="13">
        <v>67267</v>
      </c>
      <c r="B842" s="63">
        <f>14.6014 * CHOOSE(CONTROL!$C$22, $C$13, 100%, $E$13)</f>
        <v>14.6014</v>
      </c>
      <c r="C842" s="63">
        <f>14.6014 * CHOOSE(CONTROL!$C$22, $C$13, 100%, $E$13)</f>
        <v>14.6014</v>
      </c>
      <c r="D842" s="63">
        <f>14.6142 * CHOOSE(CONTROL!$C$22, $C$13, 100%, $E$13)</f>
        <v>14.6142</v>
      </c>
      <c r="E842" s="64">
        <f>17.1305 * CHOOSE(CONTROL!$C$22, $C$13, 100%, $E$13)</f>
        <v>17.130500000000001</v>
      </c>
      <c r="F842" s="64">
        <f>17.1305 * CHOOSE(CONTROL!$C$22, $C$13, 100%, $E$13)</f>
        <v>17.130500000000001</v>
      </c>
      <c r="G842" s="64">
        <f>17.1306 * CHOOSE(CONTROL!$C$22, $C$13, 100%, $E$13)</f>
        <v>17.130600000000001</v>
      </c>
      <c r="H842" s="64">
        <f>28.004* CHOOSE(CONTROL!$C$22, $C$13, 100%, $E$13)</f>
        <v>28.004000000000001</v>
      </c>
      <c r="I842" s="64">
        <f>28.0042 * CHOOSE(CONTROL!$C$22, $C$13, 100%, $E$13)</f>
        <v>28.004200000000001</v>
      </c>
      <c r="J842" s="64">
        <f>17.1305 * CHOOSE(CONTROL!$C$22, $C$13, 100%, $E$13)</f>
        <v>17.130500000000001</v>
      </c>
      <c r="K842" s="64">
        <f>17.1306 * CHOOSE(CONTROL!$C$22, $C$13, 100%, $E$13)</f>
        <v>17.130600000000001</v>
      </c>
    </row>
    <row r="843" spans="1:11" ht="15">
      <c r="A843" s="13">
        <v>67298</v>
      </c>
      <c r="B843" s="63">
        <f>14.6081 * CHOOSE(CONTROL!$C$22, $C$13, 100%, $E$13)</f>
        <v>14.6081</v>
      </c>
      <c r="C843" s="63">
        <f>14.6081 * CHOOSE(CONTROL!$C$22, $C$13, 100%, $E$13)</f>
        <v>14.6081</v>
      </c>
      <c r="D843" s="63">
        <f>14.6209 * CHOOSE(CONTROL!$C$22, $C$13, 100%, $E$13)</f>
        <v>14.620900000000001</v>
      </c>
      <c r="E843" s="64">
        <f>17.2854 * CHOOSE(CONTROL!$C$22, $C$13, 100%, $E$13)</f>
        <v>17.285399999999999</v>
      </c>
      <c r="F843" s="64">
        <f>17.2854 * CHOOSE(CONTROL!$C$22, $C$13, 100%, $E$13)</f>
        <v>17.285399999999999</v>
      </c>
      <c r="G843" s="64">
        <f>17.2855 * CHOOSE(CONTROL!$C$22, $C$13, 100%, $E$13)</f>
        <v>17.285499999999999</v>
      </c>
      <c r="H843" s="64">
        <f>28.0624* CHOOSE(CONTROL!$C$22, $C$13, 100%, $E$13)</f>
        <v>28.0624</v>
      </c>
      <c r="I843" s="64">
        <f>28.0625 * CHOOSE(CONTROL!$C$22, $C$13, 100%, $E$13)</f>
        <v>28.0625</v>
      </c>
      <c r="J843" s="64">
        <f>17.2854 * CHOOSE(CONTROL!$C$22, $C$13, 100%, $E$13)</f>
        <v>17.285399999999999</v>
      </c>
      <c r="K843" s="64">
        <f>17.2855 * CHOOSE(CONTROL!$C$22, $C$13, 100%, $E$13)</f>
        <v>17.285499999999999</v>
      </c>
    </row>
    <row r="844" spans="1:11" ht="15">
      <c r="A844" s="13">
        <v>67328</v>
      </c>
      <c r="B844" s="63">
        <f>14.6081 * CHOOSE(CONTROL!$C$22, $C$13, 100%, $E$13)</f>
        <v>14.6081</v>
      </c>
      <c r="C844" s="63">
        <f>14.6081 * CHOOSE(CONTROL!$C$22, $C$13, 100%, $E$13)</f>
        <v>14.6081</v>
      </c>
      <c r="D844" s="63">
        <f>14.6338 * CHOOSE(CONTROL!$C$22, $C$13, 100%, $E$13)</f>
        <v>14.633800000000001</v>
      </c>
      <c r="E844" s="64">
        <f>17.345 * CHOOSE(CONTROL!$C$22, $C$13, 100%, $E$13)</f>
        <v>17.344999999999999</v>
      </c>
      <c r="F844" s="64">
        <f>17.345 * CHOOSE(CONTROL!$C$22, $C$13, 100%, $E$13)</f>
        <v>17.344999999999999</v>
      </c>
      <c r="G844" s="64">
        <f>17.3467 * CHOOSE(CONTROL!$C$22, $C$13, 100%, $E$13)</f>
        <v>17.346699999999998</v>
      </c>
      <c r="H844" s="64">
        <f>28.1208* CHOOSE(CONTROL!$C$22, $C$13, 100%, $E$13)</f>
        <v>28.120799999999999</v>
      </c>
      <c r="I844" s="64">
        <f>28.1225 * CHOOSE(CONTROL!$C$22, $C$13, 100%, $E$13)</f>
        <v>28.122499999999999</v>
      </c>
      <c r="J844" s="64">
        <f>17.345 * CHOOSE(CONTROL!$C$22, $C$13, 100%, $E$13)</f>
        <v>17.344999999999999</v>
      </c>
      <c r="K844" s="64">
        <f>17.3467 * CHOOSE(CONTROL!$C$22, $C$13, 100%, $E$13)</f>
        <v>17.346699999999998</v>
      </c>
    </row>
    <row r="845" spans="1:11" ht="15">
      <c r="A845" s="13">
        <v>67359</v>
      </c>
      <c r="B845" s="63">
        <f>14.6142 * CHOOSE(CONTROL!$C$22, $C$13, 100%, $E$13)</f>
        <v>14.6142</v>
      </c>
      <c r="C845" s="63">
        <f>14.6142 * CHOOSE(CONTROL!$C$22, $C$13, 100%, $E$13)</f>
        <v>14.6142</v>
      </c>
      <c r="D845" s="63">
        <f>14.6399 * CHOOSE(CONTROL!$C$22, $C$13, 100%, $E$13)</f>
        <v>14.639900000000001</v>
      </c>
      <c r="E845" s="64">
        <f>17.2896 * CHOOSE(CONTROL!$C$22, $C$13, 100%, $E$13)</f>
        <v>17.2896</v>
      </c>
      <c r="F845" s="64">
        <f>17.2896 * CHOOSE(CONTROL!$C$22, $C$13, 100%, $E$13)</f>
        <v>17.2896</v>
      </c>
      <c r="G845" s="64">
        <f>17.2912 * CHOOSE(CONTROL!$C$22, $C$13, 100%, $E$13)</f>
        <v>17.2912</v>
      </c>
      <c r="H845" s="64">
        <f>28.1794* CHOOSE(CONTROL!$C$22, $C$13, 100%, $E$13)</f>
        <v>28.179400000000001</v>
      </c>
      <c r="I845" s="64">
        <f>28.181 * CHOOSE(CONTROL!$C$22, $C$13, 100%, $E$13)</f>
        <v>28.181000000000001</v>
      </c>
      <c r="J845" s="64">
        <f>17.2896 * CHOOSE(CONTROL!$C$22, $C$13, 100%, $E$13)</f>
        <v>17.2896</v>
      </c>
      <c r="K845" s="64">
        <f>17.2912 * CHOOSE(CONTROL!$C$22, $C$13, 100%, $E$13)</f>
        <v>17.2912</v>
      </c>
    </row>
    <row r="846" spans="1:11" ht="15">
      <c r="A846" s="13">
        <v>67389</v>
      </c>
      <c r="B846" s="63">
        <f>14.8432 * CHOOSE(CONTROL!$C$22, $C$13, 100%, $E$13)</f>
        <v>14.8432</v>
      </c>
      <c r="C846" s="63">
        <f>14.8432 * CHOOSE(CONTROL!$C$22, $C$13, 100%, $E$13)</f>
        <v>14.8432</v>
      </c>
      <c r="D846" s="63">
        <f>14.869 * CHOOSE(CONTROL!$C$22, $C$13, 100%, $E$13)</f>
        <v>14.869</v>
      </c>
      <c r="E846" s="64">
        <f>17.6186 * CHOOSE(CONTROL!$C$22, $C$13, 100%, $E$13)</f>
        <v>17.618600000000001</v>
      </c>
      <c r="F846" s="64">
        <f>17.6186 * CHOOSE(CONTROL!$C$22, $C$13, 100%, $E$13)</f>
        <v>17.618600000000001</v>
      </c>
      <c r="G846" s="64">
        <f>17.6202 * CHOOSE(CONTROL!$C$22, $C$13, 100%, $E$13)</f>
        <v>17.620200000000001</v>
      </c>
      <c r="H846" s="64">
        <f>28.2381* CHOOSE(CONTROL!$C$22, $C$13, 100%, $E$13)</f>
        <v>28.238099999999999</v>
      </c>
      <c r="I846" s="64">
        <f>28.2398 * CHOOSE(CONTROL!$C$22, $C$13, 100%, $E$13)</f>
        <v>28.239799999999999</v>
      </c>
      <c r="J846" s="64">
        <f>17.6186 * CHOOSE(CONTROL!$C$22, $C$13, 100%, $E$13)</f>
        <v>17.618600000000001</v>
      </c>
      <c r="K846" s="64">
        <f>17.6202 * CHOOSE(CONTROL!$C$22, $C$13, 100%, $E$13)</f>
        <v>17.620200000000001</v>
      </c>
    </row>
    <row r="847" spans="1:11" ht="15">
      <c r="A847" s="13">
        <v>67420</v>
      </c>
      <c r="B847" s="63">
        <f>14.8499 * CHOOSE(CONTROL!$C$22, $C$13, 100%, $E$13)</f>
        <v>14.8499</v>
      </c>
      <c r="C847" s="63">
        <f>14.8499 * CHOOSE(CONTROL!$C$22, $C$13, 100%, $E$13)</f>
        <v>14.8499</v>
      </c>
      <c r="D847" s="63">
        <f>14.8757 * CHOOSE(CONTROL!$C$22, $C$13, 100%, $E$13)</f>
        <v>14.8757</v>
      </c>
      <c r="E847" s="64">
        <f>17.4442 * CHOOSE(CONTROL!$C$22, $C$13, 100%, $E$13)</f>
        <v>17.444199999999999</v>
      </c>
      <c r="F847" s="64">
        <f>17.4442 * CHOOSE(CONTROL!$C$22, $C$13, 100%, $E$13)</f>
        <v>17.444199999999999</v>
      </c>
      <c r="G847" s="64">
        <f>17.4459 * CHOOSE(CONTROL!$C$22, $C$13, 100%, $E$13)</f>
        <v>17.445900000000002</v>
      </c>
      <c r="H847" s="64">
        <f>28.2969* CHOOSE(CONTROL!$C$22, $C$13, 100%, $E$13)</f>
        <v>28.296900000000001</v>
      </c>
      <c r="I847" s="64">
        <f>28.2986 * CHOOSE(CONTROL!$C$22, $C$13, 100%, $E$13)</f>
        <v>28.2986</v>
      </c>
      <c r="J847" s="64">
        <f>17.4442 * CHOOSE(CONTROL!$C$22, $C$13, 100%, $E$13)</f>
        <v>17.444199999999999</v>
      </c>
      <c r="K847" s="64">
        <f>17.4459 * CHOOSE(CONTROL!$C$22, $C$13, 100%, $E$13)</f>
        <v>17.445900000000002</v>
      </c>
    </row>
    <row r="848" spans="1:11" ht="15">
      <c r="A848" s="13">
        <v>67451</v>
      </c>
      <c r="B848" s="63">
        <f>14.8469 * CHOOSE(CONTROL!$C$22, $C$13, 100%, $E$13)</f>
        <v>14.8469</v>
      </c>
      <c r="C848" s="63">
        <f>14.8469 * CHOOSE(CONTROL!$C$22, $C$13, 100%, $E$13)</f>
        <v>14.8469</v>
      </c>
      <c r="D848" s="63">
        <f>14.8726 * CHOOSE(CONTROL!$C$22, $C$13, 100%, $E$13)</f>
        <v>14.8726</v>
      </c>
      <c r="E848" s="64">
        <f>17.4222 * CHOOSE(CONTROL!$C$22, $C$13, 100%, $E$13)</f>
        <v>17.4222</v>
      </c>
      <c r="F848" s="64">
        <f>17.4222 * CHOOSE(CONTROL!$C$22, $C$13, 100%, $E$13)</f>
        <v>17.4222</v>
      </c>
      <c r="G848" s="64">
        <f>17.4238 * CHOOSE(CONTROL!$C$22, $C$13, 100%, $E$13)</f>
        <v>17.4238</v>
      </c>
      <c r="H848" s="64">
        <f>28.3559* CHOOSE(CONTROL!$C$22, $C$13, 100%, $E$13)</f>
        <v>28.355899999999998</v>
      </c>
      <c r="I848" s="64">
        <f>28.3575 * CHOOSE(CONTROL!$C$22, $C$13, 100%, $E$13)</f>
        <v>28.357500000000002</v>
      </c>
      <c r="J848" s="64">
        <f>17.4222 * CHOOSE(CONTROL!$C$22, $C$13, 100%, $E$13)</f>
        <v>17.4222</v>
      </c>
      <c r="K848" s="64">
        <f>17.4238 * CHOOSE(CONTROL!$C$22, $C$13, 100%, $E$13)</f>
        <v>17.4238</v>
      </c>
    </row>
    <row r="849" spans="1:11" ht="15">
      <c r="A849" s="13">
        <v>67481</v>
      </c>
      <c r="B849" s="63">
        <f>14.8775 * CHOOSE(CONTROL!$C$22, $C$13, 100%, $E$13)</f>
        <v>14.8775</v>
      </c>
      <c r="C849" s="63">
        <f>14.8775 * CHOOSE(CONTROL!$C$22, $C$13, 100%, $E$13)</f>
        <v>14.8775</v>
      </c>
      <c r="D849" s="63">
        <f>14.8904 * CHOOSE(CONTROL!$C$22, $C$13, 100%, $E$13)</f>
        <v>14.8904</v>
      </c>
      <c r="E849" s="64">
        <f>17.4884 * CHOOSE(CONTROL!$C$22, $C$13, 100%, $E$13)</f>
        <v>17.488399999999999</v>
      </c>
      <c r="F849" s="64">
        <f>17.4884 * CHOOSE(CONTROL!$C$22, $C$13, 100%, $E$13)</f>
        <v>17.488399999999999</v>
      </c>
      <c r="G849" s="64">
        <f>17.4885 * CHOOSE(CONTROL!$C$22, $C$13, 100%, $E$13)</f>
        <v>17.488499999999998</v>
      </c>
      <c r="H849" s="64">
        <f>28.415* CHOOSE(CONTROL!$C$22, $C$13, 100%, $E$13)</f>
        <v>28.414999999999999</v>
      </c>
      <c r="I849" s="64">
        <f>28.4151 * CHOOSE(CONTROL!$C$22, $C$13, 100%, $E$13)</f>
        <v>28.415099999999999</v>
      </c>
      <c r="J849" s="64">
        <f>17.4884 * CHOOSE(CONTROL!$C$22, $C$13, 100%, $E$13)</f>
        <v>17.488399999999999</v>
      </c>
      <c r="K849" s="64">
        <f>17.4885 * CHOOSE(CONTROL!$C$22, $C$13, 100%, $E$13)</f>
        <v>17.488499999999998</v>
      </c>
    </row>
    <row r="850" spans="1:11" ht="15">
      <c r="A850" s="13">
        <v>67512</v>
      </c>
      <c r="B850" s="63">
        <f>14.8806 * CHOOSE(CONTROL!$C$22, $C$13, 100%, $E$13)</f>
        <v>14.880599999999999</v>
      </c>
      <c r="C850" s="63">
        <f>14.8806 * CHOOSE(CONTROL!$C$22, $C$13, 100%, $E$13)</f>
        <v>14.880599999999999</v>
      </c>
      <c r="D850" s="63">
        <f>14.8934 * CHOOSE(CONTROL!$C$22, $C$13, 100%, $E$13)</f>
        <v>14.8934</v>
      </c>
      <c r="E850" s="64">
        <f>17.5303 * CHOOSE(CONTROL!$C$22, $C$13, 100%, $E$13)</f>
        <v>17.5303</v>
      </c>
      <c r="F850" s="64">
        <f>17.5303 * CHOOSE(CONTROL!$C$22, $C$13, 100%, $E$13)</f>
        <v>17.5303</v>
      </c>
      <c r="G850" s="64">
        <f>17.5304 * CHOOSE(CONTROL!$C$22, $C$13, 100%, $E$13)</f>
        <v>17.5304</v>
      </c>
      <c r="H850" s="64">
        <f>28.4742* CHOOSE(CONTROL!$C$22, $C$13, 100%, $E$13)</f>
        <v>28.4742</v>
      </c>
      <c r="I850" s="64">
        <f>28.4743 * CHOOSE(CONTROL!$C$22, $C$13, 100%, $E$13)</f>
        <v>28.474299999999999</v>
      </c>
      <c r="J850" s="64">
        <f>17.5303 * CHOOSE(CONTROL!$C$22, $C$13, 100%, $E$13)</f>
        <v>17.5303</v>
      </c>
      <c r="K850" s="64">
        <f>17.5304 * CHOOSE(CONTROL!$C$22, $C$13, 100%, $E$13)</f>
        <v>17.5304</v>
      </c>
    </row>
    <row r="851" spans="1:11" ht="15">
      <c r="A851" s="13">
        <v>67542</v>
      </c>
      <c r="B851" s="63">
        <f>14.8806 * CHOOSE(CONTROL!$C$22, $C$13, 100%, $E$13)</f>
        <v>14.880599999999999</v>
      </c>
      <c r="C851" s="63">
        <f>14.8806 * CHOOSE(CONTROL!$C$22, $C$13, 100%, $E$13)</f>
        <v>14.880599999999999</v>
      </c>
      <c r="D851" s="63">
        <f>14.8934 * CHOOSE(CONTROL!$C$22, $C$13, 100%, $E$13)</f>
        <v>14.8934</v>
      </c>
      <c r="E851" s="64">
        <f>17.4308 * CHOOSE(CONTROL!$C$22, $C$13, 100%, $E$13)</f>
        <v>17.430800000000001</v>
      </c>
      <c r="F851" s="64">
        <f>17.4308 * CHOOSE(CONTROL!$C$22, $C$13, 100%, $E$13)</f>
        <v>17.430800000000001</v>
      </c>
      <c r="G851" s="64">
        <f>17.431 * CHOOSE(CONTROL!$C$22, $C$13, 100%, $E$13)</f>
        <v>17.431000000000001</v>
      </c>
      <c r="H851" s="64">
        <f>28.5335* CHOOSE(CONTROL!$C$22, $C$13, 100%, $E$13)</f>
        <v>28.5335</v>
      </c>
      <c r="I851" s="64">
        <f>28.5337 * CHOOSE(CONTROL!$C$22, $C$13, 100%, $E$13)</f>
        <v>28.5337</v>
      </c>
      <c r="J851" s="64">
        <f>17.4308 * CHOOSE(CONTROL!$C$22, $C$13, 100%, $E$13)</f>
        <v>17.430800000000001</v>
      </c>
      <c r="K851" s="64">
        <f>17.431 * CHOOSE(CONTROL!$C$22, $C$13, 100%, $E$13)</f>
        <v>17.431000000000001</v>
      </c>
    </row>
    <row r="852" spans="1:11" ht="15">
      <c r="A852" s="13">
        <v>67573</v>
      </c>
      <c r="B852" s="63">
        <f>14.8528 * CHOOSE(CONTROL!$C$22, $C$13, 100%, $E$13)</f>
        <v>14.8528</v>
      </c>
      <c r="C852" s="63">
        <f>14.8528 * CHOOSE(CONTROL!$C$22, $C$13, 100%, $E$13)</f>
        <v>14.8528</v>
      </c>
      <c r="D852" s="63">
        <f>14.8656 * CHOOSE(CONTROL!$C$22, $C$13, 100%, $E$13)</f>
        <v>14.865600000000001</v>
      </c>
      <c r="E852" s="64">
        <f>17.4669 * CHOOSE(CONTROL!$C$22, $C$13, 100%, $E$13)</f>
        <v>17.466899999999999</v>
      </c>
      <c r="F852" s="64">
        <f>17.4669 * CHOOSE(CONTROL!$C$22, $C$13, 100%, $E$13)</f>
        <v>17.466899999999999</v>
      </c>
      <c r="G852" s="64">
        <f>17.4671 * CHOOSE(CONTROL!$C$22, $C$13, 100%, $E$13)</f>
        <v>17.467099999999999</v>
      </c>
      <c r="H852" s="64">
        <f>28.3336* CHOOSE(CONTROL!$C$22, $C$13, 100%, $E$13)</f>
        <v>28.333600000000001</v>
      </c>
      <c r="I852" s="64">
        <f>28.3338 * CHOOSE(CONTROL!$C$22, $C$13, 100%, $E$13)</f>
        <v>28.3338</v>
      </c>
      <c r="J852" s="64">
        <f>17.4669 * CHOOSE(CONTROL!$C$22, $C$13, 100%, $E$13)</f>
        <v>17.466899999999999</v>
      </c>
      <c r="K852" s="64">
        <f>17.4671 * CHOOSE(CONTROL!$C$22, $C$13, 100%, $E$13)</f>
        <v>17.467099999999999</v>
      </c>
    </row>
    <row r="853" spans="1:11" ht="15">
      <c r="A853" s="13">
        <v>67604</v>
      </c>
      <c r="B853" s="63">
        <f>14.8497 * CHOOSE(CONTROL!$C$22, $C$13, 100%, $E$13)</f>
        <v>14.8497</v>
      </c>
      <c r="C853" s="63">
        <f>14.8497 * CHOOSE(CONTROL!$C$22, $C$13, 100%, $E$13)</f>
        <v>14.8497</v>
      </c>
      <c r="D853" s="63">
        <f>14.8626 * CHOOSE(CONTROL!$C$22, $C$13, 100%, $E$13)</f>
        <v>14.8626</v>
      </c>
      <c r="E853" s="64">
        <f>17.2736 * CHOOSE(CONTROL!$C$22, $C$13, 100%, $E$13)</f>
        <v>17.273599999999998</v>
      </c>
      <c r="F853" s="64">
        <f>17.2736 * CHOOSE(CONTROL!$C$22, $C$13, 100%, $E$13)</f>
        <v>17.273599999999998</v>
      </c>
      <c r="G853" s="64">
        <f>17.2738 * CHOOSE(CONTROL!$C$22, $C$13, 100%, $E$13)</f>
        <v>17.273800000000001</v>
      </c>
      <c r="H853" s="64">
        <f>28.3926* CHOOSE(CONTROL!$C$22, $C$13, 100%, $E$13)</f>
        <v>28.392600000000002</v>
      </c>
      <c r="I853" s="64">
        <f>28.3928 * CHOOSE(CONTROL!$C$22, $C$13, 100%, $E$13)</f>
        <v>28.392800000000001</v>
      </c>
      <c r="J853" s="64">
        <f>17.2736 * CHOOSE(CONTROL!$C$22, $C$13, 100%, $E$13)</f>
        <v>17.273599999999998</v>
      </c>
      <c r="K853" s="64">
        <f>17.2738 * CHOOSE(CONTROL!$C$22, $C$13, 100%, $E$13)</f>
        <v>17.273800000000001</v>
      </c>
    </row>
    <row r="854" spans="1:11" ht="15">
      <c r="A854" s="13">
        <v>67632</v>
      </c>
      <c r="B854" s="63">
        <f>14.8467 * CHOOSE(CONTROL!$C$22, $C$13, 100%, $E$13)</f>
        <v>14.8467</v>
      </c>
      <c r="C854" s="63">
        <f>14.8467 * CHOOSE(CONTROL!$C$22, $C$13, 100%, $E$13)</f>
        <v>14.8467</v>
      </c>
      <c r="D854" s="63">
        <f>14.8596 * CHOOSE(CONTROL!$C$22, $C$13, 100%, $E$13)</f>
        <v>14.8596</v>
      </c>
      <c r="E854" s="64">
        <f>17.4222 * CHOOSE(CONTROL!$C$22, $C$13, 100%, $E$13)</f>
        <v>17.4222</v>
      </c>
      <c r="F854" s="64">
        <f>17.4222 * CHOOSE(CONTROL!$C$22, $C$13, 100%, $E$13)</f>
        <v>17.4222</v>
      </c>
      <c r="G854" s="64">
        <f>17.4224 * CHOOSE(CONTROL!$C$22, $C$13, 100%, $E$13)</f>
        <v>17.4224</v>
      </c>
      <c r="H854" s="64">
        <f>28.4518* CHOOSE(CONTROL!$C$22, $C$13, 100%, $E$13)</f>
        <v>28.451799999999999</v>
      </c>
      <c r="I854" s="64">
        <f>28.4519 * CHOOSE(CONTROL!$C$22, $C$13, 100%, $E$13)</f>
        <v>28.451899999999998</v>
      </c>
      <c r="J854" s="64">
        <f>17.4222 * CHOOSE(CONTROL!$C$22, $C$13, 100%, $E$13)</f>
        <v>17.4222</v>
      </c>
      <c r="K854" s="64">
        <f>17.4224 * CHOOSE(CONTROL!$C$22, $C$13, 100%, $E$13)</f>
        <v>17.4224</v>
      </c>
    </row>
    <row r="855" spans="1:11" ht="15">
      <c r="A855" s="13">
        <v>67663</v>
      </c>
      <c r="B855" s="63">
        <f>14.8536 * CHOOSE(CONTROL!$C$22, $C$13, 100%, $E$13)</f>
        <v>14.8536</v>
      </c>
      <c r="C855" s="63">
        <f>14.8536 * CHOOSE(CONTROL!$C$22, $C$13, 100%, $E$13)</f>
        <v>14.8536</v>
      </c>
      <c r="D855" s="63">
        <f>14.8665 * CHOOSE(CONTROL!$C$22, $C$13, 100%, $E$13)</f>
        <v>14.8665</v>
      </c>
      <c r="E855" s="64">
        <f>17.5798 * CHOOSE(CONTROL!$C$22, $C$13, 100%, $E$13)</f>
        <v>17.579799999999999</v>
      </c>
      <c r="F855" s="64">
        <f>17.5798 * CHOOSE(CONTROL!$C$22, $C$13, 100%, $E$13)</f>
        <v>17.579799999999999</v>
      </c>
      <c r="G855" s="64">
        <f>17.58 * CHOOSE(CONTROL!$C$22, $C$13, 100%, $E$13)</f>
        <v>17.579999999999998</v>
      </c>
      <c r="H855" s="64">
        <f>28.511* CHOOSE(CONTROL!$C$22, $C$13, 100%, $E$13)</f>
        <v>28.510999999999999</v>
      </c>
      <c r="I855" s="64">
        <f>28.5112 * CHOOSE(CONTROL!$C$22, $C$13, 100%, $E$13)</f>
        <v>28.511199999999999</v>
      </c>
      <c r="J855" s="64">
        <f>17.5798 * CHOOSE(CONTROL!$C$22, $C$13, 100%, $E$13)</f>
        <v>17.579799999999999</v>
      </c>
      <c r="K855" s="64">
        <f>17.58 * CHOOSE(CONTROL!$C$22, $C$13, 100%, $E$13)</f>
        <v>17.579999999999998</v>
      </c>
    </row>
    <row r="856" spans="1:11" ht="15">
      <c r="A856" s="13">
        <v>67693</v>
      </c>
      <c r="B856" s="63">
        <f>14.8536 * CHOOSE(CONTROL!$C$22, $C$13, 100%, $E$13)</f>
        <v>14.8536</v>
      </c>
      <c r="C856" s="63">
        <f>14.8536 * CHOOSE(CONTROL!$C$22, $C$13, 100%, $E$13)</f>
        <v>14.8536</v>
      </c>
      <c r="D856" s="63">
        <f>14.8793 * CHOOSE(CONTROL!$C$22, $C$13, 100%, $E$13)</f>
        <v>14.879300000000001</v>
      </c>
      <c r="E856" s="64">
        <f>17.6405 * CHOOSE(CONTROL!$C$22, $C$13, 100%, $E$13)</f>
        <v>17.640499999999999</v>
      </c>
      <c r="F856" s="64">
        <f>17.6405 * CHOOSE(CONTROL!$C$22, $C$13, 100%, $E$13)</f>
        <v>17.640499999999999</v>
      </c>
      <c r="G856" s="64">
        <f>17.6421 * CHOOSE(CONTROL!$C$22, $C$13, 100%, $E$13)</f>
        <v>17.642099999999999</v>
      </c>
      <c r="H856" s="64">
        <f>28.5704* CHOOSE(CONTROL!$C$22, $C$13, 100%, $E$13)</f>
        <v>28.570399999999999</v>
      </c>
      <c r="I856" s="64">
        <f>28.5721 * CHOOSE(CONTROL!$C$22, $C$13, 100%, $E$13)</f>
        <v>28.572099999999999</v>
      </c>
      <c r="J856" s="64">
        <f>17.6405 * CHOOSE(CONTROL!$C$22, $C$13, 100%, $E$13)</f>
        <v>17.640499999999999</v>
      </c>
      <c r="K856" s="64">
        <f>17.6421 * CHOOSE(CONTROL!$C$22, $C$13, 100%, $E$13)</f>
        <v>17.642099999999999</v>
      </c>
    </row>
    <row r="857" spans="1:11" ht="15">
      <c r="A857" s="13">
        <v>67724</v>
      </c>
      <c r="B857" s="63">
        <f>14.8597 * CHOOSE(CONTROL!$C$22, $C$13, 100%, $E$13)</f>
        <v>14.8597</v>
      </c>
      <c r="C857" s="63">
        <f>14.8597 * CHOOSE(CONTROL!$C$22, $C$13, 100%, $E$13)</f>
        <v>14.8597</v>
      </c>
      <c r="D857" s="63">
        <f>14.8854 * CHOOSE(CONTROL!$C$22, $C$13, 100%, $E$13)</f>
        <v>14.885400000000001</v>
      </c>
      <c r="E857" s="64">
        <f>17.584 * CHOOSE(CONTROL!$C$22, $C$13, 100%, $E$13)</f>
        <v>17.584</v>
      </c>
      <c r="F857" s="64">
        <f>17.584 * CHOOSE(CONTROL!$C$22, $C$13, 100%, $E$13)</f>
        <v>17.584</v>
      </c>
      <c r="G857" s="64">
        <f>17.5857 * CHOOSE(CONTROL!$C$22, $C$13, 100%, $E$13)</f>
        <v>17.585699999999999</v>
      </c>
      <c r="H857" s="64">
        <f>28.63* CHOOSE(CONTROL!$C$22, $C$13, 100%, $E$13)</f>
        <v>28.63</v>
      </c>
      <c r="I857" s="64">
        <f>28.6316 * CHOOSE(CONTROL!$C$22, $C$13, 100%, $E$13)</f>
        <v>28.631599999999999</v>
      </c>
      <c r="J857" s="64">
        <f>17.584 * CHOOSE(CONTROL!$C$22, $C$13, 100%, $E$13)</f>
        <v>17.584</v>
      </c>
      <c r="K857" s="64">
        <f>17.5857 * CHOOSE(CONTROL!$C$22, $C$13, 100%, $E$13)</f>
        <v>17.585699999999999</v>
      </c>
    </row>
    <row r="858" spans="1:11" ht="15">
      <c r="A858" s="13">
        <v>67754</v>
      </c>
      <c r="B858" s="63">
        <f>15.0924 * CHOOSE(CONTROL!$C$22, $C$13, 100%, $E$13)</f>
        <v>15.0924</v>
      </c>
      <c r="C858" s="63">
        <f>15.0924 * CHOOSE(CONTROL!$C$22, $C$13, 100%, $E$13)</f>
        <v>15.0924</v>
      </c>
      <c r="D858" s="63">
        <f>15.1182 * CHOOSE(CONTROL!$C$22, $C$13, 100%, $E$13)</f>
        <v>15.1182</v>
      </c>
      <c r="E858" s="64">
        <f>17.9185 * CHOOSE(CONTROL!$C$22, $C$13, 100%, $E$13)</f>
        <v>17.918500000000002</v>
      </c>
      <c r="F858" s="64">
        <f>17.9185 * CHOOSE(CONTROL!$C$22, $C$13, 100%, $E$13)</f>
        <v>17.918500000000002</v>
      </c>
      <c r="G858" s="64">
        <f>17.9201 * CHOOSE(CONTROL!$C$22, $C$13, 100%, $E$13)</f>
        <v>17.920100000000001</v>
      </c>
      <c r="H858" s="64">
        <f>28.6896* CHOOSE(CONTROL!$C$22, $C$13, 100%, $E$13)</f>
        <v>28.689599999999999</v>
      </c>
      <c r="I858" s="64">
        <f>28.6912 * CHOOSE(CONTROL!$C$22, $C$13, 100%, $E$13)</f>
        <v>28.691199999999998</v>
      </c>
      <c r="J858" s="64">
        <f>17.9185 * CHOOSE(CONTROL!$C$22, $C$13, 100%, $E$13)</f>
        <v>17.918500000000002</v>
      </c>
      <c r="K858" s="64">
        <f>17.9201 * CHOOSE(CONTROL!$C$22, $C$13, 100%, $E$13)</f>
        <v>17.920100000000001</v>
      </c>
    </row>
    <row r="859" spans="1:11" ht="15">
      <c r="A859" s="13">
        <v>67785</v>
      </c>
      <c r="B859" s="63">
        <f>15.0991 * CHOOSE(CONTROL!$C$22, $C$13, 100%, $E$13)</f>
        <v>15.0991</v>
      </c>
      <c r="C859" s="63">
        <f>15.0991 * CHOOSE(CONTROL!$C$22, $C$13, 100%, $E$13)</f>
        <v>15.0991</v>
      </c>
      <c r="D859" s="63">
        <f>15.1249 * CHOOSE(CONTROL!$C$22, $C$13, 100%, $E$13)</f>
        <v>15.1249</v>
      </c>
      <c r="E859" s="64">
        <f>17.7411 * CHOOSE(CONTROL!$C$22, $C$13, 100%, $E$13)</f>
        <v>17.741099999999999</v>
      </c>
      <c r="F859" s="64">
        <f>17.7411 * CHOOSE(CONTROL!$C$22, $C$13, 100%, $E$13)</f>
        <v>17.741099999999999</v>
      </c>
      <c r="G859" s="64">
        <f>17.7427 * CHOOSE(CONTROL!$C$22, $C$13, 100%, $E$13)</f>
        <v>17.742699999999999</v>
      </c>
      <c r="H859" s="64">
        <f>28.7494* CHOOSE(CONTROL!$C$22, $C$13, 100%, $E$13)</f>
        <v>28.749400000000001</v>
      </c>
      <c r="I859" s="64">
        <f>28.751 * CHOOSE(CONTROL!$C$22, $C$13, 100%, $E$13)</f>
        <v>28.751000000000001</v>
      </c>
      <c r="J859" s="64">
        <f>17.7411 * CHOOSE(CONTROL!$C$22, $C$13, 100%, $E$13)</f>
        <v>17.741099999999999</v>
      </c>
      <c r="K859" s="64">
        <f>17.7427 * CHOOSE(CONTROL!$C$22, $C$13, 100%, $E$13)</f>
        <v>17.742699999999999</v>
      </c>
    </row>
    <row r="860" spans="1:11" ht="15">
      <c r="A860" s="13">
        <v>67816</v>
      </c>
      <c r="B860" s="63">
        <f>15.0961 * CHOOSE(CONTROL!$C$22, $C$13, 100%, $E$13)</f>
        <v>15.0961</v>
      </c>
      <c r="C860" s="63">
        <f>15.0961 * CHOOSE(CONTROL!$C$22, $C$13, 100%, $E$13)</f>
        <v>15.0961</v>
      </c>
      <c r="D860" s="63">
        <f>15.1218 * CHOOSE(CONTROL!$C$22, $C$13, 100%, $E$13)</f>
        <v>15.1218</v>
      </c>
      <c r="E860" s="64">
        <f>17.7187 * CHOOSE(CONTROL!$C$22, $C$13, 100%, $E$13)</f>
        <v>17.718699999999998</v>
      </c>
      <c r="F860" s="64">
        <f>17.7187 * CHOOSE(CONTROL!$C$22, $C$13, 100%, $E$13)</f>
        <v>17.718699999999998</v>
      </c>
      <c r="G860" s="64">
        <f>17.7203 * CHOOSE(CONTROL!$C$22, $C$13, 100%, $E$13)</f>
        <v>17.720300000000002</v>
      </c>
      <c r="H860" s="64">
        <f>28.8093* CHOOSE(CONTROL!$C$22, $C$13, 100%, $E$13)</f>
        <v>28.8093</v>
      </c>
      <c r="I860" s="64">
        <f>28.8109 * CHOOSE(CONTROL!$C$22, $C$13, 100%, $E$13)</f>
        <v>28.8109</v>
      </c>
      <c r="J860" s="64">
        <f>17.7187 * CHOOSE(CONTROL!$C$22, $C$13, 100%, $E$13)</f>
        <v>17.718699999999998</v>
      </c>
      <c r="K860" s="64">
        <f>17.7203 * CHOOSE(CONTROL!$C$22, $C$13, 100%, $E$13)</f>
        <v>17.720300000000002</v>
      </c>
    </row>
    <row r="861" spans="1:11" ht="15">
      <c r="A861" s="13">
        <v>67846</v>
      </c>
      <c r="B861" s="63">
        <f>15.1275 * CHOOSE(CONTROL!$C$22, $C$13, 100%, $E$13)</f>
        <v>15.1275</v>
      </c>
      <c r="C861" s="63">
        <f>15.1275 * CHOOSE(CONTROL!$C$22, $C$13, 100%, $E$13)</f>
        <v>15.1275</v>
      </c>
      <c r="D861" s="63">
        <f>15.1404 * CHOOSE(CONTROL!$C$22, $C$13, 100%, $E$13)</f>
        <v>15.1404</v>
      </c>
      <c r="E861" s="64">
        <f>17.7862 * CHOOSE(CONTROL!$C$22, $C$13, 100%, $E$13)</f>
        <v>17.786200000000001</v>
      </c>
      <c r="F861" s="64">
        <f>17.7862 * CHOOSE(CONTROL!$C$22, $C$13, 100%, $E$13)</f>
        <v>17.786200000000001</v>
      </c>
      <c r="G861" s="64">
        <f>17.7864 * CHOOSE(CONTROL!$C$22, $C$13, 100%, $E$13)</f>
        <v>17.7864</v>
      </c>
      <c r="H861" s="64">
        <f>28.8693* CHOOSE(CONTROL!$C$22, $C$13, 100%, $E$13)</f>
        <v>28.869299999999999</v>
      </c>
      <c r="I861" s="64">
        <f>28.8695 * CHOOSE(CONTROL!$C$22, $C$13, 100%, $E$13)</f>
        <v>28.869499999999999</v>
      </c>
      <c r="J861" s="64">
        <f>17.7862 * CHOOSE(CONTROL!$C$22, $C$13, 100%, $E$13)</f>
        <v>17.786200000000001</v>
      </c>
      <c r="K861" s="64">
        <f>17.7864 * CHOOSE(CONTROL!$C$22, $C$13, 100%, $E$13)</f>
        <v>17.7864</v>
      </c>
    </row>
    <row r="862" spans="1:11" ht="15">
      <c r="A862" s="13">
        <v>67877</v>
      </c>
      <c r="B862" s="63">
        <f>15.1306 * CHOOSE(CONTROL!$C$22, $C$13, 100%, $E$13)</f>
        <v>15.130599999999999</v>
      </c>
      <c r="C862" s="63">
        <f>15.1306 * CHOOSE(CONTROL!$C$22, $C$13, 100%, $E$13)</f>
        <v>15.130599999999999</v>
      </c>
      <c r="D862" s="63">
        <f>15.1434 * CHOOSE(CONTROL!$C$22, $C$13, 100%, $E$13)</f>
        <v>15.1434</v>
      </c>
      <c r="E862" s="64">
        <f>17.8288 * CHOOSE(CONTROL!$C$22, $C$13, 100%, $E$13)</f>
        <v>17.828800000000001</v>
      </c>
      <c r="F862" s="64">
        <f>17.8288 * CHOOSE(CONTROL!$C$22, $C$13, 100%, $E$13)</f>
        <v>17.828800000000001</v>
      </c>
      <c r="G862" s="64">
        <f>17.829 * CHOOSE(CONTROL!$C$22, $C$13, 100%, $E$13)</f>
        <v>17.829000000000001</v>
      </c>
      <c r="H862" s="64">
        <f>28.9294* CHOOSE(CONTROL!$C$22, $C$13, 100%, $E$13)</f>
        <v>28.929400000000001</v>
      </c>
      <c r="I862" s="64">
        <f>28.9296 * CHOOSE(CONTROL!$C$22, $C$13, 100%, $E$13)</f>
        <v>28.929600000000001</v>
      </c>
      <c r="J862" s="64">
        <f>17.8288 * CHOOSE(CONTROL!$C$22, $C$13, 100%, $E$13)</f>
        <v>17.828800000000001</v>
      </c>
      <c r="K862" s="64">
        <f>17.829 * CHOOSE(CONTROL!$C$22, $C$13, 100%, $E$13)</f>
        <v>17.829000000000001</v>
      </c>
    </row>
    <row r="863" spans="1:11" ht="15">
      <c r="A863" s="13">
        <v>67907</v>
      </c>
      <c r="B863" s="63">
        <f>15.1306 * CHOOSE(CONTROL!$C$22, $C$13, 100%, $E$13)</f>
        <v>15.130599999999999</v>
      </c>
      <c r="C863" s="63">
        <f>15.1306 * CHOOSE(CONTROL!$C$22, $C$13, 100%, $E$13)</f>
        <v>15.130599999999999</v>
      </c>
      <c r="D863" s="63">
        <f>15.1434 * CHOOSE(CONTROL!$C$22, $C$13, 100%, $E$13)</f>
        <v>15.1434</v>
      </c>
      <c r="E863" s="64">
        <f>17.7276 * CHOOSE(CONTROL!$C$22, $C$13, 100%, $E$13)</f>
        <v>17.727599999999999</v>
      </c>
      <c r="F863" s="64">
        <f>17.7276 * CHOOSE(CONTROL!$C$22, $C$13, 100%, $E$13)</f>
        <v>17.727599999999999</v>
      </c>
      <c r="G863" s="64">
        <f>17.7278 * CHOOSE(CONTROL!$C$22, $C$13, 100%, $E$13)</f>
        <v>17.727799999999998</v>
      </c>
      <c r="H863" s="64">
        <f>28.9897* CHOOSE(CONTROL!$C$22, $C$13, 100%, $E$13)</f>
        <v>28.989699999999999</v>
      </c>
      <c r="I863" s="64">
        <f>28.9899 * CHOOSE(CONTROL!$C$22, $C$13, 100%, $E$13)</f>
        <v>28.989899999999999</v>
      </c>
      <c r="J863" s="64">
        <f>17.7276 * CHOOSE(CONTROL!$C$22, $C$13, 100%, $E$13)</f>
        <v>17.727599999999999</v>
      </c>
      <c r="K863" s="64">
        <f>17.7278 * CHOOSE(CONTROL!$C$22, $C$13, 100%, $E$13)</f>
        <v>17.727799999999998</v>
      </c>
    </row>
    <row r="864" spans="1:11" ht="15">
      <c r="A864" s="13">
        <v>67938</v>
      </c>
      <c r="B864" s="63">
        <f>15.0981 * CHOOSE(CONTROL!$C$22, $C$13, 100%, $E$13)</f>
        <v>15.098100000000001</v>
      </c>
      <c r="C864" s="63">
        <f>15.0981 * CHOOSE(CONTROL!$C$22, $C$13, 100%, $E$13)</f>
        <v>15.098100000000001</v>
      </c>
      <c r="D864" s="63">
        <f>15.111 * CHOOSE(CONTROL!$C$22, $C$13, 100%, $E$13)</f>
        <v>15.111000000000001</v>
      </c>
      <c r="E864" s="64">
        <f>17.7593 * CHOOSE(CONTROL!$C$22, $C$13, 100%, $E$13)</f>
        <v>17.7593</v>
      </c>
      <c r="F864" s="64">
        <f>17.7593 * CHOOSE(CONTROL!$C$22, $C$13, 100%, $E$13)</f>
        <v>17.7593</v>
      </c>
      <c r="G864" s="64">
        <f>17.7595 * CHOOSE(CONTROL!$C$22, $C$13, 100%, $E$13)</f>
        <v>17.759499999999999</v>
      </c>
      <c r="H864" s="64">
        <f>28.7795* CHOOSE(CONTROL!$C$22, $C$13, 100%, $E$13)</f>
        <v>28.779499999999999</v>
      </c>
      <c r="I864" s="64">
        <f>28.7797 * CHOOSE(CONTROL!$C$22, $C$13, 100%, $E$13)</f>
        <v>28.779699999999998</v>
      </c>
      <c r="J864" s="64">
        <f>17.7593 * CHOOSE(CONTROL!$C$22, $C$13, 100%, $E$13)</f>
        <v>17.7593</v>
      </c>
      <c r="K864" s="64">
        <f>17.7595 * CHOOSE(CONTROL!$C$22, $C$13, 100%, $E$13)</f>
        <v>17.759499999999999</v>
      </c>
    </row>
    <row r="865" spans="1:11" ht="15">
      <c r="A865" s="13">
        <v>67969</v>
      </c>
      <c r="B865" s="63">
        <f>15.0951 * CHOOSE(CONTROL!$C$22, $C$13, 100%, $E$13)</f>
        <v>15.0951</v>
      </c>
      <c r="C865" s="63">
        <f>15.0951 * CHOOSE(CONTROL!$C$22, $C$13, 100%, $E$13)</f>
        <v>15.0951</v>
      </c>
      <c r="D865" s="63">
        <f>15.1079 * CHOOSE(CONTROL!$C$22, $C$13, 100%, $E$13)</f>
        <v>15.107900000000001</v>
      </c>
      <c r="E865" s="64">
        <f>17.5628 * CHOOSE(CONTROL!$C$22, $C$13, 100%, $E$13)</f>
        <v>17.562799999999999</v>
      </c>
      <c r="F865" s="64">
        <f>17.5628 * CHOOSE(CONTROL!$C$22, $C$13, 100%, $E$13)</f>
        <v>17.562799999999999</v>
      </c>
      <c r="G865" s="64">
        <f>17.563 * CHOOSE(CONTROL!$C$22, $C$13, 100%, $E$13)</f>
        <v>17.562999999999999</v>
      </c>
      <c r="H865" s="64">
        <f>28.8394* CHOOSE(CONTROL!$C$22, $C$13, 100%, $E$13)</f>
        <v>28.839400000000001</v>
      </c>
      <c r="I865" s="64">
        <f>28.8396 * CHOOSE(CONTROL!$C$22, $C$13, 100%, $E$13)</f>
        <v>28.839600000000001</v>
      </c>
      <c r="J865" s="64">
        <f>17.5628 * CHOOSE(CONTROL!$C$22, $C$13, 100%, $E$13)</f>
        <v>17.562799999999999</v>
      </c>
      <c r="K865" s="64">
        <f>17.563 * CHOOSE(CONTROL!$C$22, $C$13, 100%, $E$13)</f>
        <v>17.562999999999999</v>
      </c>
    </row>
    <row r="866" spans="1:11" ht="15">
      <c r="A866" s="13">
        <v>67997</v>
      </c>
      <c r="B866" s="63">
        <f>15.092 * CHOOSE(CONTROL!$C$22, $C$13, 100%, $E$13)</f>
        <v>15.092000000000001</v>
      </c>
      <c r="C866" s="63">
        <f>15.092 * CHOOSE(CONTROL!$C$22, $C$13, 100%, $E$13)</f>
        <v>15.092000000000001</v>
      </c>
      <c r="D866" s="63">
        <f>15.1049 * CHOOSE(CONTROL!$C$22, $C$13, 100%, $E$13)</f>
        <v>15.104900000000001</v>
      </c>
      <c r="E866" s="64">
        <f>17.7139 * CHOOSE(CONTROL!$C$22, $C$13, 100%, $E$13)</f>
        <v>17.713899999999999</v>
      </c>
      <c r="F866" s="64">
        <f>17.7139 * CHOOSE(CONTROL!$C$22, $C$13, 100%, $E$13)</f>
        <v>17.713899999999999</v>
      </c>
      <c r="G866" s="64">
        <f>17.7141 * CHOOSE(CONTROL!$C$22, $C$13, 100%, $E$13)</f>
        <v>17.714099999999998</v>
      </c>
      <c r="H866" s="64">
        <f>28.8995* CHOOSE(CONTROL!$C$22, $C$13, 100%, $E$13)</f>
        <v>28.8995</v>
      </c>
      <c r="I866" s="64">
        <f>28.8997 * CHOOSE(CONTROL!$C$22, $C$13, 100%, $E$13)</f>
        <v>28.899699999999999</v>
      </c>
      <c r="J866" s="64">
        <f>17.7139 * CHOOSE(CONTROL!$C$22, $C$13, 100%, $E$13)</f>
        <v>17.713899999999999</v>
      </c>
      <c r="K866" s="64">
        <f>17.7141 * CHOOSE(CONTROL!$C$22, $C$13, 100%, $E$13)</f>
        <v>17.714099999999998</v>
      </c>
    </row>
    <row r="867" spans="1:11" ht="15">
      <c r="A867" s="13">
        <v>68028</v>
      </c>
      <c r="B867" s="63">
        <f>15.0991 * CHOOSE(CONTROL!$C$22, $C$13, 100%, $E$13)</f>
        <v>15.0991</v>
      </c>
      <c r="C867" s="63">
        <f>15.0991 * CHOOSE(CONTROL!$C$22, $C$13, 100%, $E$13)</f>
        <v>15.0991</v>
      </c>
      <c r="D867" s="63">
        <f>15.112 * CHOOSE(CONTROL!$C$22, $C$13, 100%, $E$13)</f>
        <v>15.112</v>
      </c>
      <c r="E867" s="64">
        <f>17.8742 * CHOOSE(CONTROL!$C$22, $C$13, 100%, $E$13)</f>
        <v>17.874199999999998</v>
      </c>
      <c r="F867" s="64">
        <f>17.8742 * CHOOSE(CONTROL!$C$22, $C$13, 100%, $E$13)</f>
        <v>17.874199999999998</v>
      </c>
      <c r="G867" s="64">
        <f>17.8744 * CHOOSE(CONTROL!$C$22, $C$13, 100%, $E$13)</f>
        <v>17.874400000000001</v>
      </c>
      <c r="H867" s="64">
        <f>28.9597* CHOOSE(CONTROL!$C$22, $C$13, 100%, $E$13)</f>
        <v>28.959700000000002</v>
      </c>
      <c r="I867" s="64">
        <f>28.9599 * CHOOSE(CONTROL!$C$22, $C$13, 100%, $E$13)</f>
        <v>28.959900000000001</v>
      </c>
      <c r="J867" s="64">
        <f>17.8742 * CHOOSE(CONTROL!$C$22, $C$13, 100%, $E$13)</f>
        <v>17.874199999999998</v>
      </c>
      <c r="K867" s="64">
        <f>17.8744 * CHOOSE(CONTROL!$C$22, $C$13, 100%, $E$13)</f>
        <v>17.874400000000001</v>
      </c>
    </row>
    <row r="868" spans="1:11" ht="15">
      <c r="A868" s="13">
        <v>68058</v>
      </c>
      <c r="B868" s="63">
        <f>15.0991 * CHOOSE(CONTROL!$C$22, $C$13, 100%, $E$13)</f>
        <v>15.0991</v>
      </c>
      <c r="C868" s="63">
        <f>15.0991 * CHOOSE(CONTROL!$C$22, $C$13, 100%, $E$13)</f>
        <v>15.0991</v>
      </c>
      <c r="D868" s="63">
        <f>15.1249 * CHOOSE(CONTROL!$C$22, $C$13, 100%, $E$13)</f>
        <v>15.1249</v>
      </c>
      <c r="E868" s="64">
        <f>17.936 * CHOOSE(CONTROL!$C$22, $C$13, 100%, $E$13)</f>
        <v>17.936</v>
      </c>
      <c r="F868" s="64">
        <f>17.936 * CHOOSE(CONTROL!$C$22, $C$13, 100%, $E$13)</f>
        <v>17.936</v>
      </c>
      <c r="G868" s="64">
        <f>17.9376 * CHOOSE(CONTROL!$C$22, $C$13, 100%, $E$13)</f>
        <v>17.9376</v>
      </c>
      <c r="H868" s="64">
        <f>29.0201* CHOOSE(CONTROL!$C$22, $C$13, 100%, $E$13)</f>
        <v>29.020099999999999</v>
      </c>
      <c r="I868" s="64">
        <f>29.0217 * CHOOSE(CONTROL!$C$22, $C$13, 100%, $E$13)</f>
        <v>29.021699999999999</v>
      </c>
      <c r="J868" s="64">
        <f>17.936 * CHOOSE(CONTROL!$C$22, $C$13, 100%, $E$13)</f>
        <v>17.936</v>
      </c>
      <c r="K868" s="64">
        <f>17.9376 * CHOOSE(CONTROL!$C$22, $C$13, 100%, $E$13)</f>
        <v>17.9376</v>
      </c>
    </row>
    <row r="869" spans="1:11" ht="15">
      <c r="A869" s="13">
        <v>68089</v>
      </c>
      <c r="B869" s="63">
        <f>15.1052 * CHOOSE(CONTROL!$C$22, $C$13, 100%, $E$13)</f>
        <v>15.1052</v>
      </c>
      <c r="C869" s="63">
        <f>15.1052 * CHOOSE(CONTROL!$C$22, $C$13, 100%, $E$13)</f>
        <v>15.1052</v>
      </c>
      <c r="D869" s="63">
        <f>15.1309 * CHOOSE(CONTROL!$C$22, $C$13, 100%, $E$13)</f>
        <v>15.1309</v>
      </c>
      <c r="E869" s="64">
        <f>17.8785 * CHOOSE(CONTROL!$C$22, $C$13, 100%, $E$13)</f>
        <v>17.878499999999999</v>
      </c>
      <c r="F869" s="64">
        <f>17.8785 * CHOOSE(CONTROL!$C$22, $C$13, 100%, $E$13)</f>
        <v>17.878499999999999</v>
      </c>
      <c r="G869" s="64">
        <f>17.8801 * CHOOSE(CONTROL!$C$22, $C$13, 100%, $E$13)</f>
        <v>17.880099999999999</v>
      </c>
      <c r="H869" s="64">
        <f>29.0805* CHOOSE(CONTROL!$C$22, $C$13, 100%, $E$13)</f>
        <v>29.080500000000001</v>
      </c>
      <c r="I869" s="64">
        <f>29.0822 * CHOOSE(CONTROL!$C$22, $C$13, 100%, $E$13)</f>
        <v>29.0822</v>
      </c>
      <c r="J869" s="64">
        <f>17.8785 * CHOOSE(CONTROL!$C$22, $C$13, 100%, $E$13)</f>
        <v>17.878499999999999</v>
      </c>
      <c r="K869" s="64">
        <f>17.8801 * CHOOSE(CONTROL!$C$22, $C$13, 100%, $E$13)</f>
        <v>17.880099999999999</v>
      </c>
    </row>
    <row r="870" spans="1:11" ht="15">
      <c r="A870" s="13">
        <v>68119</v>
      </c>
      <c r="B870" s="63">
        <f>15.3417 * CHOOSE(CONTROL!$C$22, $C$13, 100%, $E$13)</f>
        <v>15.341699999999999</v>
      </c>
      <c r="C870" s="63">
        <f>15.3417 * CHOOSE(CONTROL!$C$22, $C$13, 100%, $E$13)</f>
        <v>15.341699999999999</v>
      </c>
      <c r="D870" s="63">
        <f>15.3674 * CHOOSE(CONTROL!$C$22, $C$13, 100%, $E$13)</f>
        <v>15.3674</v>
      </c>
      <c r="E870" s="64">
        <f>18.2184 * CHOOSE(CONTROL!$C$22, $C$13, 100%, $E$13)</f>
        <v>18.218399999999999</v>
      </c>
      <c r="F870" s="64">
        <f>18.2184 * CHOOSE(CONTROL!$C$22, $C$13, 100%, $E$13)</f>
        <v>18.218399999999999</v>
      </c>
      <c r="G870" s="64">
        <f>18.22 * CHOOSE(CONTROL!$C$22, $C$13, 100%, $E$13)</f>
        <v>18.22</v>
      </c>
      <c r="H870" s="64">
        <f>29.1411* CHOOSE(CONTROL!$C$22, $C$13, 100%, $E$13)</f>
        <v>29.141100000000002</v>
      </c>
      <c r="I870" s="64">
        <f>29.1427 * CHOOSE(CONTROL!$C$22, $C$13, 100%, $E$13)</f>
        <v>29.142700000000001</v>
      </c>
      <c r="J870" s="64">
        <f>18.2184 * CHOOSE(CONTROL!$C$22, $C$13, 100%, $E$13)</f>
        <v>18.218399999999999</v>
      </c>
      <c r="K870" s="64">
        <f>18.22 * CHOOSE(CONTROL!$C$22, $C$13, 100%, $E$13)</f>
        <v>18.22</v>
      </c>
    </row>
    <row r="871" spans="1:11" ht="15">
      <c r="A871" s="13">
        <v>68150</v>
      </c>
      <c r="B871" s="63">
        <f>15.3483 * CHOOSE(CONTROL!$C$22, $C$13, 100%, $E$13)</f>
        <v>15.3483</v>
      </c>
      <c r="C871" s="63">
        <f>15.3483 * CHOOSE(CONTROL!$C$22, $C$13, 100%, $E$13)</f>
        <v>15.3483</v>
      </c>
      <c r="D871" s="63">
        <f>15.3741 * CHOOSE(CONTROL!$C$22, $C$13, 100%, $E$13)</f>
        <v>15.3741</v>
      </c>
      <c r="E871" s="64">
        <f>18.0379 * CHOOSE(CONTROL!$C$22, $C$13, 100%, $E$13)</f>
        <v>18.0379</v>
      </c>
      <c r="F871" s="64">
        <f>18.0379 * CHOOSE(CONTROL!$C$22, $C$13, 100%, $E$13)</f>
        <v>18.0379</v>
      </c>
      <c r="G871" s="64">
        <f>18.0395 * CHOOSE(CONTROL!$C$22, $C$13, 100%, $E$13)</f>
        <v>18.0395</v>
      </c>
      <c r="H871" s="64">
        <f>29.2018* CHOOSE(CONTROL!$C$22, $C$13, 100%, $E$13)</f>
        <v>29.201799999999999</v>
      </c>
      <c r="I871" s="64">
        <f>29.2034 * CHOOSE(CONTROL!$C$22, $C$13, 100%, $E$13)</f>
        <v>29.203399999999998</v>
      </c>
      <c r="J871" s="64">
        <f>18.0379 * CHOOSE(CONTROL!$C$22, $C$13, 100%, $E$13)</f>
        <v>18.0379</v>
      </c>
      <c r="K871" s="64">
        <f>18.0395 * CHOOSE(CONTROL!$C$22, $C$13, 100%, $E$13)</f>
        <v>18.0395</v>
      </c>
    </row>
    <row r="872" spans="1:11" ht="15">
      <c r="A872" s="13">
        <v>68181</v>
      </c>
      <c r="B872" s="63">
        <f>15.3453 * CHOOSE(CONTROL!$C$22, $C$13, 100%, $E$13)</f>
        <v>15.3453</v>
      </c>
      <c r="C872" s="63">
        <f>15.3453 * CHOOSE(CONTROL!$C$22, $C$13, 100%, $E$13)</f>
        <v>15.3453</v>
      </c>
      <c r="D872" s="63">
        <f>15.3711 * CHOOSE(CONTROL!$C$22, $C$13, 100%, $E$13)</f>
        <v>15.3711</v>
      </c>
      <c r="E872" s="64">
        <f>18.0152 * CHOOSE(CONTROL!$C$22, $C$13, 100%, $E$13)</f>
        <v>18.0152</v>
      </c>
      <c r="F872" s="64">
        <f>18.0152 * CHOOSE(CONTROL!$C$22, $C$13, 100%, $E$13)</f>
        <v>18.0152</v>
      </c>
      <c r="G872" s="64">
        <f>18.0168 * CHOOSE(CONTROL!$C$22, $C$13, 100%, $E$13)</f>
        <v>18.0168</v>
      </c>
      <c r="H872" s="64">
        <f>29.2626* CHOOSE(CONTROL!$C$22, $C$13, 100%, $E$13)</f>
        <v>29.262599999999999</v>
      </c>
      <c r="I872" s="64">
        <f>29.2643 * CHOOSE(CONTROL!$C$22, $C$13, 100%, $E$13)</f>
        <v>29.264299999999999</v>
      </c>
      <c r="J872" s="64">
        <f>18.0152 * CHOOSE(CONTROL!$C$22, $C$13, 100%, $E$13)</f>
        <v>18.0152</v>
      </c>
      <c r="K872" s="64">
        <f>18.0168 * CHOOSE(CONTROL!$C$22, $C$13, 100%, $E$13)</f>
        <v>18.0168</v>
      </c>
    </row>
    <row r="873" spans="1:11" ht="15">
      <c r="A873" s="13">
        <v>68211</v>
      </c>
      <c r="B873" s="63">
        <f>15.3775 * CHOOSE(CONTROL!$C$22, $C$13, 100%, $E$13)</f>
        <v>15.3775</v>
      </c>
      <c r="C873" s="63">
        <f>15.3775 * CHOOSE(CONTROL!$C$22, $C$13, 100%, $E$13)</f>
        <v>15.3775</v>
      </c>
      <c r="D873" s="63">
        <f>15.3904 * CHOOSE(CONTROL!$C$22, $C$13, 100%, $E$13)</f>
        <v>15.3904</v>
      </c>
      <c r="E873" s="64">
        <f>18.0841 * CHOOSE(CONTROL!$C$22, $C$13, 100%, $E$13)</f>
        <v>18.084099999999999</v>
      </c>
      <c r="F873" s="64">
        <f>18.0841 * CHOOSE(CONTROL!$C$22, $C$13, 100%, $E$13)</f>
        <v>18.084099999999999</v>
      </c>
      <c r="G873" s="64">
        <f>18.0842 * CHOOSE(CONTROL!$C$22, $C$13, 100%, $E$13)</f>
        <v>18.084199999999999</v>
      </c>
      <c r="H873" s="64">
        <f>29.3236* CHOOSE(CONTROL!$C$22, $C$13, 100%, $E$13)</f>
        <v>29.323599999999999</v>
      </c>
      <c r="I873" s="64">
        <f>29.3238 * CHOOSE(CONTROL!$C$22, $C$13, 100%, $E$13)</f>
        <v>29.323799999999999</v>
      </c>
      <c r="J873" s="64">
        <f>18.0841 * CHOOSE(CONTROL!$C$22, $C$13, 100%, $E$13)</f>
        <v>18.084099999999999</v>
      </c>
      <c r="K873" s="64">
        <f>18.0842 * CHOOSE(CONTROL!$C$22, $C$13, 100%, $E$13)</f>
        <v>18.084199999999999</v>
      </c>
    </row>
    <row r="874" spans="1:11" ht="15">
      <c r="A874" s="13">
        <v>68242</v>
      </c>
      <c r="B874" s="63">
        <f>15.3806 * CHOOSE(CONTROL!$C$22, $C$13, 100%, $E$13)</f>
        <v>15.380599999999999</v>
      </c>
      <c r="C874" s="63">
        <f>15.3806 * CHOOSE(CONTROL!$C$22, $C$13, 100%, $E$13)</f>
        <v>15.380599999999999</v>
      </c>
      <c r="D874" s="63">
        <f>15.3935 * CHOOSE(CONTROL!$C$22, $C$13, 100%, $E$13)</f>
        <v>15.3935</v>
      </c>
      <c r="E874" s="64">
        <f>18.1273 * CHOOSE(CONTROL!$C$22, $C$13, 100%, $E$13)</f>
        <v>18.127300000000002</v>
      </c>
      <c r="F874" s="64">
        <f>18.1273 * CHOOSE(CONTROL!$C$22, $C$13, 100%, $E$13)</f>
        <v>18.127300000000002</v>
      </c>
      <c r="G874" s="64">
        <f>18.1275 * CHOOSE(CONTROL!$C$22, $C$13, 100%, $E$13)</f>
        <v>18.127500000000001</v>
      </c>
      <c r="H874" s="64">
        <f>29.3847* CHOOSE(CONTROL!$C$22, $C$13, 100%, $E$13)</f>
        <v>29.384699999999999</v>
      </c>
      <c r="I874" s="64">
        <f>29.3849 * CHOOSE(CONTROL!$C$22, $C$13, 100%, $E$13)</f>
        <v>29.384899999999998</v>
      </c>
      <c r="J874" s="64">
        <f>18.1273 * CHOOSE(CONTROL!$C$22, $C$13, 100%, $E$13)</f>
        <v>18.127300000000002</v>
      </c>
      <c r="K874" s="64">
        <f>18.1275 * CHOOSE(CONTROL!$C$22, $C$13, 100%, $E$13)</f>
        <v>18.127500000000001</v>
      </c>
    </row>
    <row r="875" spans="1:11" ht="15">
      <c r="A875" s="13">
        <v>68272</v>
      </c>
      <c r="B875" s="63">
        <f>15.3806 * CHOOSE(CONTROL!$C$22, $C$13, 100%, $E$13)</f>
        <v>15.380599999999999</v>
      </c>
      <c r="C875" s="63">
        <f>15.3806 * CHOOSE(CONTROL!$C$22, $C$13, 100%, $E$13)</f>
        <v>15.380599999999999</v>
      </c>
      <c r="D875" s="63">
        <f>15.3935 * CHOOSE(CONTROL!$C$22, $C$13, 100%, $E$13)</f>
        <v>15.3935</v>
      </c>
      <c r="E875" s="64">
        <f>18.0245 * CHOOSE(CONTROL!$C$22, $C$13, 100%, $E$13)</f>
        <v>18.0245</v>
      </c>
      <c r="F875" s="64">
        <f>18.0245 * CHOOSE(CONTROL!$C$22, $C$13, 100%, $E$13)</f>
        <v>18.0245</v>
      </c>
      <c r="G875" s="64">
        <f>18.0246 * CHOOSE(CONTROL!$C$22, $C$13, 100%, $E$13)</f>
        <v>18.0246</v>
      </c>
      <c r="H875" s="64">
        <f>29.4459* CHOOSE(CONTROL!$C$22, $C$13, 100%, $E$13)</f>
        <v>29.445900000000002</v>
      </c>
      <c r="I875" s="64">
        <f>29.4461 * CHOOSE(CONTROL!$C$22, $C$13, 100%, $E$13)</f>
        <v>29.446100000000001</v>
      </c>
      <c r="J875" s="64">
        <f>18.0245 * CHOOSE(CONTROL!$C$22, $C$13, 100%, $E$13)</f>
        <v>18.0245</v>
      </c>
      <c r="K875" s="64">
        <f>18.0246 * CHOOSE(CONTROL!$C$22, $C$13, 100%, $E$13)</f>
        <v>18.0246</v>
      </c>
    </row>
    <row r="876" spans="1:11" ht="15">
      <c r="A876" s="13">
        <v>68303</v>
      </c>
      <c r="B876" s="63">
        <f>15.3434 * CHOOSE(CONTROL!$C$22, $C$13, 100%, $E$13)</f>
        <v>15.343400000000001</v>
      </c>
      <c r="C876" s="63">
        <f>15.3434 * CHOOSE(CONTROL!$C$22, $C$13, 100%, $E$13)</f>
        <v>15.343400000000001</v>
      </c>
      <c r="D876" s="63">
        <f>15.3563 * CHOOSE(CONTROL!$C$22, $C$13, 100%, $E$13)</f>
        <v>15.356299999999999</v>
      </c>
      <c r="E876" s="64">
        <f>18.0517 * CHOOSE(CONTROL!$C$22, $C$13, 100%, $E$13)</f>
        <v>18.0517</v>
      </c>
      <c r="F876" s="64">
        <f>18.0517 * CHOOSE(CONTROL!$C$22, $C$13, 100%, $E$13)</f>
        <v>18.0517</v>
      </c>
      <c r="G876" s="64">
        <f>18.0519 * CHOOSE(CONTROL!$C$22, $C$13, 100%, $E$13)</f>
        <v>18.0519</v>
      </c>
      <c r="H876" s="64">
        <f>29.2254* CHOOSE(CONTROL!$C$22, $C$13, 100%, $E$13)</f>
        <v>29.2254</v>
      </c>
      <c r="I876" s="64">
        <f>29.2255 * CHOOSE(CONTROL!$C$22, $C$13, 100%, $E$13)</f>
        <v>29.2255</v>
      </c>
      <c r="J876" s="64">
        <f>18.0517 * CHOOSE(CONTROL!$C$22, $C$13, 100%, $E$13)</f>
        <v>18.0517</v>
      </c>
      <c r="K876" s="64">
        <f>18.0519 * CHOOSE(CONTROL!$C$22, $C$13, 100%, $E$13)</f>
        <v>18.0519</v>
      </c>
    </row>
    <row r="877" spans="1:11" ht="15">
      <c r="A877" s="13">
        <v>68334</v>
      </c>
      <c r="B877" s="63">
        <f>15.3404 * CHOOSE(CONTROL!$C$22, $C$13, 100%, $E$13)</f>
        <v>15.340400000000001</v>
      </c>
      <c r="C877" s="63">
        <f>15.3404 * CHOOSE(CONTROL!$C$22, $C$13, 100%, $E$13)</f>
        <v>15.340400000000001</v>
      </c>
      <c r="D877" s="63">
        <f>15.3532 * CHOOSE(CONTROL!$C$22, $C$13, 100%, $E$13)</f>
        <v>15.353199999999999</v>
      </c>
      <c r="E877" s="64">
        <f>17.852 * CHOOSE(CONTROL!$C$22, $C$13, 100%, $E$13)</f>
        <v>17.852</v>
      </c>
      <c r="F877" s="64">
        <f>17.852 * CHOOSE(CONTROL!$C$22, $C$13, 100%, $E$13)</f>
        <v>17.852</v>
      </c>
      <c r="G877" s="64">
        <f>17.8522 * CHOOSE(CONTROL!$C$22, $C$13, 100%, $E$13)</f>
        <v>17.8522</v>
      </c>
      <c r="H877" s="64">
        <f>29.2863* CHOOSE(CONTROL!$C$22, $C$13, 100%, $E$13)</f>
        <v>29.286300000000001</v>
      </c>
      <c r="I877" s="64">
        <f>29.2864 * CHOOSE(CONTROL!$C$22, $C$13, 100%, $E$13)</f>
        <v>29.2864</v>
      </c>
      <c r="J877" s="64">
        <f>17.852 * CHOOSE(CONTROL!$C$22, $C$13, 100%, $E$13)</f>
        <v>17.852</v>
      </c>
      <c r="K877" s="64">
        <f>17.8522 * CHOOSE(CONTROL!$C$22, $C$13, 100%, $E$13)</f>
        <v>17.8522</v>
      </c>
    </row>
    <row r="878" spans="1:11" ht="15">
      <c r="A878" s="13">
        <v>68362</v>
      </c>
      <c r="B878" s="63">
        <f>15.3373 * CHOOSE(CONTROL!$C$22, $C$13, 100%, $E$13)</f>
        <v>15.337300000000001</v>
      </c>
      <c r="C878" s="63">
        <f>15.3373 * CHOOSE(CONTROL!$C$22, $C$13, 100%, $E$13)</f>
        <v>15.337300000000001</v>
      </c>
      <c r="D878" s="63">
        <f>15.3502 * CHOOSE(CONTROL!$C$22, $C$13, 100%, $E$13)</f>
        <v>15.350199999999999</v>
      </c>
      <c r="E878" s="64">
        <f>18.0057 * CHOOSE(CONTROL!$C$22, $C$13, 100%, $E$13)</f>
        <v>18.005700000000001</v>
      </c>
      <c r="F878" s="64">
        <f>18.0057 * CHOOSE(CONTROL!$C$22, $C$13, 100%, $E$13)</f>
        <v>18.005700000000001</v>
      </c>
      <c r="G878" s="64">
        <f>18.0058 * CHOOSE(CONTROL!$C$22, $C$13, 100%, $E$13)</f>
        <v>18.005800000000001</v>
      </c>
      <c r="H878" s="64">
        <f>29.3473* CHOOSE(CONTROL!$C$22, $C$13, 100%, $E$13)</f>
        <v>29.347300000000001</v>
      </c>
      <c r="I878" s="64">
        <f>29.3474 * CHOOSE(CONTROL!$C$22, $C$13, 100%, $E$13)</f>
        <v>29.3474</v>
      </c>
      <c r="J878" s="64">
        <f>18.0057 * CHOOSE(CONTROL!$C$22, $C$13, 100%, $E$13)</f>
        <v>18.005700000000001</v>
      </c>
      <c r="K878" s="64">
        <f>18.0058 * CHOOSE(CONTROL!$C$22, $C$13, 100%, $E$13)</f>
        <v>18.005800000000001</v>
      </c>
    </row>
    <row r="879" spans="1:11" ht="15">
      <c r="A879" s="13">
        <v>68393</v>
      </c>
      <c r="B879" s="63">
        <f>15.3446 * CHOOSE(CONTROL!$C$22, $C$13, 100%, $E$13)</f>
        <v>15.3446</v>
      </c>
      <c r="C879" s="63">
        <f>15.3446 * CHOOSE(CONTROL!$C$22, $C$13, 100%, $E$13)</f>
        <v>15.3446</v>
      </c>
      <c r="D879" s="63">
        <f>15.3575 * CHOOSE(CONTROL!$C$22, $C$13, 100%, $E$13)</f>
        <v>15.3575</v>
      </c>
      <c r="E879" s="64">
        <f>18.1687 * CHOOSE(CONTROL!$C$22, $C$13, 100%, $E$13)</f>
        <v>18.168700000000001</v>
      </c>
      <c r="F879" s="64">
        <f>18.1687 * CHOOSE(CONTROL!$C$22, $C$13, 100%, $E$13)</f>
        <v>18.168700000000001</v>
      </c>
      <c r="G879" s="64">
        <f>18.1689 * CHOOSE(CONTROL!$C$22, $C$13, 100%, $E$13)</f>
        <v>18.168900000000001</v>
      </c>
      <c r="H879" s="64">
        <f>29.4084* CHOOSE(CONTROL!$C$22, $C$13, 100%, $E$13)</f>
        <v>29.4084</v>
      </c>
      <c r="I879" s="64">
        <f>29.4086 * CHOOSE(CONTROL!$C$22, $C$13, 100%, $E$13)</f>
        <v>29.4086</v>
      </c>
      <c r="J879" s="64">
        <f>18.1687 * CHOOSE(CONTROL!$C$22, $C$13, 100%, $E$13)</f>
        <v>18.168700000000001</v>
      </c>
      <c r="K879" s="64">
        <f>18.1689 * CHOOSE(CONTROL!$C$22, $C$13, 100%, $E$13)</f>
        <v>18.168900000000001</v>
      </c>
    </row>
    <row r="880" spans="1:11" ht="15">
      <c r="A880" s="13">
        <v>68423</v>
      </c>
      <c r="B880" s="63">
        <f>15.3446 * CHOOSE(CONTROL!$C$22, $C$13, 100%, $E$13)</f>
        <v>15.3446</v>
      </c>
      <c r="C880" s="63">
        <f>15.3446 * CHOOSE(CONTROL!$C$22, $C$13, 100%, $E$13)</f>
        <v>15.3446</v>
      </c>
      <c r="D880" s="63">
        <f>15.3704 * CHOOSE(CONTROL!$C$22, $C$13, 100%, $E$13)</f>
        <v>15.3704</v>
      </c>
      <c r="E880" s="64">
        <f>18.2314 * CHOOSE(CONTROL!$C$22, $C$13, 100%, $E$13)</f>
        <v>18.231400000000001</v>
      </c>
      <c r="F880" s="64">
        <f>18.2314 * CHOOSE(CONTROL!$C$22, $C$13, 100%, $E$13)</f>
        <v>18.231400000000001</v>
      </c>
      <c r="G880" s="64">
        <f>18.2331 * CHOOSE(CONTROL!$C$22, $C$13, 100%, $E$13)</f>
        <v>18.2331</v>
      </c>
      <c r="H880" s="64">
        <f>29.4697* CHOOSE(CONTROL!$C$22, $C$13, 100%, $E$13)</f>
        <v>29.4697</v>
      </c>
      <c r="I880" s="64">
        <f>29.4713 * CHOOSE(CONTROL!$C$22, $C$13, 100%, $E$13)</f>
        <v>29.471299999999999</v>
      </c>
      <c r="J880" s="64">
        <f>18.2314 * CHOOSE(CONTROL!$C$22, $C$13, 100%, $E$13)</f>
        <v>18.231400000000001</v>
      </c>
      <c r="K880" s="64">
        <f>18.2331 * CHOOSE(CONTROL!$C$22, $C$13, 100%, $E$13)</f>
        <v>18.2331</v>
      </c>
    </row>
    <row r="881" spans="1:11" ht="15">
      <c r="A881" s="13">
        <v>68454</v>
      </c>
      <c r="B881" s="63">
        <f>15.3507 * CHOOSE(CONTROL!$C$22, $C$13, 100%, $E$13)</f>
        <v>15.3507</v>
      </c>
      <c r="C881" s="63">
        <f>15.3507 * CHOOSE(CONTROL!$C$22, $C$13, 100%, $E$13)</f>
        <v>15.3507</v>
      </c>
      <c r="D881" s="63">
        <f>15.3765 * CHOOSE(CONTROL!$C$22, $C$13, 100%, $E$13)</f>
        <v>15.3765</v>
      </c>
      <c r="E881" s="64">
        <f>18.1729 * CHOOSE(CONTROL!$C$22, $C$13, 100%, $E$13)</f>
        <v>18.172899999999998</v>
      </c>
      <c r="F881" s="64">
        <f>18.1729 * CHOOSE(CONTROL!$C$22, $C$13, 100%, $E$13)</f>
        <v>18.172899999999998</v>
      </c>
      <c r="G881" s="64">
        <f>18.1746 * CHOOSE(CONTROL!$C$22, $C$13, 100%, $E$13)</f>
        <v>18.174600000000002</v>
      </c>
      <c r="H881" s="64">
        <f>29.5311* CHOOSE(CONTROL!$C$22, $C$13, 100%, $E$13)</f>
        <v>29.531099999999999</v>
      </c>
      <c r="I881" s="64">
        <f>29.5327 * CHOOSE(CONTROL!$C$22, $C$13, 100%, $E$13)</f>
        <v>29.532699999999998</v>
      </c>
      <c r="J881" s="64">
        <f>18.1729 * CHOOSE(CONTROL!$C$22, $C$13, 100%, $E$13)</f>
        <v>18.172899999999998</v>
      </c>
      <c r="K881" s="64">
        <f>18.1746 * CHOOSE(CONTROL!$C$22, $C$13, 100%, $E$13)</f>
        <v>18.174600000000002</v>
      </c>
    </row>
    <row r="882" spans="1:11" ht="15">
      <c r="A882" s="13">
        <v>68484</v>
      </c>
      <c r="B882" s="63">
        <f>15.5909 * CHOOSE(CONTROL!$C$22, $C$13, 100%, $E$13)</f>
        <v>15.5909</v>
      </c>
      <c r="C882" s="63">
        <f>15.5909 * CHOOSE(CONTROL!$C$22, $C$13, 100%, $E$13)</f>
        <v>15.5909</v>
      </c>
      <c r="D882" s="63">
        <f>15.6166 * CHOOSE(CONTROL!$C$22, $C$13, 100%, $E$13)</f>
        <v>15.6166</v>
      </c>
      <c r="E882" s="64">
        <f>18.5182 * CHOOSE(CONTROL!$C$22, $C$13, 100%, $E$13)</f>
        <v>18.5182</v>
      </c>
      <c r="F882" s="64">
        <f>18.5182 * CHOOSE(CONTROL!$C$22, $C$13, 100%, $E$13)</f>
        <v>18.5182</v>
      </c>
      <c r="G882" s="64">
        <f>18.5199 * CHOOSE(CONTROL!$C$22, $C$13, 100%, $E$13)</f>
        <v>18.5199</v>
      </c>
      <c r="H882" s="64">
        <f>29.5926* CHOOSE(CONTROL!$C$22, $C$13, 100%, $E$13)</f>
        <v>29.592600000000001</v>
      </c>
      <c r="I882" s="64">
        <f>29.5942 * CHOOSE(CONTROL!$C$22, $C$13, 100%, $E$13)</f>
        <v>29.594200000000001</v>
      </c>
      <c r="J882" s="64">
        <f>18.5182 * CHOOSE(CONTROL!$C$22, $C$13, 100%, $E$13)</f>
        <v>18.5182</v>
      </c>
      <c r="K882" s="64">
        <f>18.5199 * CHOOSE(CONTROL!$C$22, $C$13, 100%, $E$13)</f>
        <v>18.5199</v>
      </c>
    </row>
    <row r="883" spans="1:11" ht="15">
      <c r="A883" s="13">
        <v>68515</v>
      </c>
      <c r="B883" s="63">
        <f>15.5976 * CHOOSE(CONTROL!$C$22, $C$13, 100%, $E$13)</f>
        <v>15.5976</v>
      </c>
      <c r="C883" s="63">
        <f>15.5976 * CHOOSE(CONTROL!$C$22, $C$13, 100%, $E$13)</f>
        <v>15.5976</v>
      </c>
      <c r="D883" s="63">
        <f>15.6233 * CHOOSE(CONTROL!$C$22, $C$13, 100%, $E$13)</f>
        <v>15.6233</v>
      </c>
      <c r="E883" s="64">
        <f>18.3347 * CHOOSE(CONTROL!$C$22, $C$13, 100%, $E$13)</f>
        <v>18.334700000000002</v>
      </c>
      <c r="F883" s="64">
        <f>18.3347 * CHOOSE(CONTROL!$C$22, $C$13, 100%, $E$13)</f>
        <v>18.334700000000002</v>
      </c>
      <c r="G883" s="64">
        <f>18.3364 * CHOOSE(CONTROL!$C$22, $C$13, 100%, $E$13)</f>
        <v>18.336400000000001</v>
      </c>
      <c r="H883" s="64">
        <f>29.6542* CHOOSE(CONTROL!$C$22, $C$13, 100%, $E$13)</f>
        <v>29.654199999999999</v>
      </c>
      <c r="I883" s="64">
        <f>29.6559 * CHOOSE(CONTROL!$C$22, $C$13, 100%, $E$13)</f>
        <v>29.655899999999999</v>
      </c>
      <c r="J883" s="64">
        <f>18.3347 * CHOOSE(CONTROL!$C$22, $C$13, 100%, $E$13)</f>
        <v>18.334700000000002</v>
      </c>
      <c r="K883" s="64">
        <f>18.3364 * CHOOSE(CONTROL!$C$22, $C$13, 100%, $E$13)</f>
        <v>18.336400000000001</v>
      </c>
    </row>
    <row r="884" spans="1:11" ht="15">
      <c r="A884" s="13">
        <v>68546</v>
      </c>
      <c r="B884" s="63">
        <f>15.5945 * CHOOSE(CONTROL!$C$22, $C$13, 100%, $E$13)</f>
        <v>15.5945</v>
      </c>
      <c r="C884" s="63">
        <f>15.5945 * CHOOSE(CONTROL!$C$22, $C$13, 100%, $E$13)</f>
        <v>15.5945</v>
      </c>
      <c r="D884" s="63">
        <f>15.6203 * CHOOSE(CONTROL!$C$22, $C$13, 100%, $E$13)</f>
        <v>15.6203</v>
      </c>
      <c r="E884" s="64">
        <f>18.3117 * CHOOSE(CONTROL!$C$22, $C$13, 100%, $E$13)</f>
        <v>18.311699999999998</v>
      </c>
      <c r="F884" s="64">
        <f>18.3117 * CHOOSE(CONTROL!$C$22, $C$13, 100%, $E$13)</f>
        <v>18.311699999999998</v>
      </c>
      <c r="G884" s="64">
        <f>18.3133 * CHOOSE(CONTROL!$C$22, $C$13, 100%, $E$13)</f>
        <v>18.313300000000002</v>
      </c>
      <c r="H884" s="64">
        <f>29.716* CHOOSE(CONTROL!$C$22, $C$13, 100%, $E$13)</f>
        <v>29.716000000000001</v>
      </c>
      <c r="I884" s="64">
        <f>29.7177 * CHOOSE(CONTROL!$C$22, $C$13, 100%, $E$13)</f>
        <v>29.717700000000001</v>
      </c>
      <c r="J884" s="64">
        <f>18.3117 * CHOOSE(CONTROL!$C$22, $C$13, 100%, $E$13)</f>
        <v>18.311699999999998</v>
      </c>
      <c r="K884" s="64">
        <f>18.3133 * CHOOSE(CONTROL!$C$22, $C$13, 100%, $E$13)</f>
        <v>18.313300000000002</v>
      </c>
    </row>
    <row r="885" spans="1:11" ht="15">
      <c r="A885" s="13">
        <v>68576</v>
      </c>
      <c r="B885" s="63">
        <f>15.6276 * CHOOSE(CONTROL!$C$22, $C$13, 100%, $E$13)</f>
        <v>15.627599999999999</v>
      </c>
      <c r="C885" s="63">
        <f>15.6276 * CHOOSE(CONTROL!$C$22, $C$13, 100%, $E$13)</f>
        <v>15.627599999999999</v>
      </c>
      <c r="D885" s="63">
        <f>15.6404 * CHOOSE(CONTROL!$C$22, $C$13, 100%, $E$13)</f>
        <v>15.6404</v>
      </c>
      <c r="E885" s="64">
        <f>18.3819 * CHOOSE(CONTROL!$C$22, $C$13, 100%, $E$13)</f>
        <v>18.381900000000002</v>
      </c>
      <c r="F885" s="64">
        <f>18.3819 * CHOOSE(CONTROL!$C$22, $C$13, 100%, $E$13)</f>
        <v>18.381900000000002</v>
      </c>
      <c r="G885" s="64">
        <f>18.3821 * CHOOSE(CONTROL!$C$22, $C$13, 100%, $E$13)</f>
        <v>18.382100000000001</v>
      </c>
      <c r="H885" s="64">
        <f>29.7779* CHOOSE(CONTROL!$C$22, $C$13, 100%, $E$13)</f>
        <v>29.777899999999999</v>
      </c>
      <c r="I885" s="64">
        <f>29.7781 * CHOOSE(CONTROL!$C$22, $C$13, 100%, $E$13)</f>
        <v>29.778099999999998</v>
      </c>
      <c r="J885" s="64">
        <f>18.3819 * CHOOSE(CONTROL!$C$22, $C$13, 100%, $E$13)</f>
        <v>18.381900000000002</v>
      </c>
      <c r="K885" s="64">
        <f>18.3821 * CHOOSE(CONTROL!$C$22, $C$13, 100%, $E$13)</f>
        <v>18.382100000000001</v>
      </c>
    </row>
    <row r="886" spans="1:11" ht="15">
      <c r="A886" s="13">
        <v>68607</v>
      </c>
      <c r="B886" s="63">
        <f>15.6306 * CHOOSE(CONTROL!$C$22, $C$13, 100%, $E$13)</f>
        <v>15.630599999999999</v>
      </c>
      <c r="C886" s="63">
        <f>15.6306 * CHOOSE(CONTROL!$C$22, $C$13, 100%, $E$13)</f>
        <v>15.630599999999999</v>
      </c>
      <c r="D886" s="63">
        <f>15.6435 * CHOOSE(CONTROL!$C$22, $C$13, 100%, $E$13)</f>
        <v>15.6435</v>
      </c>
      <c r="E886" s="64">
        <f>18.4258 * CHOOSE(CONTROL!$C$22, $C$13, 100%, $E$13)</f>
        <v>18.425799999999999</v>
      </c>
      <c r="F886" s="64">
        <f>18.4258 * CHOOSE(CONTROL!$C$22, $C$13, 100%, $E$13)</f>
        <v>18.425799999999999</v>
      </c>
      <c r="G886" s="64">
        <f>18.426 * CHOOSE(CONTROL!$C$22, $C$13, 100%, $E$13)</f>
        <v>18.425999999999998</v>
      </c>
      <c r="H886" s="64">
        <f>29.84* CHOOSE(CONTROL!$C$22, $C$13, 100%, $E$13)</f>
        <v>29.84</v>
      </c>
      <c r="I886" s="64">
        <f>29.8401 * CHOOSE(CONTROL!$C$22, $C$13, 100%, $E$13)</f>
        <v>29.8401</v>
      </c>
      <c r="J886" s="64">
        <f>18.4258 * CHOOSE(CONTROL!$C$22, $C$13, 100%, $E$13)</f>
        <v>18.425799999999999</v>
      </c>
      <c r="K886" s="64">
        <f>18.426 * CHOOSE(CONTROL!$C$22, $C$13, 100%, $E$13)</f>
        <v>18.425999999999998</v>
      </c>
    </row>
    <row r="887" spans="1:11" ht="15">
      <c r="A887" s="13">
        <v>68637</v>
      </c>
      <c r="B887" s="63">
        <f>15.6306 * CHOOSE(CONTROL!$C$22, $C$13, 100%, $E$13)</f>
        <v>15.630599999999999</v>
      </c>
      <c r="C887" s="63">
        <f>15.6306 * CHOOSE(CONTROL!$C$22, $C$13, 100%, $E$13)</f>
        <v>15.630599999999999</v>
      </c>
      <c r="D887" s="63">
        <f>15.6435 * CHOOSE(CONTROL!$C$22, $C$13, 100%, $E$13)</f>
        <v>15.6435</v>
      </c>
      <c r="E887" s="64">
        <f>18.3213 * CHOOSE(CONTROL!$C$22, $C$13, 100%, $E$13)</f>
        <v>18.321300000000001</v>
      </c>
      <c r="F887" s="64">
        <f>18.3213 * CHOOSE(CONTROL!$C$22, $C$13, 100%, $E$13)</f>
        <v>18.321300000000001</v>
      </c>
      <c r="G887" s="64">
        <f>18.3215 * CHOOSE(CONTROL!$C$22, $C$13, 100%, $E$13)</f>
        <v>18.3215</v>
      </c>
      <c r="H887" s="64">
        <f>29.9021* CHOOSE(CONTROL!$C$22, $C$13, 100%, $E$13)</f>
        <v>29.902100000000001</v>
      </c>
      <c r="I887" s="64">
        <f>29.9023 * CHOOSE(CONTROL!$C$22, $C$13, 100%, $E$13)</f>
        <v>29.9023</v>
      </c>
      <c r="J887" s="64">
        <f>18.3213 * CHOOSE(CONTROL!$C$22, $C$13, 100%, $E$13)</f>
        <v>18.321300000000001</v>
      </c>
      <c r="K887" s="64">
        <f>18.3215 * CHOOSE(CONTROL!$C$22, $C$13, 100%, $E$13)</f>
        <v>18.3215</v>
      </c>
    </row>
    <row r="888" spans="1:11" ht="15">
      <c r="A888" s="13">
        <v>68668</v>
      </c>
      <c r="B888" s="63">
        <f>15.5887 * CHOOSE(CONTROL!$C$22, $C$13, 100%, $E$13)</f>
        <v>15.588699999999999</v>
      </c>
      <c r="C888" s="63">
        <f>15.5887 * CHOOSE(CONTROL!$C$22, $C$13, 100%, $E$13)</f>
        <v>15.588699999999999</v>
      </c>
      <c r="D888" s="63">
        <f>15.6016 * CHOOSE(CONTROL!$C$22, $C$13, 100%, $E$13)</f>
        <v>15.601599999999999</v>
      </c>
      <c r="E888" s="64">
        <f>18.3441 * CHOOSE(CONTROL!$C$22, $C$13, 100%, $E$13)</f>
        <v>18.344100000000001</v>
      </c>
      <c r="F888" s="64">
        <f>18.3441 * CHOOSE(CONTROL!$C$22, $C$13, 100%, $E$13)</f>
        <v>18.344100000000001</v>
      </c>
      <c r="G888" s="64">
        <f>18.3443 * CHOOSE(CONTROL!$C$22, $C$13, 100%, $E$13)</f>
        <v>18.3443</v>
      </c>
      <c r="H888" s="64">
        <f>29.6713* CHOOSE(CONTROL!$C$22, $C$13, 100%, $E$13)</f>
        <v>29.671299999999999</v>
      </c>
      <c r="I888" s="64">
        <f>29.6714 * CHOOSE(CONTROL!$C$22, $C$13, 100%, $E$13)</f>
        <v>29.671399999999998</v>
      </c>
      <c r="J888" s="64">
        <f>18.3441 * CHOOSE(CONTROL!$C$22, $C$13, 100%, $E$13)</f>
        <v>18.344100000000001</v>
      </c>
      <c r="K888" s="64">
        <f>18.3443 * CHOOSE(CONTROL!$C$22, $C$13, 100%, $E$13)</f>
        <v>18.3443</v>
      </c>
    </row>
    <row r="889" spans="1:11" ht="15">
      <c r="A889" s="13">
        <v>68699</v>
      </c>
      <c r="B889" s="63">
        <f>15.5857 * CHOOSE(CONTROL!$C$22, $C$13, 100%, $E$13)</f>
        <v>15.585699999999999</v>
      </c>
      <c r="C889" s="63">
        <f>15.5857 * CHOOSE(CONTROL!$C$22, $C$13, 100%, $E$13)</f>
        <v>15.585699999999999</v>
      </c>
      <c r="D889" s="63">
        <f>15.5986 * CHOOSE(CONTROL!$C$22, $C$13, 100%, $E$13)</f>
        <v>15.598599999999999</v>
      </c>
      <c r="E889" s="64">
        <f>18.1412 * CHOOSE(CONTROL!$C$22, $C$13, 100%, $E$13)</f>
        <v>18.141200000000001</v>
      </c>
      <c r="F889" s="64">
        <f>18.1412 * CHOOSE(CONTROL!$C$22, $C$13, 100%, $E$13)</f>
        <v>18.141200000000001</v>
      </c>
      <c r="G889" s="64">
        <f>18.1414 * CHOOSE(CONTROL!$C$22, $C$13, 100%, $E$13)</f>
        <v>18.141400000000001</v>
      </c>
      <c r="H889" s="64">
        <f>29.7331* CHOOSE(CONTROL!$C$22, $C$13, 100%, $E$13)</f>
        <v>29.7331</v>
      </c>
      <c r="I889" s="64">
        <f>29.7333 * CHOOSE(CONTROL!$C$22, $C$13, 100%, $E$13)</f>
        <v>29.7333</v>
      </c>
      <c r="J889" s="64">
        <f>18.1412 * CHOOSE(CONTROL!$C$22, $C$13, 100%, $E$13)</f>
        <v>18.141200000000001</v>
      </c>
      <c r="K889" s="64">
        <f>18.1414 * CHOOSE(CONTROL!$C$22, $C$13, 100%, $E$13)</f>
        <v>18.141400000000001</v>
      </c>
    </row>
    <row r="890" spans="1:11" ht="15">
      <c r="A890" s="13">
        <v>68728</v>
      </c>
      <c r="B890" s="63">
        <f>15.5826 * CHOOSE(CONTROL!$C$22, $C$13, 100%, $E$13)</f>
        <v>15.582599999999999</v>
      </c>
      <c r="C890" s="63">
        <f>15.5826 * CHOOSE(CONTROL!$C$22, $C$13, 100%, $E$13)</f>
        <v>15.582599999999999</v>
      </c>
      <c r="D890" s="63">
        <f>15.5955 * CHOOSE(CONTROL!$C$22, $C$13, 100%, $E$13)</f>
        <v>15.595499999999999</v>
      </c>
      <c r="E890" s="64">
        <f>18.2974 * CHOOSE(CONTROL!$C$22, $C$13, 100%, $E$13)</f>
        <v>18.2974</v>
      </c>
      <c r="F890" s="64">
        <f>18.2974 * CHOOSE(CONTROL!$C$22, $C$13, 100%, $E$13)</f>
        <v>18.2974</v>
      </c>
      <c r="G890" s="64">
        <f>18.2976 * CHOOSE(CONTROL!$C$22, $C$13, 100%, $E$13)</f>
        <v>18.297599999999999</v>
      </c>
      <c r="H890" s="64">
        <f>29.795* CHOOSE(CONTROL!$C$22, $C$13, 100%, $E$13)</f>
        <v>29.795000000000002</v>
      </c>
      <c r="I890" s="64">
        <f>29.7952 * CHOOSE(CONTROL!$C$22, $C$13, 100%, $E$13)</f>
        <v>29.795200000000001</v>
      </c>
      <c r="J890" s="64">
        <f>18.2974 * CHOOSE(CONTROL!$C$22, $C$13, 100%, $E$13)</f>
        <v>18.2974</v>
      </c>
      <c r="K890" s="64">
        <f>18.2976 * CHOOSE(CONTROL!$C$22, $C$13, 100%, $E$13)</f>
        <v>18.297599999999999</v>
      </c>
    </row>
    <row r="891" spans="1:11" ht="15">
      <c r="A891" s="13">
        <v>68759</v>
      </c>
      <c r="B891" s="63">
        <f>15.5902 * CHOOSE(CONTROL!$C$22, $C$13, 100%, $E$13)</f>
        <v>15.590199999999999</v>
      </c>
      <c r="C891" s="63">
        <f>15.5902 * CHOOSE(CONTROL!$C$22, $C$13, 100%, $E$13)</f>
        <v>15.590199999999999</v>
      </c>
      <c r="D891" s="63">
        <f>15.603 * CHOOSE(CONTROL!$C$22, $C$13, 100%, $E$13)</f>
        <v>15.603</v>
      </c>
      <c r="E891" s="64">
        <f>18.4631 * CHOOSE(CONTROL!$C$22, $C$13, 100%, $E$13)</f>
        <v>18.463100000000001</v>
      </c>
      <c r="F891" s="64">
        <f>18.4631 * CHOOSE(CONTROL!$C$22, $C$13, 100%, $E$13)</f>
        <v>18.463100000000001</v>
      </c>
      <c r="G891" s="64">
        <f>18.4633 * CHOOSE(CONTROL!$C$22, $C$13, 100%, $E$13)</f>
        <v>18.4633</v>
      </c>
      <c r="H891" s="64">
        <f>29.8571* CHOOSE(CONTROL!$C$22, $C$13, 100%, $E$13)</f>
        <v>29.857099999999999</v>
      </c>
      <c r="I891" s="64">
        <f>29.8573 * CHOOSE(CONTROL!$C$22, $C$13, 100%, $E$13)</f>
        <v>29.857299999999999</v>
      </c>
      <c r="J891" s="64">
        <f>18.4631 * CHOOSE(CONTROL!$C$22, $C$13, 100%, $E$13)</f>
        <v>18.463100000000001</v>
      </c>
      <c r="K891" s="64">
        <f>18.4633 * CHOOSE(CONTROL!$C$22, $C$13, 100%, $E$13)</f>
        <v>18.4633</v>
      </c>
    </row>
    <row r="892" spans="1:11" ht="15">
      <c r="A892" s="13">
        <v>68789</v>
      </c>
      <c r="B892" s="63">
        <f>15.5902 * CHOOSE(CONTROL!$C$22, $C$13, 100%, $E$13)</f>
        <v>15.590199999999999</v>
      </c>
      <c r="C892" s="63">
        <f>15.5902 * CHOOSE(CONTROL!$C$22, $C$13, 100%, $E$13)</f>
        <v>15.590199999999999</v>
      </c>
      <c r="D892" s="63">
        <f>15.6159 * CHOOSE(CONTROL!$C$22, $C$13, 100%, $E$13)</f>
        <v>15.6159</v>
      </c>
      <c r="E892" s="64">
        <f>18.5269 * CHOOSE(CONTROL!$C$22, $C$13, 100%, $E$13)</f>
        <v>18.526900000000001</v>
      </c>
      <c r="F892" s="64">
        <f>18.5269 * CHOOSE(CONTROL!$C$22, $C$13, 100%, $E$13)</f>
        <v>18.526900000000001</v>
      </c>
      <c r="G892" s="64">
        <f>18.5285 * CHOOSE(CONTROL!$C$22, $C$13, 100%, $E$13)</f>
        <v>18.528500000000001</v>
      </c>
      <c r="H892" s="64">
        <f>29.9193* CHOOSE(CONTROL!$C$22, $C$13, 100%, $E$13)</f>
        <v>29.9193</v>
      </c>
      <c r="I892" s="64">
        <f>29.9209 * CHOOSE(CONTROL!$C$22, $C$13, 100%, $E$13)</f>
        <v>29.9209</v>
      </c>
      <c r="J892" s="64">
        <f>18.5269 * CHOOSE(CONTROL!$C$22, $C$13, 100%, $E$13)</f>
        <v>18.526900000000001</v>
      </c>
      <c r="K892" s="64">
        <f>18.5285 * CHOOSE(CONTROL!$C$22, $C$13, 100%, $E$13)</f>
        <v>18.528500000000001</v>
      </c>
    </row>
    <row r="893" spans="1:11" ht="15">
      <c r="A893" s="13">
        <v>68820</v>
      </c>
      <c r="B893" s="63">
        <f>15.5963 * CHOOSE(CONTROL!$C$22, $C$13, 100%, $E$13)</f>
        <v>15.596299999999999</v>
      </c>
      <c r="C893" s="63">
        <f>15.5963 * CHOOSE(CONTROL!$C$22, $C$13, 100%, $E$13)</f>
        <v>15.596299999999999</v>
      </c>
      <c r="D893" s="63">
        <f>15.622 * CHOOSE(CONTROL!$C$22, $C$13, 100%, $E$13)</f>
        <v>15.622</v>
      </c>
      <c r="E893" s="64">
        <f>18.4674 * CHOOSE(CONTROL!$C$22, $C$13, 100%, $E$13)</f>
        <v>18.467400000000001</v>
      </c>
      <c r="F893" s="64">
        <f>18.4674 * CHOOSE(CONTROL!$C$22, $C$13, 100%, $E$13)</f>
        <v>18.467400000000001</v>
      </c>
      <c r="G893" s="64">
        <f>18.469 * CHOOSE(CONTROL!$C$22, $C$13, 100%, $E$13)</f>
        <v>18.469000000000001</v>
      </c>
      <c r="H893" s="64">
        <f>29.9816* CHOOSE(CONTROL!$C$22, $C$13, 100%, $E$13)</f>
        <v>29.9816</v>
      </c>
      <c r="I893" s="64">
        <f>29.9833 * CHOOSE(CONTROL!$C$22, $C$13, 100%, $E$13)</f>
        <v>29.9833</v>
      </c>
      <c r="J893" s="64">
        <f>18.4674 * CHOOSE(CONTROL!$C$22, $C$13, 100%, $E$13)</f>
        <v>18.467400000000001</v>
      </c>
      <c r="K893" s="64">
        <f>18.469 * CHOOSE(CONTROL!$C$22, $C$13, 100%, $E$13)</f>
        <v>18.469000000000001</v>
      </c>
    </row>
    <row r="894" spans="1:11" ht="15">
      <c r="A894" s="13">
        <v>68850</v>
      </c>
      <c r="B894" s="63">
        <f>15.8401 * CHOOSE(CONTROL!$C$22, $C$13, 100%, $E$13)</f>
        <v>15.8401</v>
      </c>
      <c r="C894" s="63">
        <f>15.8401 * CHOOSE(CONTROL!$C$22, $C$13, 100%, $E$13)</f>
        <v>15.8401</v>
      </c>
      <c r="D894" s="63">
        <f>15.8658 * CHOOSE(CONTROL!$C$22, $C$13, 100%, $E$13)</f>
        <v>15.8658</v>
      </c>
      <c r="E894" s="64">
        <f>18.8181 * CHOOSE(CONTROL!$C$22, $C$13, 100%, $E$13)</f>
        <v>18.818100000000001</v>
      </c>
      <c r="F894" s="64">
        <f>18.8181 * CHOOSE(CONTROL!$C$22, $C$13, 100%, $E$13)</f>
        <v>18.818100000000001</v>
      </c>
      <c r="G894" s="64">
        <f>18.8198 * CHOOSE(CONTROL!$C$22, $C$13, 100%, $E$13)</f>
        <v>18.819800000000001</v>
      </c>
      <c r="H894" s="64">
        <f>30.0441* CHOOSE(CONTROL!$C$22, $C$13, 100%, $E$13)</f>
        <v>30.0441</v>
      </c>
      <c r="I894" s="64">
        <f>30.0457 * CHOOSE(CONTROL!$C$22, $C$13, 100%, $E$13)</f>
        <v>30.0457</v>
      </c>
      <c r="J894" s="64">
        <f>18.8181 * CHOOSE(CONTROL!$C$22, $C$13, 100%, $E$13)</f>
        <v>18.818100000000001</v>
      </c>
      <c r="K894" s="64">
        <f>18.8198 * CHOOSE(CONTROL!$C$22, $C$13, 100%, $E$13)</f>
        <v>18.819800000000001</v>
      </c>
    </row>
    <row r="895" spans="1:11" ht="15">
      <c r="A895" s="13">
        <v>68881</v>
      </c>
      <c r="B895" s="63">
        <f>15.8468 * CHOOSE(CONTROL!$C$22, $C$13, 100%, $E$13)</f>
        <v>15.8468</v>
      </c>
      <c r="C895" s="63">
        <f>15.8468 * CHOOSE(CONTROL!$C$22, $C$13, 100%, $E$13)</f>
        <v>15.8468</v>
      </c>
      <c r="D895" s="63">
        <f>15.8725 * CHOOSE(CONTROL!$C$22, $C$13, 100%, $E$13)</f>
        <v>15.8725</v>
      </c>
      <c r="E895" s="64">
        <f>18.6315 * CHOOSE(CONTROL!$C$22, $C$13, 100%, $E$13)</f>
        <v>18.631499999999999</v>
      </c>
      <c r="F895" s="64">
        <f>18.6315 * CHOOSE(CONTROL!$C$22, $C$13, 100%, $E$13)</f>
        <v>18.631499999999999</v>
      </c>
      <c r="G895" s="64">
        <f>18.6332 * CHOOSE(CONTROL!$C$22, $C$13, 100%, $E$13)</f>
        <v>18.633199999999999</v>
      </c>
      <c r="H895" s="64">
        <f>30.1067* CHOOSE(CONTROL!$C$22, $C$13, 100%, $E$13)</f>
        <v>30.1067</v>
      </c>
      <c r="I895" s="64">
        <f>30.1083 * CHOOSE(CONTROL!$C$22, $C$13, 100%, $E$13)</f>
        <v>30.1083</v>
      </c>
      <c r="J895" s="64">
        <f>18.6315 * CHOOSE(CONTROL!$C$22, $C$13, 100%, $E$13)</f>
        <v>18.631499999999999</v>
      </c>
      <c r="K895" s="64">
        <f>18.6332 * CHOOSE(CONTROL!$C$22, $C$13, 100%, $E$13)</f>
        <v>18.633199999999999</v>
      </c>
    </row>
    <row r="896" spans="1:11" ht="15">
      <c r="A896" s="13">
        <v>68912</v>
      </c>
      <c r="B896" s="63">
        <f>15.8437 * CHOOSE(CONTROL!$C$22, $C$13, 100%, $E$13)</f>
        <v>15.8437</v>
      </c>
      <c r="C896" s="63">
        <f>15.8437 * CHOOSE(CONTROL!$C$22, $C$13, 100%, $E$13)</f>
        <v>15.8437</v>
      </c>
      <c r="D896" s="63">
        <f>15.8695 * CHOOSE(CONTROL!$C$22, $C$13, 100%, $E$13)</f>
        <v>15.8695</v>
      </c>
      <c r="E896" s="64">
        <f>18.6082 * CHOOSE(CONTROL!$C$22, $C$13, 100%, $E$13)</f>
        <v>18.6082</v>
      </c>
      <c r="F896" s="64">
        <f>18.6082 * CHOOSE(CONTROL!$C$22, $C$13, 100%, $E$13)</f>
        <v>18.6082</v>
      </c>
      <c r="G896" s="64">
        <f>18.6098 * CHOOSE(CONTROL!$C$22, $C$13, 100%, $E$13)</f>
        <v>18.6098</v>
      </c>
      <c r="H896" s="64">
        <f>30.1694* CHOOSE(CONTROL!$C$22, $C$13, 100%, $E$13)</f>
        <v>30.1694</v>
      </c>
      <c r="I896" s="64">
        <f>30.171 * CHOOSE(CONTROL!$C$22, $C$13, 100%, $E$13)</f>
        <v>30.170999999999999</v>
      </c>
      <c r="J896" s="64">
        <f>18.6082 * CHOOSE(CONTROL!$C$22, $C$13, 100%, $E$13)</f>
        <v>18.6082</v>
      </c>
      <c r="K896" s="64">
        <f>18.6098 * CHOOSE(CONTROL!$C$22, $C$13, 100%, $E$13)</f>
        <v>18.6098</v>
      </c>
    </row>
    <row r="897" spans="1:11" ht="15">
      <c r="A897" s="13">
        <v>68942</v>
      </c>
      <c r="B897" s="63">
        <f>15.8776 * CHOOSE(CONTROL!$C$22, $C$13, 100%, $E$13)</f>
        <v>15.877599999999999</v>
      </c>
      <c r="C897" s="63">
        <f>15.8776 * CHOOSE(CONTROL!$C$22, $C$13, 100%, $E$13)</f>
        <v>15.877599999999999</v>
      </c>
      <c r="D897" s="63">
        <f>15.8905 * CHOOSE(CONTROL!$C$22, $C$13, 100%, $E$13)</f>
        <v>15.890499999999999</v>
      </c>
      <c r="E897" s="64">
        <f>18.6798 * CHOOSE(CONTROL!$C$22, $C$13, 100%, $E$13)</f>
        <v>18.6798</v>
      </c>
      <c r="F897" s="64">
        <f>18.6798 * CHOOSE(CONTROL!$C$22, $C$13, 100%, $E$13)</f>
        <v>18.6798</v>
      </c>
      <c r="G897" s="64">
        <f>18.6799 * CHOOSE(CONTROL!$C$22, $C$13, 100%, $E$13)</f>
        <v>18.6799</v>
      </c>
      <c r="H897" s="64">
        <f>30.2323* CHOOSE(CONTROL!$C$22, $C$13, 100%, $E$13)</f>
        <v>30.232299999999999</v>
      </c>
      <c r="I897" s="64">
        <f>30.2324 * CHOOSE(CONTROL!$C$22, $C$13, 100%, $E$13)</f>
        <v>30.232399999999998</v>
      </c>
      <c r="J897" s="64">
        <f>18.6798 * CHOOSE(CONTROL!$C$22, $C$13, 100%, $E$13)</f>
        <v>18.6798</v>
      </c>
      <c r="K897" s="64">
        <f>18.6799 * CHOOSE(CONTROL!$C$22, $C$13, 100%, $E$13)</f>
        <v>18.6799</v>
      </c>
    </row>
    <row r="898" spans="1:11" ht="15">
      <c r="A898" s="13">
        <v>68973</v>
      </c>
      <c r="B898" s="63">
        <f>15.8806 * CHOOSE(CONTROL!$C$22, $C$13, 100%, $E$13)</f>
        <v>15.880599999999999</v>
      </c>
      <c r="C898" s="63">
        <f>15.8806 * CHOOSE(CONTROL!$C$22, $C$13, 100%, $E$13)</f>
        <v>15.880599999999999</v>
      </c>
      <c r="D898" s="63">
        <f>15.8935 * CHOOSE(CONTROL!$C$22, $C$13, 100%, $E$13)</f>
        <v>15.8935</v>
      </c>
      <c r="E898" s="64">
        <f>18.7244 * CHOOSE(CONTROL!$C$22, $C$13, 100%, $E$13)</f>
        <v>18.724399999999999</v>
      </c>
      <c r="F898" s="64">
        <f>18.7244 * CHOOSE(CONTROL!$C$22, $C$13, 100%, $E$13)</f>
        <v>18.724399999999999</v>
      </c>
      <c r="G898" s="64">
        <f>18.7245 * CHOOSE(CONTROL!$C$22, $C$13, 100%, $E$13)</f>
        <v>18.724499999999999</v>
      </c>
      <c r="H898" s="64">
        <f>30.2952* CHOOSE(CONTROL!$C$22, $C$13, 100%, $E$13)</f>
        <v>30.295200000000001</v>
      </c>
      <c r="I898" s="64">
        <f>30.2954 * CHOOSE(CONTROL!$C$22, $C$13, 100%, $E$13)</f>
        <v>30.295400000000001</v>
      </c>
      <c r="J898" s="64">
        <f>18.7244 * CHOOSE(CONTROL!$C$22, $C$13, 100%, $E$13)</f>
        <v>18.724399999999999</v>
      </c>
      <c r="K898" s="64">
        <f>18.7245 * CHOOSE(CONTROL!$C$22, $C$13, 100%, $E$13)</f>
        <v>18.724499999999999</v>
      </c>
    </row>
    <row r="899" spans="1:11" ht="15">
      <c r="A899" s="13">
        <v>69003</v>
      </c>
      <c r="B899" s="63">
        <f>15.8806 * CHOOSE(CONTROL!$C$22, $C$13, 100%, $E$13)</f>
        <v>15.880599999999999</v>
      </c>
      <c r="C899" s="63">
        <f>15.8806 * CHOOSE(CONTROL!$C$22, $C$13, 100%, $E$13)</f>
        <v>15.880599999999999</v>
      </c>
      <c r="D899" s="63">
        <f>15.8935 * CHOOSE(CONTROL!$C$22, $C$13, 100%, $E$13)</f>
        <v>15.8935</v>
      </c>
      <c r="E899" s="64">
        <f>18.6181 * CHOOSE(CONTROL!$C$22, $C$13, 100%, $E$13)</f>
        <v>18.618099999999998</v>
      </c>
      <c r="F899" s="64">
        <f>18.6181 * CHOOSE(CONTROL!$C$22, $C$13, 100%, $E$13)</f>
        <v>18.618099999999998</v>
      </c>
      <c r="G899" s="64">
        <f>18.6183 * CHOOSE(CONTROL!$C$22, $C$13, 100%, $E$13)</f>
        <v>18.618300000000001</v>
      </c>
      <c r="H899" s="64">
        <f>30.3584* CHOOSE(CONTROL!$C$22, $C$13, 100%, $E$13)</f>
        <v>30.3584</v>
      </c>
      <c r="I899" s="64">
        <f>30.3585 * CHOOSE(CONTROL!$C$22, $C$13, 100%, $E$13)</f>
        <v>30.358499999999999</v>
      </c>
      <c r="J899" s="64">
        <f>18.6181 * CHOOSE(CONTROL!$C$22, $C$13, 100%, $E$13)</f>
        <v>18.618099999999998</v>
      </c>
      <c r="K899" s="64">
        <f>18.6183 * CHOOSE(CONTROL!$C$22, $C$13, 100%, $E$13)</f>
        <v>18.618300000000001</v>
      </c>
    </row>
    <row r="900" spans="1:11" ht="15">
      <c r="A900" s="13">
        <v>69034</v>
      </c>
      <c r="B900" s="63">
        <f>15.834 * CHOOSE(CONTROL!$C$22, $C$13, 100%, $E$13)</f>
        <v>15.834</v>
      </c>
      <c r="C900" s="63">
        <f>15.834 * CHOOSE(CONTROL!$C$22, $C$13, 100%, $E$13)</f>
        <v>15.834</v>
      </c>
      <c r="D900" s="63">
        <f>15.8469 * CHOOSE(CONTROL!$C$22, $C$13, 100%, $E$13)</f>
        <v>15.8469</v>
      </c>
      <c r="E900" s="64">
        <f>18.6365 * CHOOSE(CONTROL!$C$22, $C$13, 100%, $E$13)</f>
        <v>18.636500000000002</v>
      </c>
      <c r="F900" s="64">
        <f>18.6365 * CHOOSE(CONTROL!$C$22, $C$13, 100%, $E$13)</f>
        <v>18.636500000000002</v>
      </c>
      <c r="G900" s="64">
        <f>18.6367 * CHOOSE(CONTROL!$C$22, $C$13, 100%, $E$13)</f>
        <v>18.636700000000001</v>
      </c>
      <c r="H900" s="64">
        <f>30.1172* CHOOSE(CONTROL!$C$22, $C$13, 100%, $E$13)</f>
        <v>30.1172</v>
      </c>
      <c r="I900" s="64">
        <f>30.1173 * CHOOSE(CONTROL!$C$22, $C$13, 100%, $E$13)</f>
        <v>30.1173</v>
      </c>
      <c r="J900" s="64">
        <f>18.6365 * CHOOSE(CONTROL!$C$22, $C$13, 100%, $E$13)</f>
        <v>18.636500000000002</v>
      </c>
      <c r="K900" s="64">
        <f>18.6367 * CHOOSE(CONTROL!$C$22, $C$13, 100%, $E$13)</f>
        <v>18.636700000000001</v>
      </c>
    </row>
    <row r="901" spans="1:11" ht="15">
      <c r="A901" s="13">
        <v>69065</v>
      </c>
      <c r="B901" s="63">
        <f>15.831 * CHOOSE(CONTROL!$C$22, $C$13, 100%, $E$13)</f>
        <v>15.831</v>
      </c>
      <c r="C901" s="63">
        <f>15.831 * CHOOSE(CONTROL!$C$22, $C$13, 100%, $E$13)</f>
        <v>15.831</v>
      </c>
      <c r="D901" s="63">
        <f>15.8439 * CHOOSE(CONTROL!$C$22, $C$13, 100%, $E$13)</f>
        <v>15.8439</v>
      </c>
      <c r="E901" s="64">
        <f>18.4304 * CHOOSE(CONTROL!$C$22, $C$13, 100%, $E$13)</f>
        <v>18.430399999999999</v>
      </c>
      <c r="F901" s="64">
        <f>18.4304 * CHOOSE(CONTROL!$C$22, $C$13, 100%, $E$13)</f>
        <v>18.430399999999999</v>
      </c>
      <c r="G901" s="64">
        <f>18.4306 * CHOOSE(CONTROL!$C$22, $C$13, 100%, $E$13)</f>
        <v>18.430599999999998</v>
      </c>
      <c r="H901" s="64">
        <f>30.1799* CHOOSE(CONTROL!$C$22, $C$13, 100%, $E$13)</f>
        <v>30.1799</v>
      </c>
      <c r="I901" s="64">
        <f>30.1801 * CHOOSE(CONTROL!$C$22, $C$13, 100%, $E$13)</f>
        <v>30.180099999999999</v>
      </c>
      <c r="J901" s="64">
        <f>18.4304 * CHOOSE(CONTROL!$C$22, $C$13, 100%, $E$13)</f>
        <v>18.430399999999999</v>
      </c>
      <c r="K901" s="64">
        <f>18.4306 * CHOOSE(CONTROL!$C$22, $C$13, 100%, $E$13)</f>
        <v>18.430599999999998</v>
      </c>
    </row>
    <row r="902" spans="1:11" ht="15">
      <c r="A902" s="13">
        <v>69093</v>
      </c>
      <c r="B902" s="63">
        <f>15.828 * CHOOSE(CONTROL!$C$22, $C$13, 100%, $E$13)</f>
        <v>15.827999999999999</v>
      </c>
      <c r="C902" s="63">
        <f>15.828 * CHOOSE(CONTROL!$C$22, $C$13, 100%, $E$13)</f>
        <v>15.827999999999999</v>
      </c>
      <c r="D902" s="63">
        <f>15.8408 * CHOOSE(CONTROL!$C$22, $C$13, 100%, $E$13)</f>
        <v>15.8408</v>
      </c>
      <c r="E902" s="64">
        <f>18.5891 * CHOOSE(CONTROL!$C$22, $C$13, 100%, $E$13)</f>
        <v>18.589099999999998</v>
      </c>
      <c r="F902" s="64">
        <f>18.5891 * CHOOSE(CONTROL!$C$22, $C$13, 100%, $E$13)</f>
        <v>18.589099999999998</v>
      </c>
      <c r="G902" s="64">
        <f>18.5893 * CHOOSE(CONTROL!$C$22, $C$13, 100%, $E$13)</f>
        <v>18.589300000000001</v>
      </c>
      <c r="H902" s="64">
        <f>30.2428* CHOOSE(CONTROL!$C$22, $C$13, 100%, $E$13)</f>
        <v>30.242799999999999</v>
      </c>
      <c r="I902" s="64">
        <f>30.2429 * CHOOSE(CONTROL!$C$22, $C$13, 100%, $E$13)</f>
        <v>30.242899999999999</v>
      </c>
      <c r="J902" s="64">
        <f>18.5891 * CHOOSE(CONTROL!$C$22, $C$13, 100%, $E$13)</f>
        <v>18.589099999999998</v>
      </c>
      <c r="K902" s="64">
        <f>18.5893 * CHOOSE(CONTROL!$C$22, $C$13, 100%, $E$13)</f>
        <v>18.589300000000001</v>
      </c>
    </row>
    <row r="903" spans="1:11" ht="15">
      <c r="A903" s="13">
        <v>69124</v>
      </c>
      <c r="B903" s="63">
        <f>15.8357 * CHOOSE(CONTROL!$C$22, $C$13, 100%, $E$13)</f>
        <v>15.835699999999999</v>
      </c>
      <c r="C903" s="63">
        <f>15.8357 * CHOOSE(CONTROL!$C$22, $C$13, 100%, $E$13)</f>
        <v>15.835699999999999</v>
      </c>
      <c r="D903" s="63">
        <f>15.8486 * CHOOSE(CONTROL!$C$22, $C$13, 100%, $E$13)</f>
        <v>15.848599999999999</v>
      </c>
      <c r="E903" s="64">
        <f>18.7576 * CHOOSE(CONTROL!$C$22, $C$13, 100%, $E$13)</f>
        <v>18.7576</v>
      </c>
      <c r="F903" s="64">
        <f>18.7576 * CHOOSE(CONTROL!$C$22, $C$13, 100%, $E$13)</f>
        <v>18.7576</v>
      </c>
      <c r="G903" s="64">
        <f>18.7578 * CHOOSE(CONTROL!$C$22, $C$13, 100%, $E$13)</f>
        <v>18.7578</v>
      </c>
      <c r="H903" s="64">
        <f>30.3058* CHOOSE(CONTROL!$C$22, $C$13, 100%, $E$13)</f>
        <v>30.305800000000001</v>
      </c>
      <c r="I903" s="64">
        <f>30.306 * CHOOSE(CONTROL!$C$22, $C$13, 100%, $E$13)</f>
        <v>30.306000000000001</v>
      </c>
      <c r="J903" s="64">
        <f>18.7576 * CHOOSE(CONTROL!$C$22, $C$13, 100%, $E$13)</f>
        <v>18.7576</v>
      </c>
      <c r="K903" s="64">
        <f>18.7578 * CHOOSE(CONTROL!$C$22, $C$13, 100%, $E$13)</f>
        <v>18.7578</v>
      </c>
    </row>
    <row r="904" spans="1:11" ht="15">
      <c r="A904" s="13">
        <v>69154</v>
      </c>
      <c r="B904" s="63">
        <f>15.8357 * CHOOSE(CONTROL!$C$22, $C$13, 100%, $E$13)</f>
        <v>15.835699999999999</v>
      </c>
      <c r="C904" s="63">
        <f>15.8357 * CHOOSE(CONTROL!$C$22, $C$13, 100%, $E$13)</f>
        <v>15.835699999999999</v>
      </c>
      <c r="D904" s="63">
        <f>15.8614 * CHOOSE(CONTROL!$C$22, $C$13, 100%, $E$13)</f>
        <v>15.8614</v>
      </c>
      <c r="E904" s="64">
        <f>18.8224 * CHOOSE(CONTROL!$C$22, $C$13, 100%, $E$13)</f>
        <v>18.822399999999998</v>
      </c>
      <c r="F904" s="64">
        <f>18.8224 * CHOOSE(CONTROL!$C$22, $C$13, 100%, $E$13)</f>
        <v>18.822399999999998</v>
      </c>
      <c r="G904" s="64">
        <f>18.824 * CHOOSE(CONTROL!$C$22, $C$13, 100%, $E$13)</f>
        <v>18.824000000000002</v>
      </c>
      <c r="H904" s="64">
        <f>30.3689* CHOOSE(CONTROL!$C$22, $C$13, 100%, $E$13)</f>
        <v>30.3689</v>
      </c>
      <c r="I904" s="64">
        <f>30.3706 * CHOOSE(CONTROL!$C$22, $C$13, 100%, $E$13)</f>
        <v>30.3706</v>
      </c>
      <c r="J904" s="64">
        <f>18.8224 * CHOOSE(CONTROL!$C$22, $C$13, 100%, $E$13)</f>
        <v>18.822399999999998</v>
      </c>
      <c r="K904" s="64">
        <f>18.824 * CHOOSE(CONTROL!$C$22, $C$13, 100%, $E$13)</f>
        <v>18.824000000000002</v>
      </c>
    </row>
    <row r="905" spans="1:11" ht="15">
      <c r="A905" s="13">
        <v>69185</v>
      </c>
      <c r="B905" s="63">
        <f>15.8418 * CHOOSE(CONTROL!$C$22, $C$13, 100%, $E$13)</f>
        <v>15.841799999999999</v>
      </c>
      <c r="C905" s="63">
        <f>15.8418 * CHOOSE(CONTROL!$C$22, $C$13, 100%, $E$13)</f>
        <v>15.841799999999999</v>
      </c>
      <c r="D905" s="63">
        <f>15.8675 * CHOOSE(CONTROL!$C$22, $C$13, 100%, $E$13)</f>
        <v>15.8675</v>
      </c>
      <c r="E905" s="64">
        <f>18.7618 * CHOOSE(CONTROL!$C$22, $C$13, 100%, $E$13)</f>
        <v>18.761800000000001</v>
      </c>
      <c r="F905" s="64">
        <f>18.7618 * CHOOSE(CONTROL!$C$22, $C$13, 100%, $E$13)</f>
        <v>18.761800000000001</v>
      </c>
      <c r="G905" s="64">
        <f>18.7635 * CHOOSE(CONTROL!$C$22, $C$13, 100%, $E$13)</f>
        <v>18.763500000000001</v>
      </c>
      <c r="H905" s="64">
        <f>30.4322* CHOOSE(CONTROL!$C$22, $C$13, 100%, $E$13)</f>
        <v>30.432200000000002</v>
      </c>
      <c r="I905" s="64">
        <f>30.4338 * CHOOSE(CONTROL!$C$22, $C$13, 100%, $E$13)</f>
        <v>30.433800000000002</v>
      </c>
      <c r="J905" s="64">
        <f>18.7618 * CHOOSE(CONTROL!$C$22, $C$13, 100%, $E$13)</f>
        <v>18.761800000000001</v>
      </c>
      <c r="K905" s="64">
        <f>18.7635 * CHOOSE(CONTROL!$C$22, $C$13, 100%, $E$13)</f>
        <v>18.763500000000001</v>
      </c>
    </row>
    <row r="906" spans="1:11" ht="15">
      <c r="A906" s="13">
        <v>69215</v>
      </c>
      <c r="B906" s="63">
        <f>16.0893 * CHOOSE(CONTROL!$C$22, $C$13, 100%, $E$13)</f>
        <v>16.089300000000001</v>
      </c>
      <c r="C906" s="63">
        <f>16.0893 * CHOOSE(CONTROL!$C$22, $C$13, 100%, $E$13)</f>
        <v>16.089300000000001</v>
      </c>
      <c r="D906" s="63">
        <f>16.1151 * CHOOSE(CONTROL!$C$22, $C$13, 100%, $E$13)</f>
        <v>16.115100000000002</v>
      </c>
      <c r="E906" s="64">
        <f>19.118 * CHOOSE(CONTROL!$C$22, $C$13, 100%, $E$13)</f>
        <v>19.117999999999999</v>
      </c>
      <c r="F906" s="64">
        <f>19.118 * CHOOSE(CONTROL!$C$22, $C$13, 100%, $E$13)</f>
        <v>19.117999999999999</v>
      </c>
      <c r="G906" s="64">
        <f>19.1196 * CHOOSE(CONTROL!$C$22, $C$13, 100%, $E$13)</f>
        <v>19.119599999999998</v>
      </c>
      <c r="H906" s="64">
        <f>30.4956* CHOOSE(CONTROL!$C$22, $C$13, 100%, $E$13)</f>
        <v>30.4956</v>
      </c>
      <c r="I906" s="64">
        <f>30.4972 * CHOOSE(CONTROL!$C$22, $C$13, 100%, $E$13)</f>
        <v>30.497199999999999</v>
      </c>
      <c r="J906" s="64">
        <f>19.118 * CHOOSE(CONTROL!$C$22, $C$13, 100%, $E$13)</f>
        <v>19.117999999999999</v>
      </c>
      <c r="K906" s="64">
        <f>19.1196 * CHOOSE(CONTROL!$C$22, $C$13, 100%, $E$13)</f>
        <v>19.119599999999998</v>
      </c>
    </row>
    <row r="907" spans="1:11" ht="15">
      <c r="A907" s="13">
        <v>69246</v>
      </c>
      <c r="B907" s="63">
        <f>16.096 * CHOOSE(CONTROL!$C$22, $C$13, 100%, $E$13)</f>
        <v>16.096</v>
      </c>
      <c r="C907" s="63">
        <f>16.096 * CHOOSE(CONTROL!$C$22, $C$13, 100%, $E$13)</f>
        <v>16.096</v>
      </c>
      <c r="D907" s="63">
        <f>16.1217 * CHOOSE(CONTROL!$C$22, $C$13, 100%, $E$13)</f>
        <v>16.121700000000001</v>
      </c>
      <c r="E907" s="64">
        <f>18.9284 * CHOOSE(CONTROL!$C$22, $C$13, 100%, $E$13)</f>
        <v>18.9284</v>
      </c>
      <c r="F907" s="64">
        <f>18.9284 * CHOOSE(CONTROL!$C$22, $C$13, 100%, $E$13)</f>
        <v>18.9284</v>
      </c>
      <c r="G907" s="64">
        <f>18.93 * CHOOSE(CONTROL!$C$22, $C$13, 100%, $E$13)</f>
        <v>18.93</v>
      </c>
      <c r="H907" s="64">
        <f>30.5591* CHOOSE(CONTROL!$C$22, $C$13, 100%, $E$13)</f>
        <v>30.559100000000001</v>
      </c>
      <c r="I907" s="64">
        <f>30.5608 * CHOOSE(CONTROL!$C$22, $C$13, 100%, $E$13)</f>
        <v>30.5608</v>
      </c>
      <c r="J907" s="64">
        <f>18.9284 * CHOOSE(CONTROL!$C$22, $C$13, 100%, $E$13)</f>
        <v>18.9284</v>
      </c>
      <c r="K907" s="64">
        <f>18.93 * CHOOSE(CONTROL!$C$22, $C$13, 100%, $E$13)</f>
        <v>18.93</v>
      </c>
    </row>
    <row r="908" spans="1:11" ht="15">
      <c r="A908" s="13">
        <v>69277</v>
      </c>
      <c r="B908" s="63">
        <f>16.093 * CHOOSE(CONTROL!$C$22, $C$13, 100%, $E$13)</f>
        <v>16.093</v>
      </c>
      <c r="C908" s="63">
        <f>16.093 * CHOOSE(CONTROL!$C$22, $C$13, 100%, $E$13)</f>
        <v>16.093</v>
      </c>
      <c r="D908" s="63">
        <f>16.1187 * CHOOSE(CONTROL!$C$22, $C$13, 100%, $E$13)</f>
        <v>16.1187</v>
      </c>
      <c r="E908" s="64">
        <f>18.9047 * CHOOSE(CONTROL!$C$22, $C$13, 100%, $E$13)</f>
        <v>18.904699999999998</v>
      </c>
      <c r="F908" s="64">
        <f>18.9047 * CHOOSE(CONTROL!$C$22, $C$13, 100%, $E$13)</f>
        <v>18.904699999999998</v>
      </c>
      <c r="G908" s="64">
        <f>18.9063 * CHOOSE(CONTROL!$C$22, $C$13, 100%, $E$13)</f>
        <v>18.906300000000002</v>
      </c>
      <c r="H908" s="64">
        <f>30.6228* CHOOSE(CONTROL!$C$22, $C$13, 100%, $E$13)</f>
        <v>30.622800000000002</v>
      </c>
      <c r="I908" s="64">
        <f>30.6244 * CHOOSE(CONTROL!$C$22, $C$13, 100%, $E$13)</f>
        <v>30.624400000000001</v>
      </c>
      <c r="J908" s="64">
        <f>18.9047 * CHOOSE(CONTROL!$C$22, $C$13, 100%, $E$13)</f>
        <v>18.904699999999998</v>
      </c>
      <c r="K908" s="64">
        <f>18.9063 * CHOOSE(CONTROL!$C$22, $C$13, 100%, $E$13)</f>
        <v>18.906300000000002</v>
      </c>
    </row>
    <row r="909" spans="1:11" ht="15">
      <c r="A909" s="13">
        <v>69307</v>
      </c>
      <c r="B909" s="63">
        <f>16.1276 * CHOOSE(CONTROL!$C$22, $C$13, 100%, $E$13)</f>
        <v>16.127600000000001</v>
      </c>
      <c r="C909" s="63">
        <f>16.1276 * CHOOSE(CONTROL!$C$22, $C$13, 100%, $E$13)</f>
        <v>16.127600000000001</v>
      </c>
      <c r="D909" s="63">
        <f>16.1405 * CHOOSE(CONTROL!$C$22, $C$13, 100%, $E$13)</f>
        <v>16.140499999999999</v>
      </c>
      <c r="E909" s="64">
        <f>18.9776 * CHOOSE(CONTROL!$C$22, $C$13, 100%, $E$13)</f>
        <v>18.977599999999999</v>
      </c>
      <c r="F909" s="64">
        <f>18.9776 * CHOOSE(CONTROL!$C$22, $C$13, 100%, $E$13)</f>
        <v>18.977599999999999</v>
      </c>
      <c r="G909" s="64">
        <f>18.9778 * CHOOSE(CONTROL!$C$22, $C$13, 100%, $E$13)</f>
        <v>18.977799999999998</v>
      </c>
      <c r="H909" s="64">
        <f>30.6866* CHOOSE(CONTROL!$C$22, $C$13, 100%, $E$13)</f>
        <v>30.686599999999999</v>
      </c>
      <c r="I909" s="64">
        <f>30.6868 * CHOOSE(CONTROL!$C$22, $C$13, 100%, $E$13)</f>
        <v>30.686800000000002</v>
      </c>
      <c r="J909" s="64">
        <f>18.9776 * CHOOSE(CONTROL!$C$22, $C$13, 100%, $E$13)</f>
        <v>18.977599999999999</v>
      </c>
      <c r="K909" s="64">
        <f>18.9778 * CHOOSE(CONTROL!$C$22, $C$13, 100%, $E$13)</f>
        <v>18.977799999999998</v>
      </c>
    </row>
    <row r="910" spans="1:11" ht="15">
      <c r="A910" s="13">
        <v>69338</v>
      </c>
      <c r="B910" s="63">
        <f>16.1306 * CHOOSE(CONTROL!$C$22, $C$13, 100%, $E$13)</f>
        <v>16.130600000000001</v>
      </c>
      <c r="C910" s="63">
        <f>16.1306 * CHOOSE(CONTROL!$C$22, $C$13, 100%, $E$13)</f>
        <v>16.130600000000001</v>
      </c>
      <c r="D910" s="63">
        <f>16.1435 * CHOOSE(CONTROL!$C$22, $C$13, 100%, $E$13)</f>
        <v>16.1435</v>
      </c>
      <c r="E910" s="64">
        <f>19.0229 * CHOOSE(CONTROL!$C$22, $C$13, 100%, $E$13)</f>
        <v>19.0229</v>
      </c>
      <c r="F910" s="64">
        <f>19.0229 * CHOOSE(CONTROL!$C$22, $C$13, 100%, $E$13)</f>
        <v>19.0229</v>
      </c>
      <c r="G910" s="64">
        <f>19.0231 * CHOOSE(CONTROL!$C$22, $C$13, 100%, $E$13)</f>
        <v>19.023099999999999</v>
      </c>
      <c r="H910" s="64">
        <f>30.7505* CHOOSE(CONTROL!$C$22, $C$13, 100%, $E$13)</f>
        <v>30.750499999999999</v>
      </c>
      <c r="I910" s="64">
        <f>30.7507 * CHOOSE(CONTROL!$C$22, $C$13, 100%, $E$13)</f>
        <v>30.750699999999998</v>
      </c>
      <c r="J910" s="64">
        <f>19.0229 * CHOOSE(CONTROL!$C$22, $C$13, 100%, $E$13)</f>
        <v>19.0229</v>
      </c>
      <c r="K910" s="64">
        <f>19.0231 * CHOOSE(CONTROL!$C$22, $C$13, 100%, $E$13)</f>
        <v>19.023099999999999</v>
      </c>
    </row>
    <row r="911" spans="1:11" ht="15">
      <c r="A911" s="13">
        <v>69368</v>
      </c>
      <c r="B911" s="63">
        <f>16.1306 * CHOOSE(CONTROL!$C$22, $C$13, 100%, $E$13)</f>
        <v>16.130600000000001</v>
      </c>
      <c r="C911" s="63">
        <f>16.1306 * CHOOSE(CONTROL!$C$22, $C$13, 100%, $E$13)</f>
        <v>16.130600000000001</v>
      </c>
      <c r="D911" s="63">
        <f>16.1435 * CHOOSE(CONTROL!$C$22, $C$13, 100%, $E$13)</f>
        <v>16.1435</v>
      </c>
      <c r="E911" s="64">
        <f>18.915 * CHOOSE(CONTROL!$C$22, $C$13, 100%, $E$13)</f>
        <v>18.914999999999999</v>
      </c>
      <c r="F911" s="64">
        <f>18.915 * CHOOSE(CONTROL!$C$22, $C$13, 100%, $E$13)</f>
        <v>18.914999999999999</v>
      </c>
      <c r="G911" s="64">
        <f>18.9151 * CHOOSE(CONTROL!$C$22, $C$13, 100%, $E$13)</f>
        <v>18.915099999999999</v>
      </c>
      <c r="H911" s="64">
        <f>30.8146* CHOOSE(CONTROL!$C$22, $C$13, 100%, $E$13)</f>
        <v>30.814599999999999</v>
      </c>
      <c r="I911" s="64">
        <f>30.8147 * CHOOSE(CONTROL!$C$22, $C$13, 100%, $E$13)</f>
        <v>30.814699999999998</v>
      </c>
      <c r="J911" s="64">
        <f>18.915 * CHOOSE(CONTROL!$C$22, $C$13, 100%, $E$13)</f>
        <v>18.914999999999999</v>
      </c>
      <c r="K911" s="64">
        <f>18.9151 * CHOOSE(CONTROL!$C$22, $C$13, 100%, $E$13)</f>
        <v>18.915099999999999</v>
      </c>
    </row>
    <row r="912" spans="1:11" ht="15">
      <c r="A912" s="13">
        <v>69399</v>
      </c>
      <c r="B912" s="63">
        <f>16.0794 * CHOOSE(CONTROL!$C$22, $C$13, 100%, $E$13)</f>
        <v>16.0794</v>
      </c>
      <c r="C912" s="63">
        <f>16.0794 * CHOOSE(CONTROL!$C$22, $C$13, 100%, $E$13)</f>
        <v>16.0794</v>
      </c>
      <c r="D912" s="63">
        <f>16.0922 * CHOOSE(CONTROL!$C$22, $C$13, 100%, $E$13)</f>
        <v>16.092199999999998</v>
      </c>
      <c r="E912" s="64">
        <f>18.9289 * CHOOSE(CONTROL!$C$22, $C$13, 100%, $E$13)</f>
        <v>18.928899999999999</v>
      </c>
      <c r="F912" s="64">
        <f>18.9289 * CHOOSE(CONTROL!$C$22, $C$13, 100%, $E$13)</f>
        <v>18.928899999999999</v>
      </c>
      <c r="G912" s="64">
        <f>18.9291 * CHOOSE(CONTROL!$C$22, $C$13, 100%, $E$13)</f>
        <v>18.929099999999998</v>
      </c>
      <c r="H912" s="64">
        <f>30.563* CHOOSE(CONTROL!$C$22, $C$13, 100%, $E$13)</f>
        <v>30.562999999999999</v>
      </c>
      <c r="I912" s="64">
        <f>30.5632 * CHOOSE(CONTROL!$C$22, $C$13, 100%, $E$13)</f>
        <v>30.563199999999998</v>
      </c>
      <c r="J912" s="64">
        <f>18.9289 * CHOOSE(CONTROL!$C$22, $C$13, 100%, $E$13)</f>
        <v>18.928899999999999</v>
      </c>
      <c r="K912" s="64">
        <f>18.9291 * CHOOSE(CONTROL!$C$22, $C$13, 100%, $E$13)</f>
        <v>18.929099999999998</v>
      </c>
    </row>
    <row r="913" spans="1:11" ht="15">
      <c r="A913" s="13">
        <v>69430</v>
      </c>
      <c r="B913" s="63">
        <f>16.0763 * CHOOSE(CONTROL!$C$22, $C$13, 100%, $E$13)</f>
        <v>16.0763</v>
      </c>
      <c r="C913" s="63">
        <f>16.0763 * CHOOSE(CONTROL!$C$22, $C$13, 100%, $E$13)</f>
        <v>16.0763</v>
      </c>
      <c r="D913" s="63">
        <f>16.0892 * CHOOSE(CONTROL!$C$22, $C$13, 100%, $E$13)</f>
        <v>16.089200000000002</v>
      </c>
      <c r="E913" s="64">
        <f>18.7196 * CHOOSE(CONTROL!$C$22, $C$13, 100%, $E$13)</f>
        <v>18.7196</v>
      </c>
      <c r="F913" s="64">
        <f>18.7196 * CHOOSE(CONTROL!$C$22, $C$13, 100%, $E$13)</f>
        <v>18.7196</v>
      </c>
      <c r="G913" s="64">
        <f>18.7198 * CHOOSE(CONTROL!$C$22, $C$13, 100%, $E$13)</f>
        <v>18.719799999999999</v>
      </c>
      <c r="H913" s="64">
        <f>30.6267* CHOOSE(CONTROL!$C$22, $C$13, 100%, $E$13)</f>
        <v>30.6267</v>
      </c>
      <c r="I913" s="64">
        <f>30.6269 * CHOOSE(CONTROL!$C$22, $C$13, 100%, $E$13)</f>
        <v>30.626899999999999</v>
      </c>
      <c r="J913" s="64">
        <f>18.7196 * CHOOSE(CONTROL!$C$22, $C$13, 100%, $E$13)</f>
        <v>18.7196</v>
      </c>
      <c r="K913" s="64">
        <f>18.7198 * CHOOSE(CONTROL!$C$22, $C$13, 100%, $E$13)</f>
        <v>18.719799999999999</v>
      </c>
    </row>
    <row r="914" spans="1:11" ht="15">
      <c r="A914" s="13">
        <v>69458</v>
      </c>
      <c r="B914" s="63">
        <f>16.0733 * CHOOSE(CONTROL!$C$22, $C$13, 100%, $E$13)</f>
        <v>16.0733</v>
      </c>
      <c r="C914" s="63">
        <f>16.0733 * CHOOSE(CONTROL!$C$22, $C$13, 100%, $E$13)</f>
        <v>16.0733</v>
      </c>
      <c r="D914" s="63">
        <f>16.0862 * CHOOSE(CONTROL!$C$22, $C$13, 100%, $E$13)</f>
        <v>16.086200000000002</v>
      </c>
      <c r="E914" s="64">
        <f>18.8809 * CHOOSE(CONTROL!$C$22, $C$13, 100%, $E$13)</f>
        <v>18.8809</v>
      </c>
      <c r="F914" s="64">
        <f>18.8809 * CHOOSE(CONTROL!$C$22, $C$13, 100%, $E$13)</f>
        <v>18.8809</v>
      </c>
      <c r="G914" s="64">
        <f>18.881 * CHOOSE(CONTROL!$C$22, $C$13, 100%, $E$13)</f>
        <v>18.881</v>
      </c>
      <c r="H914" s="64">
        <f>30.6905* CHOOSE(CONTROL!$C$22, $C$13, 100%, $E$13)</f>
        <v>30.6905</v>
      </c>
      <c r="I914" s="64">
        <f>30.6907 * CHOOSE(CONTROL!$C$22, $C$13, 100%, $E$13)</f>
        <v>30.6907</v>
      </c>
      <c r="J914" s="64">
        <f>18.8809 * CHOOSE(CONTROL!$C$22, $C$13, 100%, $E$13)</f>
        <v>18.8809</v>
      </c>
      <c r="K914" s="64">
        <f>18.881 * CHOOSE(CONTROL!$C$22, $C$13, 100%, $E$13)</f>
        <v>18.881</v>
      </c>
    </row>
    <row r="915" spans="1:11" ht="15">
      <c r="A915" s="13">
        <v>69489</v>
      </c>
      <c r="B915" s="63">
        <f>16.0812 * CHOOSE(CONTROL!$C$22, $C$13, 100%, $E$13)</f>
        <v>16.081199999999999</v>
      </c>
      <c r="C915" s="63">
        <f>16.0812 * CHOOSE(CONTROL!$C$22, $C$13, 100%, $E$13)</f>
        <v>16.081199999999999</v>
      </c>
      <c r="D915" s="63">
        <f>16.0941 * CHOOSE(CONTROL!$C$22, $C$13, 100%, $E$13)</f>
        <v>16.094100000000001</v>
      </c>
      <c r="E915" s="64">
        <f>19.052 * CHOOSE(CONTROL!$C$22, $C$13, 100%, $E$13)</f>
        <v>19.052</v>
      </c>
      <c r="F915" s="64">
        <f>19.052 * CHOOSE(CONTROL!$C$22, $C$13, 100%, $E$13)</f>
        <v>19.052</v>
      </c>
      <c r="G915" s="64">
        <f>19.0522 * CHOOSE(CONTROL!$C$22, $C$13, 100%, $E$13)</f>
        <v>19.052199999999999</v>
      </c>
      <c r="H915" s="64">
        <f>30.7545* CHOOSE(CONTROL!$C$22, $C$13, 100%, $E$13)</f>
        <v>30.7545</v>
      </c>
      <c r="I915" s="64">
        <f>30.7546 * CHOOSE(CONTROL!$C$22, $C$13, 100%, $E$13)</f>
        <v>30.7546</v>
      </c>
      <c r="J915" s="64">
        <f>19.052 * CHOOSE(CONTROL!$C$22, $C$13, 100%, $E$13)</f>
        <v>19.052</v>
      </c>
      <c r="K915" s="64">
        <f>19.0522 * CHOOSE(CONTROL!$C$22, $C$13, 100%, $E$13)</f>
        <v>19.052199999999999</v>
      </c>
    </row>
    <row r="916" spans="1:11" ht="15">
      <c r="A916" s="13">
        <v>69519</v>
      </c>
      <c r="B916" s="63">
        <f>16.0812 * CHOOSE(CONTROL!$C$22, $C$13, 100%, $E$13)</f>
        <v>16.081199999999999</v>
      </c>
      <c r="C916" s="63">
        <f>16.0812 * CHOOSE(CONTROL!$C$22, $C$13, 100%, $E$13)</f>
        <v>16.081199999999999</v>
      </c>
      <c r="D916" s="63">
        <f>16.107 * CHOOSE(CONTROL!$C$22, $C$13, 100%, $E$13)</f>
        <v>16.106999999999999</v>
      </c>
      <c r="E916" s="64">
        <f>19.1178 * CHOOSE(CONTROL!$C$22, $C$13, 100%, $E$13)</f>
        <v>19.117799999999999</v>
      </c>
      <c r="F916" s="64">
        <f>19.1178 * CHOOSE(CONTROL!$C$22, $C$13, 100%, $E$13)</f>
        <v>19.117799999999999</v>
      </c>
      <c r="G916" s="64">
        <f>19.1195 * CHOOSE(CONTROL!$C$22, $C$13, 100%, $E$13)</f>
        <v>19.119499999999999</v>
      </c>
      <c r="H916" s="64">
        <f>30.8185* CHOOSE(CONTROL!$C$22, $C$13, 100%, $E$13)</f>
        <v>30.8185</v>
      </c>
      <c r="I916" s="64">
        <f>30.8202 * CHOOSE(CONTROL!$C$22, $C$13, 100%, $E$13)</f>
        <v>30.8202</v>
      </c>
      <c r="J916" s="64">
        <f>19.1178 * CHOOSE(CONTROL!$C$22, $C$13, 100%, $E$13)</f>
        <v>19.117799999999999</v>
      </c>
      <c r="K916" s="64">
        <f>19.1195 * CHOOSE(CONTROL!$C$22, $C$13, 100%, $E$13)</f>
        <v>19.119499999999999</v>
      </c>
    </row>
    <row r="917" spans="1:11" ht="15">
      <c r="A917" s="13">
        <v>69550</v>
      </c>
      <c r="B917" s="63">
        <f>16.0873 * CHOOSE(CONTROL!$C$22, $C$13, 100%, $E$13)</f>
        <v>16.087299999999999</v>
      </c>
      <c r="C917" s="63">
        <f>16.0873 * CHOOSE(CONTROL!$C$22, $C$13, 100%, $E$13)</f>
        <v>16.087299999999999</v>
      </c>
      <c r="D917" s="63">
        <f>16.113 * CHOOSE(CONTROL!$C$22, $C$13, 100%, $E$13)</f>
        <v>16.113</v>
      </c>
      <c r="E917" s="64">
        <f>19.0563 * CHOOSE(CONTROL!$C$22, $C$13, 100%, $E$13)</f>
        <v>19.0563</v>
      </c>
      <c r="F917" s="64">
        <f>19.0563 * CHOOSE(CONTROL!$C$22, $C$13, 100%, $E$13)</f>
        <v>19.0563</v>
      </c>
      <c r="G917" s="64">
        <f>19.0579 * CHOOSE(CONTROL!$C$22, $C$13, 100%, $E$13)</f>
        <v>19.0579</v>
      </c>
      <c r="H917" s="64">
        <f>30.8827* CHOOSE(CONTROL!$C$22, $C$13, 100%, $E$13)</f>
        <v>30.8827</v>
      </c>
      <c r="I917" s="64">
        <f>30.8844 * CHOOSE(CONTROL!$C$22, $C$13, 100%, $E$13)</f>
        <v>30.884399999999999</v>
      </c>
      <c r="J917" s="64">
        <f>19.0563 * CHOOSE(CONTROL!$C$22, $C$13, 100%, $E$13)</f>
        <v>19.0563</v>
      </c>
      <c r="K917" s="64">
        <f>19.0579 * CHOOSE(CONTROL!$C$22, $C$13, 100%, $E$13)</f>
        <v>19.0579</v>
      </c>
    </row>
    <row r="918" spans="1:11" ht="15">
      <c r="A918" s="13">
        <v>69580</v>
      </c>
      <c r="B918" s="63">
        <f>16.3385 * CHOOSE(CONTROL!$C$22, $C$13, 100%, $E$13)</f>
        <v>16.3385</v>
      </c>
      <c r="C918" s="63">
        <f>16.3385 * CHOOSE(CONTROL!$C$22, $C$13, 100%, $E$13)</f>
        <v>16.3385</v>
      </c>
      <c r="D918" s="63">
        <f>16.3643 * CHOOSE(CONTROL!$C$22, $C$13, 100%, $E$13)</f>
        <v>16.3643</v>
      </c>
      <c r="E918" s="64">
        <f>19.4179 * CHOOSE(CONTROL!$C$22, $C$13, 100%, $E$13)</f>
        <v>19.417899999999999</v>
      </c>
      <c r="F918" s="64">
        <f>19.4179 * CHOOSE(CONTROL!$C$22, $C$13, 100%, $E$13)</f>
        <v>19.417899999999999</v>
      </c>
      <c r="G918" s="64">
        <f>19.4195 * CHOOSE(CONTROL!$C$22, $C$13, 100%, $E$13)</f>
        <v>19.419499999999999</v>
      </c>
      <c r="H918" s="64">
        <f>30.9471* CHOOSE(CONTROL!$C$22, $C$13, 100%, $E$13)</f>
        <v>30.947099999999999</v>
      </c>
      <c r="I918" s="64">
        <f>30.9487 * CHOOSE(CONTROL!$C$22, $C$13, 100%, $E$13)</f>
        <v>30.948699999999999</v>
      </c>
      <c r="J918" s="64">
        <f>19.4179 * CHOOSE(CONTROL!$C$22, $C$13, 100%, $E$13)</f>
        <v>19.417899999999999</v>
      </c>
      <c r="K918" s="64">
        <f>19.4195 * CHOOSE(CONTROL!$C$22, $C$13, 100%, $E$13)</f>
        <v>19.419499999999999</v>
      </c>
    </row>
    <row r="919" spans="1:11" ht="15">
      <c r="A919" s="13">
        <v>69611</v>
      </c>
      <c r="B919" s="63">
        <f>16.3452 * CHOOSE(CONTROL!$C$22, $C$13, 100%, $E$13)</f>
        <v>16.345199999999998</v>
      </c>
      <c r="C919" s="63">
        <f>16.3452 * CHOOSE(CONTROL!$C$22, $C$13, 100%, $E$13)</f>
        <v>16.345199999999998</v>
      </c>
      <c r="D919" s="63">
        <f>16.371 * CHOOSE(CONTROL!$C$22, $C$13, 100%, $E$13)</f>
        <v>16.370999999999999</v>
      </c>
      <c r="E919" s="64">
        <f>19.2252 * CHOOSE(CONTROL!$C$22, $C$13, 100%, $E$13)</f>
        <v>19.225200000000001</v>
      </c>
      <c r="F919" s="64">
        <f>19.2252 * CHOOSE(CONTROL!$C$22, $C$13, 100%, $E$13)</f>
        <v>19.225200000000001</v>
      </c>
      <c r="G919" s="64">
        <f>19.2268 * CHOOSE(CONTROL!$C$22, $C$13, 100%, $E$13)</f>
        <v>19.226800000000001</v>
      </c>
      <c r="H919" s="64">
        <f>31.0115* CHOOSE(CONTROL!$C$22, $C$13, 100%, $E$13)</f>
        <v>31.011500000000002</v>
      </c>
      <c r="I919" s="64">
        <f>31.0132 * CHOOSE(CONTROL!$C$22, $C$13, 100%, $E$13)</f>
        <v>31.013200000000001</v>
      </c>
      <c r="J919" s="64">
        <f>19.2252 * CHOOSE(CONTROL!$C$22, $C$13, 100%, $E$13)</f>
        <v>19.225200000000001</v>
      </c>
      <c r="K919" s="64">
        <f>19.2268 * CHOOSE(CONTROL!$C$22, $C$13, 100%, $E$13)</f>
        <v>19.226800000000001</v>
      </c>
    </row>
    <row r="920" spans="1:11" ht="15">
      <c r="A920" s="13">
        <v>69642</v>
      </c>
      <c r="B920" s="63">
        <f>16.3422 * CHOOSE(CONTROL!$C$22, $C$13, 100%, $E$13)</f>
        <v>16.342199999999998</v>
      </c>
      <c r="C920" s="63">
        <f>16.3422 * CHOOSE(CONTROL!$C$22, $C$13, 100%, $E$13)</f>
        <v>16.342199999999998</v>
      </c>
      <c r="D920" s="63">
        <f>16.3679 * CHOOSE(CONTROL!$C$22, $C$13, 100%, $E$13)</f>
        <v>16.367899999999999</v>
      </c>
      <c r="E920" s="64">
        <f>19.2012 * CHOOSE(CONTROL!$C$22, $C$13, 100%, $E$13)</f>
        <v>19.2012</v>
      </c>
      <c r="F920" s="64">
        <f>19.2012 * CHOOSE(CONTROL!$C$22, $C$13, 100%, $E$13)</f>
        <v>19.2012</v>
      </c>
      <c r="G920" s="64">
        <f>19.2028 * CHOOSE(CONTROL!$C$22, $C$13, 100%, $E$13)</f>
        <v>19.2028</v>
      </c>
      <c r="H920" s="64">
        <f>31.0762* CHOOSE(CONTROL!$C$22, $C$13, 100%, $E$13)</f>
        <v>31.0762</v>
      </c>
      <c r="I920" s="64">
        <f>31.0778 * CHOOSE(CONTROL!$C$22, $C$13, 100%, $E$13)</f>
        <v>31.0778</v>
      </c>
      <c r="J920" s="64">
        <f>19.2012 * CHOOSE(CONTROL!$C$22, $C$13, 100%, $E$13)</f>
        <v>19.2012</v>
      </c>
      <c r="K920" s="64">
        <f>19.2028 * CHOOSE(CONTROL!$C$22, $C$13, 100%, $E$13)</f>
        <v>19.2028</v>
      </c>
    </row>
    <row r="921" spans="1:11" ht="15">
      <c r="A921" s="13">
        <v>69672</v>
      </c>
      <c r="B921" s="63">
        <f>16.3776 * CHOOSE(CONTROL!$C$22, $C$13, 100%, $E$13)</f>
        <v>16.377600000000001</v>
      </c>
      <c r="C921" s="63">
        <f>16.3776 * CHOOSE(CONTROL!$C$22, $C$13, 100%, $E$13)</f>
        <v>16.377600000000001</v>
      </c>
      <c r="D921" s="63">
        <f>16.3905 * CHOOSE(CONTROL!$C$22, $C$13, 100%, $E$13)</f>
        <v>16.390499999999999</v>
      </c>
      <c r="E921" s="64">
        <f>19.2754 * CHOOSE(CONTROL!$C$22, $C$13, 100%, $E$13)</f>
        <v>19.275400000000001</v>
      </c>
      <c r="F921" s="64">
        <f>19.2754 * CHOOSE(CONTROL!$C$22, $C$13, 100%, $E$13)</f>
        <v>19.275400000000001</v>
      </c>
      <c r="G921" s="64">
        <f>19.2756 * CHOOSE(CONTROL!$C$22, $C$13, 100%, $E$13)</f>
        <v>19.275600000000001</v>
      </c>
      <c r="H921" s="64">
        <f>31.1409* CHOOSE(CONTROL!$C$22, $C$13, 100%, $E$13)</f>
        <v>31.140899999999998</v>
      </c>
      <c r="I921" s="64">
        <f>31.1411 * CHOOSE(CONTROL!$C$22, $C$13, 100%, $E$13)</f>
        <v>31.141100000000002</v>
      </c>
      <c r="J921" s="64">
        <f>19.2754 * CHOOSE(CONTROL!$C$22, $C$13, 100%, $E$13)</f>
        <v>19.275400000000001</v>
      </c>
      <c r="K921" s="64">
        <f>19.2756 * CHOOSE(CONTROL!$C$22, $C$13, 100%, $E$13)</f>
        <v>19.275600000000001</v>
      </c>
    </row>
    <row r="922" spans="1:11" ht="15">
      <c r="A922" s="13">
        <v>69703</v>
      </c>
      <c r="B922" s="63">
        <f>16.3807 * CHOOSE(CONTROL!$C$22, $C$13, 100%, $E$13)</f>
        <v>16.380700000000001</v>
      </c>
      <c r="C922" s="63">
        <f>16.3807 * CHOOSE(CONTROL!$C$22, $C$13, 100%, $E$13)</f>
        <v>16.380700000000001</v>
      </c>
      <c r="D922" s="63">
        <f>16.3935 * CHOOSE(CONTROL!$C$22, $C$13, 100%, $E$13)</f>
        <v>16.3935</v>
      </c>
      <c r="E922" s="64">
        <f>19.3214 * CHOOSE(CONTROL!$C$22, $C$13, 100%, $E$13)</f>
        <v>19.321400000000001</v>
      </c>
      <c r="F922" s="64">
        <f>19.3214 * CHOOSE(CONTROL!$C$22, $C$13, 100%, $E$13)</f>
        <v>19.321400000000001</v>
      </c>
      <c r="G922" s="64">
        <f>19.3216 * CHOOSE(CONTROL!$C$22, $C$13, 100%, $E$13)</f>
        <v>19.3216</v>
      </c>
      <c r="H922" s="64">
        <f>31.2058* CHOOSE(CONTROL!$C$22, $C$13, 100%, $E$13)</f>
        <v>31.2058</v>
      </c>
      <c r="I922" s="64">
        <f>31.206 * CHOOSE(CONTROL!$C$22, $C$13, 100%, $E$13)</f>
        <v>31.206</v>
      </c>
      <c r="J922" s="64">
        <f>19.3214 * CHOOSE(CONTROL!$C$22, $C$13, 100%, $E$13)</f>
        <v>19.321400000000001</v>
      </c>
      <c r="K922" s="64">
        <f>19.3216 * CHOOSE(CONTROL!$C$22, $C$13, 100%, $E$13)</f>
        <v>19.3216</v>
      </c>
    </row>
    <row r="923" spans="1:11" ht="15">
      <c r="A923" s="13">
        <v>69733</v>
      </c>
      <c r="B923" s="63">
        <f>16.3807 * CHOOSE(CONTROL!$C$22, $C$13, 100%, $E$13)</f>
        <v>16.380700000000001</v>
      </c>
      <c r="C923" s="63">
        <f>16.3807 * CHOOSE(CONTROL!$C$22, $C$13, 100%, $E$13)</f>
        <v>16.380700000000001</v>
      </c>
      <c r="D923" s="63">
        <f>16.3935 * CHOOSE(CONTROL!$C$22, $C$13, 100%, $E$13)</f>
        <v>16.3935</v>
      </c>
      <c r="E923" s="64">
        <f>19.2118 * CHOOSE(CONTROL!$C$22, $C$13, 100%, $E$13)</f>
        <v>19.2118</v>
      </c>
      <c r="F923" s="64">
        <f>19.2118 * CHOOSE(CONTROL!$C$22, $C$13, 100%, $E$13)</f>
        <v>19.2118</v>
      </c>
      <c r="G923" s="64">
        <f>19.212 * CHOOSE(CONTROL!$C$22, $C$13, 100%, $E$13)</f>
        <v>19.212</v>
      </c>
      <c r="H923" s="64">
        <f>31.2708* CHOOSE(CONTROL!$C$22, $C$13, 100%, $E$13)</f>
        <v>31.270800000000001</v>
      </c>
      <c r="I923" s="64">
        <f>31.271 * CHOOSE(CONTROL!$C$22, $C$13, 100%, $E$13)</f>
        <v>31.271000000000001</v>
      </c>
      <c r="J923" s="64">
        <f>19.2118 * CHOOSE(CONTROL!$C$22, $C$13, 100%, $E$13)</f>
        <v>19.2118</v>
      </c>
      <c r="K923" s="64">
        <f>19.212 * CHOOSE(CONTROL!$C$22, $C$13, 100%, $E$13)</f>
        <v>19.212</v>
      </c>
    </row>
    <row r="924" spans="1:11" ht="15">
      <c r="A924" s="13">
        <v>69764</v>
      </c>
      <c r="B924" s="63">
        <f>16.3247 * CHOOSE(CONTROL!$C$22, $C$13, 100%, $E$13)</f>
        <v>16.3247</v>
      </c>
      <c r="C924" s="63">
        <f>16.3247 * CHOOSE(CONTROL!$C$22, $C$13, 100%, $E$13)</f>
        <v>16.3247</v>
      </c>
      <c r="D924" s="63">
        <f>16.3376 * CHOOSE(CONTROL!$C$22, $C$13, 100%, $E$13)</f>
        <v>16.337599999999998</v>
      </c>
      <c r="E924" s="64">
        <f>19.2214 * CHOOSE(CONTROL!$C$22, $C$13, 100%, $E$13)</f>
        <v>19.221399999999999</v>
      </c>
      <c r="F924" s="64">
        <f>19.2214 * CHOOSE(CONTROL!$C$22, $C$13, 100%, $E$13)</f>
        <v>19.221399999999999</v>
      </c>
      <c r="G924" s="64">
        <f>19.2215 * CHOOSE(CONTROL!$C$22, $C$13, 100%, $E$13)</f>
        <v>19.221499999999999</v>
      </c>
      <c r="H924" s="64">
        <f>31.0089* CHOOSE(CONTROL!$C$22, $C$13, 100%, $E$13)</f>
        <v>31.008900000000001</v>
      </c>
      <c r="I924" s="64">
        <f>31.0091 * CHOOSE(CONTROL!$C$22, $C$13, 100%, $E$13)</f>
        <v>31.0091</v>
      </c>
      <c r="J924" s="64">
        <f>19.2214 * CHOOSE(CONTROL!$C$22, $C$13, 100%, $E$13)</f>
        <v>19.221399999999999</v>
      </c>
      <c r="K924" s="64">
        <f>19.2215 * CHOOSE(CONTROL!$C$22, $C$13, 100%, $E$13)</f>
        <v>19.221499999999999</v>
      </c>
    </row>
    <row r="925" spans="1:11" ht="15">
      <c r="A925" s="13">
        <v>69795</v>
      </c>
      <c r="B925" s="63">
        <f>16.3216 * CHOOSE(CONTROL!$C$22, $C$13, 100%, $E$13)</f>
        <v>16.3216</v>
      </c>
      <c r="C925" s="63">
        <f>16.3216 * CHOOSE(CONTROL!$C$22, $C$13, 100%, $E$13)</f>
        <v>16.3216</v>
      </c>
      <c r="D925" s="63">
        <f>16.3345 * CHOOSE(CONTROL!$C$22, $C$13, 100%, $E$13)</f>
        <v>16.334499999999998</v>
      </c>
      <c r="E925" s="64">
        <f>19.0088 * CHOOSE(CONTROL!$C$22, $C$13, 100%, $E$13)</f>
        <v>19.008800000000001</v>
      </c>
      <c r="F925" s="64">
        <f>19.0088 * CHOOSE(CONTROL!$C$22, $C$13, 100%, $E$13)</f>
        <v>19.008800000000001</v>
      </c>
      <c r="G925" s="64">
        <f>19.009 * CHOOSE(CONTROL!$C$22, $C$13, 100%, $E$13)</f>
        <v>19.009</v>
      </c>
      <c r="H925" s="64">
        <f>31.0735* CHOOSE(CONTROL!$C$22, $C$13, 100%, $E$13)</f>
        <v>31.073499999999999</v>
      </c>
      <c r="I925" s="64">
        <f>31.0737 * CHOOSE(CONTROL!$C$22, $C$13, 100%, $E$13)</f>
        <v>31.073699999999999</v>
      </c>
      <c r="J925" s="64">
        <f>19.0088 * CHOOSE(CONTROL!$C$22, $C$13, 100%, $E$13)</f>
        <v>19.008800000000001</v>
      </c>
      <c r="K925" s="64">
        <f>19.009 * CHOOSE(CONTROL!$C$22, $C$13, 100%, $E$13)</f>
        <v>19.009</v>
      </c>
    </row>
    <row r="926" spans="1:11" ht="15">
      <c r="A926" s="13">
        <v>69823</v>
      </c>
      <c r="B926" s="63">
        <f>16.3186 * CHOOSE(CONTROL!$C$22, $C$13, 100%, $E$13)</f>
        <v>16.3186</v>
      </c>
      <c r="C926" s="63">
        <f>16.3186 * CHOOSE(CONTROL!$C$22, $C$13, 100%, $E$13)</f>
        <v>16.3186</v>
      </c>
      <c r="D926" s="63">
        <f>16.3315 * CHOOSE(CONTROL!$C$22, $C$13, 100%, $E$13)</f>
        <v>16.331499999999998</v>
      </c>
      <c r="E926" s="64">
        <f>19.1726 * CHOOSE(CONTROL!$C$22, $C$13, 100%, $E$13)</f>
        <v>19.172599999999999</v>
      </c>
      <c r="F926" s="64">
        <f>19.1726 * CHOOSE(CONTROL!$C$22, $C$13, 100%, $E$13)</f>
        <v>19.172599999999999</v>
      </c>
      <c r="G926" s="64">
        <f>19.1728 * CHOOSE(CONTROL!$C$22, $C$13, 100%, $E$13)</f>
        <v>19.172799999999999</v>
      </c>
      <c r="H926" s="64">
        <f>31.1383* CHOOSE(CONTROL!$C$22, $C$13, 100%, $E$13)</f>
        <v>31.138300000000001</v>
      </c>
      <c r="I926" s="64">
        <f>31.1384 * CHOOSE(CONTROL!$C$22, $C$13, 100%, $E$13)</f>
        <v>31.138400000000001</v>
      </c>
      <c r="J926" s="64">
        <f>19.1726 * CHOOSE(CONTROL!$C$22, $C$13, 100%, $E$13)</f>
        <v>19.172599999999999</v>
      </c>
      <c r="K926" s="64">
        <f>19.1728 * CHOOSE(CONTROL!$C$22, $C$13, 100%, $E$13)</f>
        <v>19.172799999999999</v>
      </c>
    </row>
    <row r="927" spans="1:11" ht="15">
      <c r="A927" s="13">
        <v>69854</v>
      </c>
      <c r="B927" s="63">
        <f>16.3267 * CHOOSE(CONTROL!$C$22, $C$13, 100%, $E$13)</f>
        <v>16.326699999999999</v>
      </c>
      <c r="C927" s="63">
        <f>16.3267 * CHOOSE(CONTROL!$C$22, $C$13, 100%, $E$13)</f>
        <v>16.326699999999999</v>
      </c>
      <c r="D927" s="63">
        <f>16.3396 * CHOOSE(CONTROL!$C$22, $C$13, 100%, $E$13)</f>
        <v>16.339600000000001</v>
      </c>
      <c r="E927" s="64">
        <f>19.3465 * CHOOSE(CONTROL!$C$22, $C$13, 100%, $E$13)</f>
        <v>19.346499999999999</v>
      </c>
      <c r="F927" s="64">
        <f>19.3465 * CHOOSE(CONTROL!$C$22, $C$13, 100%, $E$13)</f>
        <v>19.346499999999999</v>
      </c>
      <c r="G927" s="64">
        <f>19.3467 * CHOOSE(CONTROL!$C$22, $C$13, 100%, $E$13)</f>
        <v>19.346699999999998</v>
      </c>
      <c r="H927" s="64">
        <f>31.2031* CHOOSE(CONTROL!$C$22, $C$13, 100%, $E$13)</f>
        <v>31.203099999999999</v>
      </c>
      <c r="I927" s="64">
        <f>31.2033 * CHOOSE(CONTROL!$C$22, $C$13, 100%, $E$13)</f>
        <v>31.203299999999999</v>
      </c>
      <c r="J927" s="64">
        <f>19.3465 * CHOOSE(CONTROL!$C$22, $C$13, 100%, $E$13)</f>
        <v>19.346499999999999</v>
      </c>
      <c r="K927" s="64">
        <f>19.3467 * CHOOSE(CONTROL!$C$22, $C$13, 100%, $E$13)</f>
        <v>19.346699999999998</v>
      </c>
    </row>
    <row r="928" spans="1:11" ht="15">
      <c r="A928" s="13">
        <v>69884</v>
      </c>
      <c r="B928" s="63">
        <f>16.3267 * CHOOSE(CONTROL!$C$22, $C$13, 100%, $E$13)</f>
        <v>16.326699999999999</v>
      </c>
      <c r="C928" s="63">
        <f>16.3267 * CHOOSE(CONTROL!$C$22, $C$13, 100%, $E$13)</f>
        <v>16.326699999999999</v>
      </c>
      <c r="D928" s="63">
        <f>16.3525 * CHOOSE(CONTROL!$C$22, $C$13, 100%, $E$13)</f>
        <v>16.352499999999999</v>
      </c>
      <c r="E928" s="64">
        <f>19.4133 * CHOOSE(CONTROL!$C$22, $C$13, 100%, $E$13)</f>
        <v>19.4133</v>
      </c>
      <c r="F928" s="64">
        <f>19.4133 * CHOOSE(CONTROL!$C$22, $C$13, 100%, $E$13)</f>
        <v>19.4133</v>
      </c>
      <c r="G928" s="64">
        <f>19.4149 * CHOOSE(CONTROL!$C$22, $C$13, 100%, $E$13)</f>
        <v>19.414899999999999</v>
      </c>
      <c r="H928" s="64">
        <f>31.2681* CHOOSE(CONTROL!$C$22, $C$13, 100%, $E$13)</f>
        <v>31.2681</v>
      </c>
      <c r="I928" s="64">
        <f>31.2698 * CHOOSE(CONTROL!$C$22, $C$13, 100%, $E$13)</f>
        <v>31.2698</v>
      </c>
      <c r="J928" s="64">
        <f>19.4133 * CHOOSE(CONTROL!$C$22, $C$13, 100%, $E$13)</f>
        <v>19.4133</v>
      </c>
      <c r="K928" s="64">
        <f>19.4149 * CHOOSE(CONTROL!$C$22, $C$13, 100%, $E$13)</f>
        <v>19.414899999999999</v>
      </c>
    </row>
    <row r="929" spans="1:11" ht="15">
      <c r="A929" s="13">
        <v>69915</v>
      </c>
      <c r="B929" s="63">
        <f>16.3328 * CHOOSE(CONTROL!$C$22, $C$13, 100%, $E$13)</f>
        <v>16.332799999999999</v>
      </c>
      <c r="C929" s="63">
        <f>16.3328 * CHOOSE(CONTROL!$C$22, $C$13, 100%, $E$13)</f>
        <v>16.332799999999999</v>
      </c>
      <c r="D929" s="63">
        <f>16.3586 * CHOOSE(CONTROL!$C$22, $C$13, 100%, $E$13)</f>
        <v>16.358599999999999</v>
      </c>
      <c r="E929" s="64">
        <f>19.3507 * CHOOSE(CONTROL!$C$22, $C$13, 100%, $E$13)</f>
        <v>19.3507</v>
      </c>
      <c r="F929" s="64">
        <f>19.3507 * CHOOSE(CONTROL!$C$22, $C$13, 100%, $E$13)</f>
        <v>19.3507</v>
      </c>
      <c r="G929" s="64">
        <f>19.3524 * CHOOSE(CONTROL!$C$22, $C$13, 100%, $E$13)</f>
        <v>19.352399999999999</v>
      </c>
      <c r="H929" s="64">
        <f>31.3333* CHOOSE(CONTROL!$C$22, $C$13, 100%, $E$13)</f>
        <v>31.333300000000001</v>
      </c>
      <c r="I929" s="64">
        <f>31.3349 * CHOOSE(CONTROL!$C$22, $C$13, 100%, $E$13)</f>
        <v>31.334900000000001</v>
      </c>
      <c r="J929" s="64">
        <f>19.3507 * CHOOSE(CONTROL!$C$22, $C$13, 100%, $E$13)</f>
        <v>19.3507</v>
      </c>
      <c r="K929" s="64">
        <f>19.3524 * CHOOSE(CONTROL!$C$22, $C$13, 100%, $E$13)</f>
        <v>19.352399999999999</v>
      </c>
    </row>
    <row r="930" spans="1:11" ht="15">
      <c r="A930" s="13">
        <v>69945</v>
      </c>
      <c r="B930" s="63">
        <f>16.5877 * CHOOSE(CONTROL!$C$22, $C$13, 100%, $E$13)</f>
        <v>16.587700000000002</v>
      </c>
      <c r="C930" s="63">
        <f>16.5877 * CHOOSE(CONTROL!$C$22, $C$13, 100%, $E$13)</f>
        <v>16.587700000000002</v>
      </c>
      <c r="D930" s="63">
        <f>16.6135 * CHOOSE(CONTROL!$C$22, $C$13, 100%, $E$13)</f>
        <v>16.613499999999998</v>
      </c>
      <c r="E930" s="64">
        <f>19.7178 * CHOOSE(CONTROL!$C$22, $C$13, 100%, $E$13)</f>
        <v>19.7178</v>
      </c>
      <c r="F930" s="64">
        <f>19.7178 * CHOOSE(CONTROL!$C$22, $C$13, 100%, $E$13)</f>
        <v>19.7178</v>
      </c>
      <c r="G930" s="64">
        <f>19.7194 * CHOOSE(CONTROL!$C$22, $C$13, 100%, $E$13)</f>
        <v>19.7194</v>
      </c>
      <c r="H930" s="64">
        <f>31.3986* CHOOSE(CONTROL!$C$22, $C$13, 100%, $E$13)</f>
        <v>31.398599999999998</v>
      </c>
      <c r="I930" s="64">
        <f>31.4002 * CHOOSE(CONTROL!$C$22, $C$13, 100%, $E$13)</f>
        <v>31.400200000000002</v>
      </c>
      <c r="J930" s="64">
        <f>19.7178 * CHOOSE(CONTROL!$C$22, $C$13, 100%, $E$13)</f>
        <v>19.7178</v>
      </c>
      <c r="K930" s="64">
        <f>19.7194 * CHOOSE(CONTROL!$C$22, $C$13, 100%, $E$13)</f>
        <v>19.7194</v>
      </c>
    </row>
    <row r="931" spans="1:11" ht="15">
      <c r="A931" s="13">
        <v>69976</v>
      </c>
      <c r="B931" s="63">
        <f>16.5944 * CHOOSE(CONTROL!$C$22, $C$13, 100%, $E$13)</f>
        <v>16.5944</v>
      </c>
      <c r="C931" s="63">
        <f>16.5944 * CHOOSE(CONTROL!$C$22, $C$13, 100%, $E$13)</f>
        <v>16.5944</v>
      </c>
      <c r="D931" s="63">
        <f>16.6202 * CHOOSE(CONTROL!$C$22, $C$13, 100%, $E$13)</f>
        <v>16.620200000000001</v>
      </c>
      <c r="E931" s="64">
        <f>19.522 * CHOOSE(CONTROL!$C$22, $C$13, 100%, $E$13)</f>
        <v>19.521999999999998</v>
      </c>
      <c r="F931" s="64">
        <f>19.522 * CHOOSE(CONTROL!$C$22, $C$13, 100%, $E$13)</f>
        <v>19.521999999999998</v>
      </c>
      <c r="G931" s="64">
        <f>19.5237 * CHOOSE(CONTROL!$C$22, $C$13, 100%, $E$13)</f>
        <v>19.523700000000002</v>
      </c>
      <c r="H931" s="64">
        <f>31.464* CHOOSE(CONTROL!$C$22, $C$13, 100%, $E$13)</f>
        <v>31.463999999999999</v>
      </c>
      <c r="I931" s="64">
        <f>31.4656 * CHOOSE(CONTROL!$C$22, $C$13, 100%, $E$13)</f>
        <v>31.465599999999998</v>
      </c>
      <c r="J931" s="64">
        <f>19.522 * CHOOSE(CONTROL!$C$22, $C$13, 100%, $E$13)</f>
        <v>19.521999999999998</v>
      </c>
      <c r="K931" s="64">
        <f>19.5237 * CHOOSE(CONTROL!$C$22, $C$13, 100%, $E$13)</f>
        <v>19.523700000000002</v>
      </c>
    </row>
    <row r="932" spans="1:11" ht="15">
      <c r="A932" s="13">
        <v>70007</v>
      </c>
      <c r="B932" s="63">
        <f>16.5914 * CHOOSE(CONTROL!$C$22, $C$13, 100%, $E$13)</f>
        <v>16.5914</v>
      </c>
      <c r="C932" s="63">
        <f>16.5914 * CHOOSE(CONTROL!$C$22, $C$13, 100%, $E$13)</f>
        <v>16.5914</v>
      </c>
      <c r="D932" s="63">
        <f>16.6171 * CHOOSE(CONTROL!$C$22, $C$13, 100%, $E$13)</f>
        <v>16.617100000000001</v>
      </c>
      <c r="E932" s="64">
        <f>19.4976 * CHOOSE(CONTROL!$C$22, $C$13, 100%, $E$13)</f>
        <v>19.497599999999998</v>
      </c>
      <c r="F932" s="64">
        <f>19.4976 * CHOOSE(CONTROL!$C$22, $C$13, 100%, $E$13)</f>
        <v>19.497599999999998</v>
      </c>
      <c r="G932" s="64">
        <f>19.4993 * CHOOSE(CONTROL!$C$22, $C$13, 100%, $E$13)</f>
        <v>19.499300000000002</v>
      </c>
      <c r="H932" s="64">
        <f>31.5295* CHOOSE(CONTROL!$C$22, $C$13, 100%, $E$13)</f>
        <v>31.529499999999999</v>
      </c>
      <c r="I932" s="64">
        <f>31.5312 * CHOOSE(CONTROL!$C$22, $C$13, 100%, $E$13)</f>
        <v>31.531199999999998</v>
      </c>
      <c r="J932" s="64">
        <f>19.4976 * CHOOSE(CONTROL!$C$22, $C$13, 100%, $E$13)</f>
        <v>19.497599999999998</v>
      </c>
      <c r="K932" s="64">
        <f>19.4993 * CHOOSE(CONTROL!$C$22, $C$13, 100%, $E$13)</f>
        <v>19.499300000000002</v>
      </c>
    </row>
    <row r="933" spans="1:11" ht="15">
      <c r="A933" s="13">
        <v>70037</v>
      </c>
      <c r="B933" s="63">
        <f>16.6276 * CHOOSE(CONTROL!$C$22, $C$13, 100%, $E$13)</f>
        <v>16.627600000000001</v>
      </c>
      <c r="C933" s="63">
        <f>16.6276 * CHOOSE(CONTROL!$C$22, $C$13, 100%, $E$13)</f>
        <v>16.627600000000001</v>
      </c>
      <c r="D933" s="63">
        <f>16.6405 * CHOOSE(CONTROL!$C$22, $C$13, 100%, $E$13)</f>
        <v>16.640499999999999</v>
      </c>
      <c r="E933" s="64">
        <f>19.5733 * CHOOSE(CONTROL!$C$22, $C$13, 100%, $E$13)</f>
        <v>19.5733</v>
      </c>
      <c r="F933" s="64">
        <f>19.5733 * CHOOSE(CONTROL!$C$22, $C$13, 100%, $E$13)</f>
        <v>19.5733</v>
      </c>
      <c r="G933" s="64">
        <f>19.5735 * CHOOSE(CONTROL!$C$22, $C$13, 100%, $E$13)</f>
        <v>19.573499999999999</v>
      </c>
      <c r="H933" s="64">
        <f>31.5952* CHOOSE(CONTROL!$C$22, $C$13, 100%, $E$13)</f>
        <v>31.595199999999998</v>
      </c>
      <c r="I933" s="64">
        <f>31.5954 * CHOOSE(CONTROL!$C$22, $C$13, 100%, $E$13)</f>
        <v>31.595400000000001</v>
      </c>
      <c r="J933" s="64">
        <f>19.5733 * CHOOSE(CONTROL!$C$22, $C$13, 100%, $E$13)</f>
        <v>19.5733</v>
      </c>
      <c r="K933" s="64">
        <f>19.5735 * CHOOSE(CONTROL!$C$22, $C$13, 100%, $E$13)</f>
        <v>19.573499999999999</v>
      </c>
    </row>
    <row r="934" spans="1:11" ht="15">
      <c r="A934" s="13">
        <v>70068</v>
      </c>
      <c r="B934" s="63">
        <f>16.6307 * CHOOSE(CONTROL!$C$22, $C$13, 100%, $E$13)</f>
        <v>16.630700000000001</v>
      </c>
      <c r="C934" s="63">
        <f>16.6307 * CHOOSE(CONTROL!$C$22, $C$13, 100%, $E$13)</f>
        <v>16.630700000000001</v>
      </c>
      <c r="D934" s="63">
        <f>16.6436 * CHOOSE(CONTROL!$C$22, $C$13, 100%, $E$13)</f>
        <v>16.643599999999999</v>
      </c>
      <c r="E934" s="64">
        <f>19.6199 * CHOOSE(CONTROL!$C$22, $C$13, 100%, $E$13)</f>
        <v>19.619900000000001</v>
      </c>
      <c r="F934" s="64">
        <f>19.6199 * CHOOSE(CONTROL!$C$22, $C$13, 100%, $E$13)</f>
        <v>19.619900000000001</v>
      </c>
      <c r="G934" s="64">
        <f>19.6201 * CHOOSE(CONTROL!$C$22, $C$13, 100%, $E$13)</f>
        <v>19.620100000000001</v>
      </c>
      <c r="H934" s="64">
        <f>31.661* CHOOSE(CONTROL!$C$22, $C$13, 100%, $E$13)</f>
        <v>31.661000000000001</v>
      </c>
      <c r="I934" s="64">
        <f>31.6612 * CHOOSE(CONTROL!$C$22, $C$13, 100%, $E$13)</f>
        <v>31.661200000000001</v>
      </c>
      <c r="J934" s="64">
        <f>19.6199 * CHOOSE(CONTROL!$C$22, $C$13, 100%, $E$13)</f>
        <v>19.619900000000001</v>
      </c>
      <c r="K934" s="64">
        <f>19.6201 * CHOOSE(CONTROL!$C$22, $C$13, 100%, $E$13)</f>
        <v>19.620100000000001</v>
      </c>
    </row>
    <row r="935" spans="1:11" ht="15">
      <c r="A935" s="13">
        <v>70098</v>
      </c>
      <c r="B935" s="63">
        <f>16.6307 * CHOOSE(CONTROL!$C$22, $C$13, 100%, $E$13)</f>
        <v>16.630700000000001</v>
      </c>
      <c r="C935" s="63">
        <f>16.6307 * CHOOSE(CONTROL!$C$22, $C$13, 100%, $E$13)</f>
        <v>16.630700000000001</v>
      </c>
      <c r="D935" s="63">
        <f>16.6436 * CHOOSE(CONTROL!$C$22, $C$13, 100%, $E$13)</f>
        <v>16.643599999999999</v>
      </c>
      <c r="E935" s="64">
        <f>19.5086 * CHOOSE(CONTROL!$C$22, $C$13, 100%, $E$13)</f>
        <v>19.508600000000001</v>
      </c>
      <c r="F935" s="64">
        <f>19.5086 * CHOOSE(CONTROL!$C$22, $C$13, 100%, $E$13)</f>
        <v>19.508600000000001</v>
      </c>
      <c r="G935" s="64">
        <f>19.5088 * CHOOSE(CONTROL!$C$22, $C$13, 100%, $E$13)</f>
        <v>19.508800000000001</v>
      </c>
      <c r="H935" s="64">
        <f>31.727* CHOOSE(CONTROL!$C$22, $C$13, 100%, $E$13)</f>
        <v>31.727</v>
      </c>
      <c r="I935" s="64">
        <f>31.7272 * CHOOSE(CONTROL!$C$22, $C$13, 100%, $E$13)</f>
        <v>31.7272</v>
      </c>
      <c r="J935" s="64">
        <f>19.5086 * CHOOSE(CONTROL!$C$22, $C$13, 100%, $E$13)</f>
        <v>19.508600000000001</v>
      </c>
      <c r="K935" s="64">
        <f>19.5088 * CHOOSE(CONTROL!$C$22, $C$13, 100%, $E$13)</f>
        <v>19.508800000000001</v>
      </c>
    </row>
    <row r="936" spans="1:11" ht="15">
      <c r="A936" s="13">
        <v>70129</v>
      </c>
      <c r="B936" s="63">
        <f>16.57 * CHOOSE(CONTROL!$C$22, $C$13, 100%, $E$13)</f>
        <v>16.57</v>
      </c>
      <c r="C936" s="63">
        <f>16.57 * CHOOSE(CONTROL!$C$22, $C$13, 100%, $E$13)</f>
        <v>16.57</v>
      </c>
      <c r="D936" s="63">
        <f>16.5829 * CHOOSE(CONTROL!$C$22, $C$13, 100%, $E$13)</f>
        <v>16.582899999999999</v>
      </c>
      <c r="E936" s="64">
        <f>19.5138 * CHOOSE(CONTROL!$C$22, $C$13, 100%, $E$13)</f>
        <v>19.5138</v>
      </c>
      <c r="F936" s="64">
        <f>19.5138 * CHOOSE(CONTROL!$C$22, $C$13, 100%, $E$13)</f>
        <v>19.5138</v>
      </c>
      <c r="G936" s="64">
        <f>19.5139 * CHOOSE(CONTROL!$C$22, $C$13, 100%, $E$13)</f>
        <v>19.5139</v>
      </c>
      <c r="H936" s="64">
        <f>31.4548* CHOOSE(CONTROL!$C$22, $C$13, 100%, $E$13)</f>
        <v>31.454799999999999</v>
      </c>
      <c r="I936" s="64">
        <f>31.455 * CHOOSE(CONTROL!$C$22, $C$13, 100%, $E$13)</f>
        <v>31.454999999999998</v>
      </c>
      <c r="J936" s="64">
        <f>19.5138 * CHOOSE(CONTROL!$C$22, $C$13, 100%, $E$13)</f>
        <v>19.5138</v>
      </c>
      <c r="K936" s="64">
        <f>19.5139 * CHOOSE(CONTROL!$C$22, $C$13, 100%, $E$13)</f>
        <v>19.5139</v>
      </c>
    </row>
    <row r="937" spans="1:11" ht="15">
      <c r="A937" s="13">
        <v>70160</v>
      </c>
      <c r="B937" s="63">
        <f>16.567 * CHOOSE(CONTROL!$C$22, $C$13, 100%, $E$13)</f>
        <v>16.567</v>
      </c>
      <c r="C937" s="63">
        <f>16.567 * CHOOSE(CONTROL!$C$22, $C$13, 100%, $E$13)</f>
        <v>16.567</v>
      </c>
      <c r="D937" s="63">
        <f>16.5798 * CHOOSE(CONTROL!$C$22, $C$13, 100%, $E$13)</f>
        <v>16.579799999999999</v>
      </c>
      <c r="E937" s="64">
        <f>19.298 * CHOOSE(CONTROL!$C$22, $C$13, 100%, $E$13)</f>
        <v>19.297999999999998</v>
      </c>
      <c r="F937" s="64">
        <f>19.298 * CHOOSE(CONTROL!$C$22, $C$13, 100%, $E$13)</f>
        <v>19.297999999999998</v>
      </c>
      <c r="G937" s="64">
        <f>19.2982 * CHOOSE(CONTROL!$C$22, $C$13, 100%, $E$13)</f>
        <v>19.298200000000001</v>
      </c>
      <c r="H937" s="64">
        <f>31.5204* CHOOSE(CONTROL!$C$22, $C$13, 100%, $E$13)</f>
        <v>31.520399999999999</v>
      </c>
      <c r="I937" s="64">
        <f>31.5205 * CHOOSE(CONTROL!$C$22, $C$13, 100%, $E$13)</f>
        <v>31.520499999999998</v>
      </c>
      <c r="J937" s="64">
        <f>19.298 * CHOOSE(CONTROL!$C$22, $C$13, 100%, $E$13)</f>
        <v>19.297999999999998</v>
      </c>
      <c r="K937" s="64">
        <f>19.2982 * CHOOSE(CONTROL!$C$22, $C$13, 100%, $E$13)</f>
        <v>19.298200000000001</v>
      </c>
    </row>
    <row r="938" spans="1:11" ht="15">
      <c r="A938" s="13">
        <v>70189</v>
      </c>
      <c r="B938" s="63">
        <f>16.5639 * CHOOSE(CONTROL!$C$22, $C$13, 100%, $E$13)</f>
        <v>16.5639</v>
      </c>
      <c r="C938" s="63">
        <f>16.5639 * CHOOSE(CONTROL!$C$22, $C$13, 100%, $E$13)</f>
        <v>16.5639</v>
      </c>
      <c r="D938" s="63">
        <f>16.5768 * CHOOSE(CONTROL!$C$22, $C$13, 100%, $E$13)</f>
        <v>16.576799999999999</v>
      </c>
      <c r="E938" s="64">
        <f>19.4643 * CHOOSE(CONTROL!$C$22, $C$13, 100%, $E$13)</f>
        <v>19.464300000000001</v>
      </c>
      <c r="F938" s="64">
        <f>19.4643 * CHOOSE(CONTROL!$C$22, $C$13, 100%, $E$13)</f>
        <v>19.464300000000001</v>
      </c>
      <c r="G938" s="64">
        <f>19.4645 * CHOOSE(CONTROL!$C$22, $C$13, 100%, $E$13)</f>
        <v>19.464500000000001</v>
      </c>
      <c r="H938" s="64">
        <f>31.586* CHOOSE(CONTROL!$C$22, $C$13, 100%, $E$13)</f>
        <v>31.585999999999999</v>
      </c>
      <c r="I938" s="64">
        <f>31.5862 * CHOOSE(CONTROL!$C$22, $C$13, 100%, $E$13)</f>
        <v>31.586200000000002</v>
      </c>
      <c r="J938" s="64">
        <f>19.4643 * CHOOSE(CONTROL!$C$22, $C$13, 100%, $E$13)</f>
        <v>19.464300000000001</v>
      </c>
      <c r="K938" s="64">
        <f>19.4645 * CHOOSE(CONTROL!$C$22, $C$13, 100%, $E$13)</f>
        <v>19.464500000000001</v>
      </c>
    </row>
    <row r="939" spans="1:11" ht="15">
      <c r="A939" s="13">
        <v>70220</v>
      </c>
      <c r="B939" s="63">
        <f>16.5723 * CHOOSE(CONTROL!$C$22, $C$13, 100%, $E$13)</f>
        <v>16.572299999999998</v>
      </c>
      <c r="C939" s="63">
        <f>16.5723 * CHOOSE(CONTROL!$C$22, $C$13, 100%, $E$13)</f>
        <v>16.572299999999998</v>
      </c>
      <c r="D939" s="63">
        <f>16.5851 * CHOOSE(CONTROL!$C$22, $C$13, 100%, $E$13)</f>
        <v>16.585100000000001</v>
      </c>
      <c r="E939" s="64">
        <f>19.6409 * CHOOSE(CONTROL!$C$22, $C$13, 100%, $E$13)</f>
        <v>19.640899999999998</v>
      </c>
      <c r="F939" s="64">
        <f>19.6409 * CHOOSE(CONTROL!$C$22, $C$13, 100%, $E$13)</f>
        <v>19.640899999999998</v>
      </c>
      <c r="G939" s="64">
        <f>19.6411 * CHOOSE(CONTROL!$C$22, $C$13, 100%, $E$13)</f>
        <v>19.641100000000002</v>
      </c>
      <c r="H939" s="64">
        <f>31.6518* CHOOSE(CONTROL!$C$22, $C$13, 100%, $E$13)</f>
        <v>31.651800000000001</v>
      </c>
      <c r="I939" s="64">
        <f>31.652 * CHOOSE(CONTROL!$C$22, $C$13, 100%, $E$13)</f>
        <v>31.652000000000001</v>
      </c>
      <c r="J939" s="64">
        <f>19.6409 * CHOOSE(CONTROL!$C$22, $C$13, 100%, $E$13)</f>
        <v>19.640899999999998</v>
      </c>
      <c r="K939" s="64">
        <f>19.6411 * CHOOSE(CONTROL!$C$22, $C$13, 100%, $E$13)</f>
        <v>19.641100000000002</v>
      </c>
    </row>
    <row r="940" spans="1:11" ht="15">
      <c r="A940" s="13">
        <v>70250</v>
      </c>
      <c r="B940" s="63">
        <f>16.5723 * CHOOSE(CONTROL!$C$22, $C$13, 100%, $E$13)</f>
        <v>16.572299999999998</v>
      </c>
      <c r="C940" s="63">
        <f>16.5723 * CHOOSE(CONTROL!$C$22, $C$13, 100%, $E$13)</f>
        <v>16.572299999999998</v>
      </c>
      <c r="D940" s="63">
        <f>16.598 * CHOOSE(CONTROL!$C$22, $C$13, 100%, $E$13)</f>
        <v>16.597999999999999</v>
      </c>
      <c r="E940" s="64">
        <f>19.7087 * CHOOSE(CONTROL!$C$22, $C$13, 100%, $E$13)</f>
        <v>19.7087</v>
      </c>
      <c r="F940" s="64">
        <f>19.7087 * CHOOSE(CONTROL!$C$22, $C$13, 100%, $E$13)</f>
        <v>19.7087</v>
      </c>
      <c r="G940" s="64">
        <f>19.7104 * CHOOSE(CONTROL!$C$22, $C$13, 100%, $E$13)</f>
        <v>19.7104</v>
      </c>
      <c r="H940" s="64">
        <f>31.7178* CHOOSE(CONTROL!$C$22, $C$13, 100%, $E$13)</f>
        <v>31.7178</v>
      </c>
      <c r="I940" s="64">
        <f>31.7194 * CHOOSE(CONTROL!$C$22, $C$13, 100%, $E$13)</f>
        <v>31.7194</v>
      </c>
      <c r="J940" s="64">
        <f>19.7087 * CHOOSE(CONTROL!$C$22, $C$13, 100%, $E$13)</f>
        <v>19.7087</v>
      </c>
      <c r="K940" s="64">
        <f>19.7104 * CHOOSE(CONTROL!$C$22, $C$13, 100%, $E$13)</f>
        <v>19.7104</v>
      </c>
    </row>
    <row r="941" spans="1:11" ht="15">
      <c r="A941" s="13">
        <v>70281</v>
      </c>
      <c r="B941" s="63">
        <f>16.5784 * CHOOSE(CONTROL!$C$22, $C$13, 100%, $E$13)</f>
        <v>16.578399999999998</v>
      </c>
      <c r="C941" s="63">
        <f>16.5784 * CHOOSE(CONTROL!$C$22, $C$13, 100%, $E$13)</f>
        <v>16.578399999999998</v>
      </c>
      <c r="D941" s="63">
        <f>16.6041 * CHOOSE(CONTROL!$C$22, $C$13, 100%, $E$13)</f>
        <v>16.604099999999999</v>
      </c>
      <c r="E941" s="64">
        <f>19.6452 * CHOOSE(CONTROL!$C$22, $C$13, 100%, $E$13)</f>
        <v>19.645199999999999</v>
      </c>
      <c r="F941" s="64">
        <f>19.6452 * CHOOSE(CONTROL!$C$22, $C$13, 100%, $E$13)</f>
        <v>19.645199999999999</v>
      </c>
      <c r="G941" s="64">
        <f>19.6468 * CHOOSE(CONTROL!$C$22, $C$13, 100%, $E$13)</f>
        <v>19.646799999999999</v>
      </c>
      <c r="H941" s="64">
        <f>31.7838* CHOOSE(CONTROL!$C$22, $C$13, 100%, $E$13)</f>
        <v>31.783799999999999</v>
      </c>
      <c r="I941" s="64">
        <f>31.7855 * CHOOSE(CONTROL!$C$22, $C$13, 100%, $E$13)</f>
        <v>31.785499999999999</v>
      </c>
      <c r="J941" s="64">
        <f>19.6452 * CHOOSE(CONTROL!$C$22, $C$13, 100%, $E$13)</f>
        <v>19.645199999999999</v>
      </c>
      <c r="K941" s="64">
        <f>19.6468 * CHOOSE(CONTROL!$C$22, $C$13, 100%, $E$13)</f>
        <v>19.646799999999999</v>
      </c>
    </row>
    <row r="942" spans="1:11" ht="15">
      <c r="A942" s="13">
        <v>70311</v>
      </c>
      <c r="B942" s="63">
        <f>16.837 * CHOOSE(CONTROL!$C$22, $C$13, 100%, $E$13)</f>
        <v>16.837</v>
      </c>
      <c r="C942" s="63">
        <f>16.837 * CHOOSE(CONTROL!$C$22, $C$13, 100%, $E$13)</f>
        <v>16.837</v>
      </c>
      <c r="D942" s="63">
        <f>16.8627 * CHOOSE(CONTROL!$C$22, $C$13, 100%, $E$13)</f>
        <v>16.8627</v>
      </c>
      <c r="E942" s="64">
        <f>20.0177 * CHOOSE(CONTROL!$C$22, $C$13, 100%, $E$13)</f>
        <v>20.017700000000001</v>
      </c>
      <c r="F942" s="64">
        <f>20.0177 * CHOOSE(CONTROL!$C$22, $C$13, 100%, $E$13)</f>
        <v>20.017700000000001</v>
      </c>
      <c r="G942" s="64">
        <f>20.0193 * CHOOSE(CONTROL!$C$22, $C$13, 100%, $E$13)</f>
        <v>20.019300000000001</v>
      </c>
      <c r="H942" s="64">
        <f>31.8501* CHOOSE(CONTROL!$C$22, $C$13, 100%, $E$13)</f>
        <v>31.850100000000001</v>
      </c>
      <c r="I942" s="64">
        <f>31.8517 * CHOOSE(CONTROL!$C$22, $C$13, 100%, $E$13)</f>
        <v>31.851700000000001</v>
      </c>
      <c r="J942" s="64">
        <f>20.0177 * CHOOSE(CONTROL!$C$22, $C$13, 100%, $E$13)</f>
        <v>20.017700000000001</v>
      </c>
      <c r="K942" s="64">
        <f>20.0193 * CHOOSE(CONTROL!$C$22, $C$13, 100%, $E$13)</f>
        <v>20.019300000000001</v>
      </c>
    </row>
    <row r="943" spans="1:11" ht="15">
      <c r="A943" s="13">
        <v>70342</v>
      </c>
      <c r="B943" s="63">
        <f>16.8436 * CHOOSE(CONTROL!$C$22, $C$13, 100%, $E$13)</f>
        <v>16.843599999999999</v>
      </c>
      <c r="C943" s="63">
        <f>16.8436 * CHOOSE(CONTROL!$C$22, $C$13, 100%, $E$13)</f>
        <v>16.843599999999999</v>
      </c>
      <c r="D943" s="63">
        <f>16.8694 * CHOOSE(CONTROL!$C$22, $C$13, 100%, $E$13)</f>
        <v>16.869399999999999</v>
      </c>
      <c r="E943" s="64">
        <f>19.8189 * CHOOSE(CONTROL!$C$22, $C$13, 100%, $E$13)</f>
        <v>19.818899999999999</v>
      </c>
      <c r="F943" s="64">
        <f>19.8189 * CHOOSE(CONTROL!$C$22, $C$13, 100%, $E$13)</f>
        <v>19.818899999999999</v>
      </c>
      <c r="G943" s="64">
        <f>19.8205 * CHOOSE(CONTROL!$C$22, $C$13, 100%, $E$13)</f>
        <v>19.820499999999999</v>
      </c>
      <c r="H943" s="64">
        <f>31.9164* CHOOSE(CONTROL!$C$22, $C$13, 100%, $E$13)</f>
        <v>31.916399999999999</v>
      </c>
      <c r="I943" s="64">
        <f>31.9181 * CHOOSE(CONTROL!$C$22, $C$13, 100%, $E$13)</f>
        <v>31.918099999999999</v>
      </c>
      <c r="J943" s="64">
        <f>19.8189 * CHOOSE(CONTROL!$C$22, $C$13, 100%, $E$13)</f>
        <v>19.818899999999999</v>
      </c>
      <c r="K943" s="64">
        <f>19.8205 * CHOOSE(CONTROL!$C$22, $C$13, 100%, $E$13)</f>
        <v>19.820499999999999</v>
      </c>
    </row>
    <row r="944" spans="1:11" ht="15">
      <c r="A944" s="13">
        <v>70373</v>
      </c>
      <c r="B944" s="63">
        <f>16.8406 * CHOOSE(CONTROL!$C$22, $C$13, 100%, $E$13)</f>
        <v>16.840599999999998</v>
      </c>
      <c r="C944" s="63">
        <f>16.8406 * CHOOSE(CONTROL!$C$22, $C$13, 100%, $E$13)</f>
        <v>16.840599999999998</v>
      </c>
      <c r="D944" s="63">
        <f>16.8663 * CHOOSE(CONTROL!$C$22, $C$13, 100%, $E$13)</f>
        <v>16.866299999999999</v>
      </c>
      <c r="E944" s="64">
        <f>19.7941 * CHOOSE(CONTROL!$C$22, $C$13, 100%, $E$13)</f>
        <v>19.7941</v>
      </c>
      <c r="F944" s="64">
        <f>19.7941 * CHOOSE(CONTROL!$C$22, $C$13, 100%, $E$13)</f>
        <v>19.7941</v>
      </c>
      <c r="G944" s="64">
        <f>19.7958 * CHOOSE(CONTROL!$C$22, $C$13, 100%, $E$13)</f>
        <v>19.7958</v>
      </c>
      <c r="H944" s="64">
        <f>31.9829* CHOOSE(CONTROL!$C$22, $C$13, 100%, $E$13)</f>
        <v>31.982900000000001</v>
      </c>
      <c r="I944" s="64">
        <f>31.9845 * CHOOSE(CONTROL!$C$22, $C$13, 100%, $E$13)</f>
        <v>31.984500000000001</v>
      </c>
      <c r="J944" s="64">
        <f>19.7941 * CHOOSE(CONTROL!$C$22, $C$13, 100%, $E$13)</f>
        <v>19.7941</v>
      </c>
      <c r="K944" s="64">
        <f>19.7958 * CHOOSE(CONTROL!$C$22, $C$13, 100%, $E$13)</f>
        <v>19.7958</v>
      </c>
    </row>
    <row r="945" spans="1:11" ht="15">
      <c r="A945" s="13">
        <v>70403</v>
      </c>
      <c r="B945" s="63">
        <f>16.8777 * CHOOSE(CONTROL!$C$22, $C$13, 100%, $E$13)</f>
        <v>16.877700000000001</v>
      </c>
      <c r="C945" s="63">
        <f>16.8777 * CHOOSE(CONTROL!$C$22, $C$13, 100%, $E$13)</f>
        <v>16.877700000000001</v>
      </c>
      <c r="D945" s="63">
        <f>16.8905 * CHOOSE(CONTROL!$C$22, $C$13, 100%, $E$13)</f>
        <v>16.890499999999999</v>
      </c>
      <c r="E945" s="64">
        <f>19.8711 * CHOOSE(CONTROL!$C$22, $C$13, 100%, $E$13)</f>
        <v>19.871099999999998</v>
      </c>
      <c r="F945" s="64">
        <f>19.8711 * CHOOSE(CONTROL!$C$22, $C$13, 100%, $E$13)</f>
        <v>19.871099999999998</v>
      </c>
      <c r="G945" s="64">
        <f>19.8713 * CHOOSE(CONTROL!$C$22, $C$13, 100%, $E$13)</f>
        <v>19.871300000000002</v>
      </c>
      <c r="H945" s="64">
        <f>32.0495* CHOOSE(CONTROL!$C$22, $C$13, 100%, $E$13)</f>
        <v>32.049500000000002</v>
      </c>
      <c r="I945" s="64">
        <f>32.0497 * CHOOSE(CONTROL!$C$22, $C$13, 100%, $E$13)</f>
        <v>32.049700000000001</v>
      </c>
      <c r="J945" s="64">
        <f>19.8711 * CHOOSE(CONTROL!$C$22, $C$13, 100%, $E$13)</f>
        <v>19.871099999999998</v>
      </c>
      <c r="K945" s="64">
        <f>19.8713 * CHOOSE(CONTROL!$C$22, $C$13, 100%, $E$13)</f>
        <v>19.871300000000002</v>
      </c>
    </row>
    <row r="946" spans="1:11" ht="15">
      <c r="A946" s="13">
        <v>70434</v>
      </c>
      <c r="B946" s="63">
        <f>16.8807 * CHOOSE(CONTROL!$C$22, $C$13, 100%, $E$13)</f>
        <v>16.880700000000001</v>
      </c>
      <c r="C946" s="63">
        <f>16.8807 * CHOOSE(CONTROL!$C$22, $C$13, 100%, $E$13)</f>
        <v>16.880700000000001</v>
      </c>
      <c r="D946" s="63">
        <f>16.8936 * CHOOSE(CONTROL!$C$22, $C$13, 100%, $E$13)</f>
        <v>16.893599999999999</v>
      </c>
      <c r="E946" s="64">
        <f>19.9185 * CHOOSE(CONTROL!$C$22, $C$13, 100%, $E$13)</f>
        <v>19.918500000000002</v>
      </c>
      <c r="F946" s="64">
        <f>19.9185 * CHOOSE(CONTROL!$C$22, $C$13, 100%, $E$13)</f>
        <v>19.918500000000002</v>
      </c>
      <c r="G946" s="64">
        <f>19.9187 * CHOOSE(CONTROL!$C$22, $C$13, 100%, $E$13)</f>
        <v>19.918700000000001</v>
      </c>
      <c r="H946" s="64">
        <f>32.1163* CHOOSE(CONTROL!$C$22, $C$13, 100%, $E$13)</f>
        <v>32.116300000000003</v>
      </c>
      <c r="I946" s="64">
        <f>32.1165 * CHOOSE(CONTROL!$C$22, $C$13, 100%, $E$13)</f>
        <v>32.116500000000002</v>
      </c>
      <c r="J946" s="64">
        <f>19.9185 * CHOOSE(CONTROL!$C$22, $C$13, 100%, $E$13)</f>
        <v>19.918500000000002</v>
      </c>
      <c r="K946" s="64">
        <f>19.9187 * CHOOSE(CONTROL!$C$22, $C$13, 100%, $E$13)</f>
        <v>19.918700000000001</v>
      </c>
    </row>
    <row r="947" spans="1:11" ht="15">
      <c r="A947" s="13">
        <v>70464</v>
      </c>
      <c r="B947" s="63">
        <f>16.8807 * CHOOSE(CONTROL!$C$22, $C$13, 100%, $E$13)</f>
        <v>16.880700000000001</v>
      </c>
      <c r="C947" s="63">
        <f>16.8807 * CHOOSE(CONTROL!$C$22, $C$13, 100%, $E$13)</f>
        <v>16.880700000000001</v>
      </c>
      <c r="D947" s="63">
        <f>16.8936 * CHOOSE(CONTROL!$C$22, $C$13, 100%, $E$13)</f>
        <v>16.893599999999999</v>
      </c>
      <c r="E947" s="64">
        <f>19.8054 * CHOOSE(CONTROL!$C$22, $C$13, 100%, $E$13)</f>
        <v>19.805399999999999</v>
      </c>
      <c r="F947" s="64">
        <f>19.8054 * CHOOSE(CONTROL!$C$22, $C$13, 100%, $E$13)</f>
        <v>19.805399999999999</v>
      </c>
      <c r="G947" s="64">
        <f>19.8056 * CHOOSE(CONTROL!$C$22, $C$13, 100%, $E$13)</f>
        <v>19.805599999999998</v>
      </c>
      <c r="H947" s="64">
        <f>32.1832* CHOOSE(CONTROL!$C$22, $C$13, 100%, $E$13)</f>
        <v>32.183199999999999</v>
      </c>
      <c r="I947" s="64">
        <f>32.1834 * CHOOSE(CONTROL!$C$22, $C$13, 100%, $E$13)</f>
        <v>32.183399999999999</v>
      </c>
      <c r="J947" s="64">
        <f>19.8054 * CHOOSE(CONTROL!$C$22, $C$13, 100%, $E$13)</f>
        <v>19.805399999999999</v>
      </c>
      <c r="K947" s="64">
        <f>19.8056 * CHOOSE(CONTROL!$C$22, $C$13, 100%, $E$13)</f>
        <v>19.805599999999998</v>
      </c>
    </row>
    <row r="948" spans="1:11" ht="15">
      <c r="A948" s="13">
        <v>70495</v>
      </c>
      <c r="B948" s="63">
        <f>16.8153 * CHOOSE(CONTROL!$C$22, $C$13, 100%, $E$13)</f>
        <v>16.815300000000001</v>
      </c>
      <c r="C948" s="63">
        <f>16.8153 * CHOOSE(CONTROL!$C$22, $C$13, 100%, $E$13)</f>
        <v>16.815300000000001</v>
      </c>
      <c r="D948" s="63">
        <f>16.8282 * CHOOSE(CONTROL!$C$22, $C$13, 100%, $E$13)</f>
        <v>16.828199999999999</v>
      </c>
      <c r="E948" s="64">
        <f>19.8062 * CHOOSE(CONTROL!$C$22, $C$13, 100%, $E$13)</f>
        <v>19.8062</v>
      </c>
      <c r="F948" s="64">
        <f>19.8062 * CHOOSE(CONTROL!$C$22, $C$13, 100%, $E$13)</f>
        <v>19.8062</v>
      </c>
      <c r="G948" s="64">
        <f>19.8064 * CHOOSE(CONTROL!$C$22, $C$13, 100%, $E$13)</f>
        <v>19.8064</v>
      </c>
      <c r="H948" s="64">
        <f>31.9007* CHOOSE(CONTROL!$C$22, $C$13, 100%, $E$13)</f>
        <v>31.900700000000001</v>
      </c>
      <c r="I948" s="64">
        <f>31.9009 * CHOOSE(CONTROL!$C$22, $C$13, 100%, $E$13)</f>
        <v>31.9009</v>
      </c>
      <c r="J948" s="64">
        <f>19.8062 * CHOOSE(CONTROL!$C$22, $C$13, 100%, $E$13)</f>
        <v>19.8062</v>
      </c>
      <c r="K948" s="64">
        <f>19.8064 * CHOOSE(CONTROL!$C$22, $C$13, 100%, $E$13)</f>
        <v>19.8064</v>
      </c>
    </row>
    <row r="949" spans="1:11" ht="15">
      <c r="A949" s="13">
        <v>70526</v>
      </c>
      <c r="B949" s="63">
        <f>16.8123 * CHOOSE(CONTROL!$C$22, $C$13, 100%, $E$13)</f>
        <v>16.8123</v>
      </c>
      <c r="C949" s="63">
        <f>16.8123 * CHOOSE(CONTROL!$C$22, $C$13, 100%, $E$13)</f>
        <v>16.8123</v>
      </c>
      <c r="D949" s="63">
        <f>16.8252 * CHOOSE(CONTROL!$C$22, $C$13, 100%, $E$13)</f>
        <v>16.825199999999999</v>
      </c>
      <c r="E949" s="64">
        <f>19.5872 * CHOOSE(CONTROL!$C$22, $C$13, 100%, $E$13)</f>
        <v>19.587199999999999</v>
      </c>
      <c r="F949" s="64">
        <f>19.5872 * CHOOSE(CONTROL!$C$22, $C$13, 100%, $E$13)</f>
        <v>19.587199999999999</v>
      </c>
      <c r="G949" s="64">
        <f>19.5874 * CHOOSE(CONTROL!$C$22, $C$13, 100%, $E$13)</f>
        <v>19.587399999999999</v>
      </c>
      <c r="H949" s="64">
        <f>31.9672* CHOOSE(CONTROL!$C$22, $C$13, 100%, $E$13)</f>
        <v>31.967199999999998</v>
      </c>
      <c r="I949" s="64">
        <f>31.9674 * CHOOSE(CONTROL!$C$22, $C$13, 100%, $E$13)</f>
        <v>31.967400000000001</v>
      </c>
      <c r="J949" s="64">
        <f>19.5872 * CHOOSE(CONTROL!$C$22, $C$13, 100%, $E$13)</f>
        <v>19.587199999999999</v>
      </c>
      <c r="K949" s="64">
        <f>19.5874 * CHOOSE(CONTROL!$C$22, $C$13, 100%, $E$13)</f>
        <v>19.587399999999999</v>
      </c>
    </row>
    <row r="950" spans="1:11" ht="15">
      <c r="A950" s="13">
        <v>70554</v>
      </c>
      <c r="B950" s="63">
        <f>16.8092 * CHOOSE(CONTROL!$C$22, $C$13, 100%, $E$13)</f>
        <v>16.809200000000001</v>
      </c>
      <c r="C950" s="63">
        <f>16.8092 * CHOOSE(CONTROL!$C$22, $C$13, 100%, $E$13)</f>
        <v>16.809200000000001</v>
      </c>
      <c r="D950" s="63">
        <f>16.8221 * CHOOSE(CONTROL!$C$22, $C$13, 100%, $E$13)</f>
        <v>16.822099999999999</v>
      </c>
      <c r="E950" s="64">
        <f>19.756 * CHOOSE(CONTROL!$C$22, $C$13, 100%, $E$13)</f>
        <v>19.756</v>
      </c>
      <c r="F950" s="64">
        <f>19.756 * CHOOSE(CONTROL!$C$22, $C$13, 100%, $E$13)</f>
        <v>19.756</v>
      </c>
      <c r="G950" s="64">
        <f>19.7562 * CHOOSE(CONTROL!$C$22, $C$13, 100%, $E$13)</f>
        <v>19.7562</v>
      </c>
      <c r="H950" s="64">
        <f>32.0338* CHOOSE(CONTROL!$C$22, $C$13, 100%, $E$13)</f>
        <v>32.033799999999999</v>
      </c>
      <c r="I950" s="64">
        <f>32.034 * CHOOSE(CONTROL!$C$22, $C$13, 100%, $E$13)</f>
        <v>32.033999999999999</v>
      </c>
      <c r="J950" s="64">
        <f>19.756 * CHOOSE(CONTROL!$C$22, $C$13, 100%, $E$13)</f>
        <v>19.756</v>
      </c>
      <c r="K950" s="64">
        <f>19.7562 * CHOOSE(CONTROL!$C$22, $C$13, 100%, $E$13)</f>
        <v>19.7562</v>
      </c>
    </row>
    <row r="951" spans="1:11" ht="15">
      <c r="A951" s="13">
        <v>70585</v>
      </c>
      <c r="B951" s="63">
        <f>16.8178 * CHOOSE(CONTROL!$C$22, $C$13, 100%, $E$13)</f>
        <v>16.817799999999998</v>
      </c>
      <c r="C951" s="63">
        <f>16.8178 * CHOOSE(CONTROL!$C$22, $C$13, 100%, $E$13)</f>
        <v>16.817799999999998</v>
      </c>
      <c r="D951" s="63">
        <f>16.8307 * CHOOSE(CONTROL!$C$22, $C$13, 100%, $E$13)</f>
        <v>16.8307</v>
      </c>
      <c r="E951" s="64">
        <f>19.9354 * CHOOSE(CONTROL!$C$22, $C$13, 100%, $E$13)</f>
        <v>19.935400000000001</v>
      </c>
      <c r="F951" s="64">
        <f>19.9354 * CHOOSE(CONTROL!$C$22, $C$13, 100%, $E$13)</f>
        <v>19.935400000000001</v>
      </c>
      <c r="G951" s="64">
        <f>19.9356 * CHOOSE(CONTROL!$C$22, $C$13, 100%, $E$13)</f>
        <v>19.935600000000001</v>
      </c>
      <c r="H951" s="64">
        <f>32.1005* CHOOSE(CONTROL!$C$22, $C$13, 100%, $E$13)</f>
        <v>32.100499999999997</v>
      </c>
      <c r="I951" s="64">
        <f>32.1007 * CHOOSE(CONTROL!$C$22, $C$13, 100%, $E$13)</f>
        <v>32.100700000000003</v>
      </c>
      <c r="J951" s="64">
        <f>19.9354 * CHOOSE(CONTROL!$C$22, $C$13, 100%, $E$13)</f>
        <v>19.935400000000001</v>
      </c>
      <c r="K951" s="64">
        <f>19.9356 * CHOOSE(CONTROL!$C$22, $C$13, 100%, $E$13)</f>
        <v>19.935600000000001</v>
      </c>
    </row>
    <row r="952" spans="1:11" ht="15">
      <c r="A952" s="13">
        <v>70615</v>
      </c>
      <c r="B952" s="63">
        <f>16.8178 * CHOOSE(CONTROL!$C$22, $C$13, 100%, $E$13)</f>
        <v>16.817799999999998</v>
      </c>
      <c r="C952" s="63">
        <f>16.8178 * CHOOSE(CONTROL!$C$22, $C$13, 100%, $E$13)</f>
        <v>16.817799999999998</v>
      </c>
      <c r="D952" s="63">
        <f>16.8435 * CHOOSE(CONTROL!$C$22, $C$13, 100%, $E$13)</f>
        <v>16.843499999999999</v>
      </c>
      <c r="E952" s="64">
        <f>20.0042 * CHOOSE(CONTROL!$C$22, $C$13, 100%, $E$13)</f>
        <v>20.004200000000001</v>
      </c>
      <c r="F952" s="64">
        <f>20.0042 * CHOOSE(CONTROL!$C$22, $C$13, 100%, $E$13)</f>
        <v>20.004200000000001</v>
      </c>
      <c r="G952" s="64">
        <f>20.0059 * CHOOSE(CONTROL!$C$22, $C$13, 100%, $E$13)</f>
        <v>20.0059</v>
      </c>
      <c r="H952" s="64">
        <f>32.1674* CHOOSE(CONTROL!$C$22, $C$13, 100%, $E$13)</f>
        <v>32.167400000000001</v>
      </c>
      <c r="I952" s="64">
        <f>32.169 * CHOOSE(CONTROL!$C$22, $C$13, 100%, $E$13)</f>
        <v>32.168999999999997</v>
      </c>
      <c r="J952" s="64">
        <f>20.0042 * CHOOSE(CONTROL!$C$22, $C$13, 100%, $E$13)</f>
        <v>20.004200000000001</v>
      </c>
      <c r="K952" s="64">
        <f>20.0059 * CHOOSE(CONTROL!$C$22, $C$13, 100%, $E$13)</f>
        <v>20.0059</v>
      </c>
    </row>
    <row r="953" spans="1:11" ht="15">
      <c r="A953" s="13">
        <v>70646</v>
      </c>
      <c r="B953" s="63">
        <f>16.8239 * CHOOSE(CONTROL!$C$22, $C$13, 100%, $E$13)</f>
        <v>16.823899999999998</v>
      </c>
      <c r="C953" s="63">
        <f>16.8239 * CHOOSE(CONTROL!$C$22, $C$13, 100%, $E$13)</f>
        <v>16.823899999999998</v>
      </c>
      <c r="D953" s="63">
        <f>16.8496 * CHOOSE(CONTROL!$C$22, $C$13, 100%, $E$13)</f>
        <v>16.849599999999999</v>
      </c>
      <c r="E953" s="64">
        <f>19.9396 * CHOOSE(CONTROL!$C$22, $C$13, 100%, $E$13)</f>
        <v>19.939599999999999</v>
      </c>
      <c r="F953" s="64">
        <f>19.9396 * CHOOSE(CONTROL!$C$22, $C$13, 100%, $E$13)</f>
        <v>19.939599999999999</v>
      </c>
      <c r="G953" s="64">
        <f>19.9413 * CHOOSE(CONTROL!$C$22, $C$13, 100%, $E$13)</f>
        <v>19.941299999999998</v>
      </c>
      <c r="H953" s="64">
        <f>32.2344* CHOOSE(CONTROL!$C$22, $C$13, 100%, $E$13)</f>
        <v>32.234400000000001</v>
      </c>
      <c r="I953" s="64">
        <f>32.236 * CHOOSE(CONTROL!$C$22, $C$13, 100%, $E$13)</f>
        <v>32.235999999999997</v>
      </c>
      <c r="J953" s="64">
        <f>19.9396 * CHOOSE(CONTROL!$C$22, $C$13, 100%, $E$13)</f>
        <v>19.939599999999999</v>
      </c>
      <c r="K953" s="64">
        <f>19.9413 * CHOOSE(CONTROL!$C$22, $C$13, 100%, $E$13)</f>
        <v>19.941299999999998</v>
      </c>
    </row>
    <row r="954" spans="1:11" ht="15">
      <c r="A954" s="13">
        <v>70676</v>
      </c>
      <c r="B954" s="63">
        <f>17.0862 * CHOOSE(CONTROL!$C$22, $C$13, 100%, $E$13)</f>
        <v>17.086200000000002</v>
      </c>
      <c r="C954" s="63">
        <f>17.0862 * CHOOSE(CONTROL!$C$22, $C$13, 100%, $E$13)</f>
        <v>17.086200000000002</v>
      </c>
      <c r="D954" s="63">
        <f>17.1119 * CHOOSE(CONTROL!$C$22, $C$13, 100%, $E$13)</f>
        <v>17.111899999999999</v>
      </c>
      <c r="E954" s="64">
        <f>20.3175 * CHOOSE(CONTROL!$C$22, $C$13, 100%, $E$13)</f>
        <v>20.317499999999999</v>
      </c>
      <c r="F954" s="64">
        <f>20.3175 * CHOOSE(CONTROL!$C$22, $C$13, 100%, $E$13)</f>
        <v>20.317499999999999</v>
      </c>
      <c r="G954" s="64">
        <f>20.3192 * CHOOSE(CONTROL!$C$22, $C$13, 100%, $E$13)</f>
        <v>20.319199999999999</v>
      </c>
      <c r="H954" s="64">
        <f>32.3016* CHOOSE(CONTROL!$C$22, $C$13, 100%, $E$13)</f>
        <v>32.301600000000001</v>
      </c>
      <c r="I954" s="64">
        <f>32.3032 * CHOOSE(CONTROL!$C$22, $C$13, 100%, $E$13)</f>
        <v>32.303199999999997</v>
      </c>
      <c r="J954" s="64">
        <f>20.3175 * CHOOSE(CONTROL!$C$22, $C$13, 100%, $E$13)</f>
        <v>20.317499999999999</v>
      </c>
      <c r="K954" s="64">
        <f>20.3192 * CHOOSE(CONTROL!$C$22, $C$13, 100%, $E$13)</f>
        <v>20.319199999999999</v>
      </c>
    </row>
    <row r="955" spans="1:11" ht="15">
      <c r="A955" s="13">
        <v>70707</v>
      </c>
      <c r="B955" s="63">
        <f>17.0929 * CHOOSE(CONTROL!$C$22, $C$13, 100%, $E$13)</f>
        <v>17.0929</v>
      </c>
      <c r="C955" s="63">
        <f>17.0929 * CHOOSE(CONTROL!$C$22, $C$13, 100%, $E$13)</f>
        <v>17.0929</v>
      </c>
      <c r="D955" s="63">
        <f>17.1186 * CHOOSE(CONTROL!$C$22, $C$13, 100%, $E$13)</f>
        <v>17.118600000000001</v>
      </c>
      <c r="E955" s="64">
        <f>20.1157 * CHOOSE(CONTROL!$C$22, $C$13, 100%, $E$13)</f>
        <v>20.1157</v>
      </c>
      <c r="F955" s="64">
        <f>20.1157 * CHOOSE(CONTROL!$C$22, $C$13, 100%, $E$13)</f>
        <v>20.1157</v>
      </c>
      <c r="G955" s="64">
        <f>20.1173 * CHOOSE(CONTROL!$C$22, $C$13, 100%, $E$13)</f>
        <v>20.1173</v>
      </c>
      <c r="H955" s="64">
        <f>32.3689* CHOOSE(CONTROL!$C$22, $C$13, 100%, $E$13)</f>
        <v>32.368899999999996</v>
      </c>
      <c r="I955" s="64">
        <f>32.3705 * CHOOSE(CONTROL!$C$22, $C$13, 100%, $E$13)</f>
        <v>32.3705</v>
      </c>
      <c r="J955" s="64">
        <f>20.1157 * CHOOSE(CONTROL!$C$22, $C$13, 100%, $E$13)</f>
        <v>20.1157</v>
      </c>
      <c r="K955" s="64">
        <f>20.1173 * CHOOSE(CONTROL!$C$22, $C$13, 100%, $E$13)</f>
        <v>20.1173</v>
      </c>
    </row>
    <row r="956" spans="1:11" ht="15">
      <c r="A956" s="13">
        <v>70738</v>
      </c>
      <c r="B956" s="63">
        <f>17.0898 * CHOOSE(CONTROL!$C$22, $C$13, 100%, $E$13)</f>
        <v>17.0898</v>
      </c>
      <c r="C956" s="63">
        <f>17.0898 * CHOOSE(CONTROL!$C$22, $C$13, 100%, $E$13)</f>
        <v>17.0898</v>
      </c>
      <c r="D956" s="63">
        <f>17.1156 * CHOOSE(CONTROL!$C$22, $C$13, 100%, $E$13)</f>
        <v>17.115600000000001</v>
      </c>
      <c r="E956" s="64">
        <f>20.0906 * CHOOSE(CONTROL!$C$22, $C$13, 100%, $E$13)</f>
        <v>20.090599999999998</v>
      </c>
      <c r="F956" s="64">
        <f>20.0906 * CHOOSE(CONTROL!$C$22, $C$13, 100%, $E$13)</f>
        <v>20.090599999999998</v>
      </c>
      <c r="G956" s="64">
        <f>20.0923 * CHOOSE(CONTROL!$C$22, $C$13, 100%, $E$13)</f>
        <v>20.092300000000002</v>
      </c>
      <c r="H956" s="64">
        <f>32.4363* CHOOSE(CONTROL!$C$22, $C$13, 100%, $E$13)</f>
        <v>32.436300000000003</v>
      </c>
      <c r="I956" s="64">
        <f>32.4379 * CHOOSE(CONTROL!$C$22, $C$13, 100%, $E$13)</f>
        <v>32.437899999999999</v>
      </c>
      <c r="J956" s="64">
        <f>20.0906 * CHOOSE(CONTROL!$C$22, $C$13, 100%, $E$13)</f>
        <v>20.090599999999998</v>
      </c>
      <c r="K956" s="64">
        <f>20.0923 * CHOOSE(CONTROL!$C$22, $C$13, 100%, $E$13)</f>
        <v>20.092300000000002</v>
      </c>
    </row>
    <row r="957" spans="1:11" ht="15">
      <c r="A957" s="13">
        <v>70768</v>
      </c>
      <c r="B957" s="63">
        <f>17.1277 * CHOOSE(CONTROL!$C$22, $C$13, 100%, $E$13)</f>
        <v>17.127700000000001</v>
      </c>
      <c r="C957" s="63">
        <f>17.1277 * CHOOSE(CONTROL!$C$22, $C$13, 100%, $E$13)</f>
        <v>17.127700000000001</v>
      </c>
      <c r="D957" s="63">
        <f>17.1405 * CHOOSE(CONTROL!$C$22, $C$13, 100%, $E$13)</f>
        <v>17.140499999999999</v>
      </c>
      <c r="E957" s="64">
        <f>20.169 * CHOOSE(CONTROL!$C$22, $C$13, 100%, $E$13)</f>
        <v>20.169</v>
      </c>
      <c r="F957" s="64">
        <f>20.169 * CHOOSE(CONTROL!$C$22, $C$13, 100%, $E$13)</f>
        <v>20.169</v>
      </c>
      <c r="G957" s="64">
        <f>20.1692 * CHOOSE(CONTROL!$C$22, $C$13, 100%, $E$13)</f>
        <v>20.1692</v>
      </c>
      <c r="H957" s="64">
        <f>32.5039* CHOOSE(CONTROL!$C$22, $C$13, 100%, $E$13)</f>
        <v>32.503900000000002</v>
      </c>
      <c r="I957" s="64">
        <f>32.504 * CHOOSE(CONTROL!$C$22, $C$13, 100%, $E$13)</f>
        <v>32.503999999999998</v>
      </c>
      <c r="J957" s="64">
        <f>20.169 * CHOOSE(CONTROL!$C$22, $C$13, 100%, $E$13)</f>
        <v>20.169</v>
      </c>
      <c r="K957" s="64">
        <f>20.1692 * CHOOSE(CONTROL!$C$22, $C$13, 100%, $E$13)</f>
        <v>20.1692</v>
      </c>
    </row>
    <row r="958" spans="1:11" ht="15">
      <c r="A958" s="13">
        <v>70799</v>
      </c>
      <c r="B958" s="63">
        <f>17.1307 * CHOOSE(CONTROL!$C$22, $C$13, 100%, $E$13)</f>
        <v>17.130700000000001</v>
      </c>
      <c r="C958" s="63">
        <f>17.1307 * CHOOSE(CONTROL!$C$22, $C$13, 100%, $E$13)</f>
        <v>17.130700000000001</v>
      </c>
      <c r="D958" s="63">
        <f>17.1436 * CHOOSE(CONTROL!$C$22, $C$13, 100%, $E$13)</f>
        <v>17.143599999999999</v>
      </c>
      <c r="E958" s="64">
        <f>20.217 * CHOOSE(CONTROL!$C$22, $C$13, 100%, $E$13)</f>
        <v>20.216999999999999</v>
      </c>
      <c r="F958" s="64">
        <f>20.217 * CHOOSE(CONTROL!$C$22, $C$13, 100%, $E$13)</f>
        <v>20.216999999999999</v>
      </c>
      <c r="G958" s="64">
        <f>20.2172 * CHOOSE(CONTROL!$C$22, $C$13, 100%, $E$13)</f>
        <v>20.217199999999998</v>
      </c>
      <c r="H958" s="64">
        <f>32.5716* CHOOSE(CONTROL!$C$22, $C$13, 100%, $E$13)</f>
        <v>32.571599999999997</v>
      </c>
      <c r="I958" s="64">
        <f>32.5718 * CHOOSE(CONTROL!$C$22, $C$13, 100%, $E$13)</f>
        <v>32.571800000000003</v>
      </c>
      <c r="J958" s="64">
        <f>20.217 * CHOOSE(CONTROL!$C$22, $C$13, 100%, $E$13)</f>
        <v>20.216999999999999</v>
      </c>
      <c r="K958" s="64">
        <f>20.2172 * CHOOSE(CONTROL!$C$22, $C$13, 100%, $E$13)</f>
        <v>20.217199999999998</v>
      </c>
    </row>
    <row r="959" spans="1:11" ht="15">
      <c r="A959" s="13">
        <v>70829</v>
      </c>
      <c r="B959" s="63">
        <f>17.1307 * CHOOSE(CONTROL!$C$22, $C$13, 100%, $E$13)</f>
        <v>17.130700000000001</v>
      </c>
      <c r="C959" s="63">
        <f>17.1307 * CHOOSE(CONTROL!$C$22, $C$13, 100%, $E$13)</f>
        <v>17.130700000000001</v>
      </c>
      <c r="D959" s="63">
        <f>17.1436 * CHOOSE(CONTROL!$C$22, $C$13, 100%, $E$13)</f>
        <v>17.143599999999999</v>
      </c>
      <c r="E959" s="64">
        <f>20.1023 * CHOOSE(CONTROL!$C$22, $C$13, 100%, $E$13)</f>
        <v>20.1023</v>
      </c>
      <c r="F959" s="64">
        <f>20.1023 * CHOOSE(CONTROL!$C$22, $C$13, 100%, $E$13)</f>
        <v>20.1023</v>
      </c>
      <c r="G959" s="64">
        <f>20.1024 * CHOOSE(CONTROL!$C$22, $C$13, 100%, $E$13)</f>
        <v>20.102399999999999</v>
      </c>
      <c r="H959" s="64">
        <f>32.6394* CHOOSE(CONTROL!$C$22, $C$13, 100%, $E$13)</f>
        <v>32.639400000000002</v>
      </c>
      <c r="I959" s="64">
        <f>32.6396 * CHOOSE(CONTROL!$C$22, $C$13, 100%, $E$13)</f>
        <v>32.639600000000002</v>
      </c>
      <c r="J959" s="64">
        <f>20.1023 * CHOOSE(CONTROL!$C$22, $C$13, 100%, $E$13)</f>
        <v>20.1023</v>
      </c>
      <c r="K959" s="64">
        <f>20.1024 * CHOOSE(CONTROL!$C$22, $C$13, 100%, $E$13)</f>
        <v>20.102399999999999</v>
      </c>
    </row>
    <row r="960" spans="1:11" ht="15">
      <c r="A960" s="13">
        <v>70860</v>
      </c>
      <c r="B960" s="63">
        <f>17.0606 * CHOOSE(CONTROL!$C$22, $C$13, 100%, $E$13)</f>
        <v>17.060600000000001</v>
      </c>
      <c r="C960" s="63">
        <f>17.0606 * CHOOSE(CONTROL!$C$22, $C$13, 100%, $E$13)</f>
        <v>17.060600000000001</v>
      </c>
      <c r="D960" s="63">
        <f>17.0735 * CHOOSE(CONTROL!$C$22, $C$13, 100%, $E$13)</f>
        <v>17.073499999999999</v>
      </c>
      <c r="E960" s="64">
        <f>20.0986 * CHOOSE(CONTROL!$C$22, $C$13, 100%, $E$13)</f>
        <v>20.098600000000001</v>
      </c>
      <c r="F960" s="64">
        <f>20.0986 * CHOOSE(CONTROL!$C$22, $C$13, 100%, $E$13)</f>
        <v>20.098600000000001</v>
      </c>
      <c r="G960" s="64">
        <f>20.0988 * CHOOSE(CONTROL!$C$22, $C$13, 100%, $E$13)</f>
        <v>20.098800000000001</v>
      </c>
      <c r="H960" s="64">
        <f>32.3466* CHOOSE(CONTROL!$C$22, $C$13, 100%, $E$13)</f>
        <v>32.346600000000002</v>
      </c>
      <c r="I960" s="64">
        <f>32.3468 * CHOOSE(CONTROL!$C$22, $C$13, 100%, $E$13)</f>
        <v>32.346800000000002</v>
      </c>
      <c r="J960" s="64">
        <f>20.0986 * CHOOSE(CONTROL!$C$22, $C$13, 100%, $E$13)</f>
        <v>20.098600000000001</v>
      </c>
      <c r="K960" s="64">
        <f>20.0988 * CHOOSE(CONTROL!$C$22, $C$13, 100%, $E$13)</f>
        <v>20.098800000000001</v>
      </c>
    </row>
    <row r="961" spans="1:11" ht="15">
      <c r="A961" s="13">
        <v>70891</v>
      </c>
      <c r="B961" s="63">
        <f>17.0576 * CHOOSE(CONTROL!$C$22, $C$13, 100%, $E$13)</f>
        <v>17.057600000000001</v>
      </c>
      <c r="C961" s="63">
        <f>17.0576 * CHOOSE(CONTROL!$C$22, $C$13, 100%, $E$13)</f>
        <v>17.057600000000001</v>
      </c>
      <c r="D961" s="63">
        <f>17.0705 * CHOOSE(CONTROL!$C$22, $C$13, 100%, $E$13)</f>
        <v>17.070499999999999</v>
      </c>
      <c r="E961" s="64">
        <f>19.8764 * CHOOSE(CONTROL!$C$22, $C$13, 100%, $E$13)</f>
        <v>19.8764</v>
      </c>
      <c r="F961" s="64">
        <f>19.8764 * CHOOSE(CONTROL!$C$22, $C$13, 100%, $E$13)</f>
        <v>19.8764</v>
      </c>
      <c r="G961" s="64">
        <f>19.8766 * CHOOSE(CONTROL!$C$22, $C$13, 100%, $E$13)</f>
        <v>19.8766</v>
      </c>
      <c r="H961" s="64">
        <f>32.414* CHOOSE(CONTROL!$C$22, $C$13, 100%, $E$13)</f>
        <v>32.414000000000001</v>
      </c>
      <c r="I961" s="64">
        <f>32.4142 * CHOOSE(CONTROL!$C$22, $C$13, 100%, $E$13)</f>
        <v>32.414200000000001</v>
      </c>
      <c r="J961" s="64">
        <f>19.8764 * CHOOSE(CONTROL!$C$22, $C$13, 100%, $E$13)</f>
        <v>19.8764</v>
      </c>
      <c r="K961" s="64">
        <f>19.8766 * CHOOSE(CONTROL!$C$22, $C$13, 100%, $E$13)</f>
        <v>19.8766</v>
      </c>
    </row>
    <row r="962" spans="1:11" ht="15">
      <c r="A962" s="13">
        <v>70919</v>
      </c>
      <c r="B962" s="63">
        <f>17.0546 * CHOOSE(CONTROL!$C$22, $C$13, 100%, $E$13)</f>
        <v>17.054600000000001</v>
      </c>
      <c r="C962" s="63">
        <f>17.0546 * CHOOSE(CONTROL!$C$22, $C$13, 100%, $E$13)</f>
        <v>17.054600000000001</v>
      </c>
      <c r="D962" s="63">
        <f>17.0674 * CHOOSE(CONTROL!$C$22, $C$13, 100%, $E$13)</f>
        <v>17.067399999999999</v>
      </c>
      <c r="E962" s="64">
        <f>20.0478 * CHOOSE(CONTROL!$C$22, $C$13, 100%, $E$13)</f>
        <v>20.047799999999999</v>
      </c>
      <c r="F962" s="64">
        <f>20.0478 * CHOOSE(CONTROL!$C$22, $C$13, 100%, $E$13)</f>
        <v>20.047799999999999</v>
      </c>
      <c r="G962" s="64">
        <f>20.048 * CHOOSE(CONTROL!$C$22, $C$13, 100%, $E$13)</f>
        <v>20.047999999999998</v>
      </c>
      <c r="H962" s="64">
        <f>32.4815* CHOOSE(CONTROL!$C$22, $C$13, 100%, $E$13)</f>
        <v>32.481499999999997</v>
      </c>
      <c r="I962" s="64">
        <f>32.4817 * CHOOSE(CONTROL!$C$22, $C$13, 100%, $E$13)</f>
        <v>32.481699999999996</v>
      </c>
      <c r="J962" s="64">
        <f>20.0478 * CHOOSE(CONTROL!$C$22, $C$13, 100%, $E$13)</f>
        <v>20.047799999999999</v>
      </c>
      <c r="K962" s="64">
        <f>20.048 * CHOOSE(CONTROL!$C$22, $C$13, 100%, $E$13)</f>
        <v>20.047999999999998</v>
      </c>
    </row>
    <row r="963" spans="1:11" ht="15">
      <c r="A963" s="13">
        <v>70950</v>
      </c>
      <c r="B963" s="63">
        <f>17.0633 * CHOOSE(CONTROL!$C$22, $C$13, 100%, $E$13)</f>
        <v>17.063300000000002</v>
      </c>
      <c r="C963" s="63">
        <f>17.0633 * CHOOSE(CONTROL!$C$22, $C$13, 100%, $E$13)</f>
        <v>17.063300000000002</v>
      </c>
      <c r="D963" s="63">
        <f>17.0762 * CHOOSE(CONTROL!$C$22, $C$13, 100%, $E$13)</f>
        <v>17.0762</v>
      </c>
      <c r="E963" s="64">
        <f>20.2298 * CHOOSE(CONTROL!$C$22, $C$13, 100%, $E$13)</f>
        <v>20.229800000000001</v>
      </c>
      <c r="F963" s="64">
        <f>20.2298 * CHOOSE(CONTROL!$C$22, $C$13, 100%, $E$13)</f>
        <v>20.229800000000001</v>
      </c>
      <c r="G963" s="64">
        <f>20.23 * CHOOSE(CONTROL!$C$22, $C$13, 100%, $E$13)</f>
        <v>20.23</v>
      </c>
      <c r="H963" s="64">
        <f>32.5492* CHOOSE(CONTROL!$C$22, $C$13, 100%, $E$13)</f>
        <v>32.549199999999999</v>
      </c>
      <c r="I963" s="64">
        <f>32.5494 * CHOOSE(CONTROL!$C$22, $C$13, 100%, $E$13)</f>
        <v>32.549399999999999</v>
      </c>
      <c r="J963" s="64">
        <f>20.2298 * CHOOSE(CONTROL!$C$22, $C$13, 100%, $E$13)</f>
        <v>20.229800000000001</v>
      </c>
      <c r="K963" s="64">
        <f>20.23 * CHOOSE(CONTROL!$C$22, $C$13, 100%, $E$13)</f>
        <v>20.23</v>
      </c>
    </row>
    <row r="964" spans="1:11" ht="15">
      <c r="A964" s="13">
        <v>70980</v>
      </c>
      <c r="B964" s="63">
        <f>17.0633 * CHOOSE(CONTROL!$C$22, $C$13, 100%, $E$13)</f>
        <v>17.063300000000002</v>
      </c>
      <c r="C964" s="63">
        <f>17.0633 * CHOOSE(CONTROL!$C$22, $C$13, 100%, $E$13)</f>
        <v>17.063300000000002</v>
      </c>
      <c r="D964" s="63">
        <f>17.0891 * CHOOSE(CONTROL!$C$22, $C$13, 100%, $E$13)</f>
        <v>17.089099999999998</v>
      </c>
      <c r="E964" s="64">
        <f>20.2997 * CHOOSE(CONTROL!$C$22, $C$13, 100%, $E$13)</f>
        <v>20.299700000000001</v>
      </c>
      <c r="F964" s="64">
        <f>20.2997 * CHOOSE(CONTROL!$C$22, $C$13, 100%, $E$13)</f>
        <v>20.299700000000001</v>
      </c>
      <c r="G964" s="64">
        <f>20.3013 * CHOOSE(CONTROL!$C$22, $C$13, 100%, $E$13)</f>
        <v>20.301300000000001</v>
      </c>
      <c r="H964" s="64">
        <f>32.617* CHOOSE(CONTROL!$C$22, $C$13, 100%, $E$13)</f>
        <v>32.616999999999997</v>
      </c>
      <c r="I964" s="64">
        <f>32.6186 * CHOOSE(CONTROL!$C$22, $C$13, 100%, $E$13)</f>
        <v>32.618600000000001</v>
      </c>
      <c r="J964" s="64">
        <f>20.2997 * CHOOSE(CONTROL!$C$22, $C$13, 100%, $E$13)</f>
        <v>20.299700000000001</v>
      </c>
      <c r="K964" s="64">
        <f>20.3013 * CHOOSE(CONTROL!$C$22, $C$13, 100%, $E$13)</f>
        <v>20.301300000000001</v>
      </c>
    </row>
    <row r="965" spans="1:11" ht="15">
      <c r="A965" s="13">
        <v>71011</v>
      </c>
      <c r="B965" s="63">
        <f>17.0694 * CHOOSE(CONTROL!$C$22, $C$13, 100%, $E$13)</f>
        <v>17.069400000000002</v>
      </c>
      <c r="C965" s="63">
        <f>17.0694 * CHOOSE(CONTROL!$C$22, $C$13, 100%, $E$13)</f>
        <v>17.069400000000002</v>
      </c>
      <c r="D965" s="63">
        <f>17.0951 * CHOOSE(CONTROL!$C$22, $C$13, 100%, $E$13)</f>
        <v>17.095099999999999</v>
      </c>
      <c r="E965" s="64">
        <f>20.2341 * CHOOSE(CONTROL!$C$22, $C$13, 100%, $E$13)</f>
        <v>20.234100000000002</v>
      </c>
      <c r="F965" s="64">
        <f>20.2341 * CHOOSE(CONTROL!$C$22, $C$13, 100%, $E$13)</f>
        <v>20.234100000000002</v>
      </c>
      <c r="G965" s="64">
        <f>20.2357 * CHOOSE(CONTROL!$C$22, $C$13, 100%, $E$13)</f>
        <v>20.235700000000001</v>
      </c>
      <c r="H965" s="64">
        <f>32.685* CHOOSE(CONTROL!$C$22, $C$13, 100%, $E$13)</f>
        <v>32.685000000000002</v>
      </c>
      <c r="I965" s="64">
        <f>32.6866 * CHOOSE(CONTROL!$C$22, $C$13, 100%, $E$13)</f>
        <v>32.686599999999999</v>
      </c>
      <c r="J965" s="64">
        <f>20.2341 * CHOOSE(CONTROL!$C$22, $C$13, 100%, $E$13)</f>
        <v>20.234100000000002</v>
      </c>
      <c r="K965" s="64">
        <f>20.2357 * CHOOSE(CONTROL!$C$22, $C$13, 100%, $E$13)</f>
        <v>20.235700000000001</v>
      </c>
    </row>
    <row r="966" spans="1:11" ht="15">
      <c r="A966" s="13">
        <v>71041</v>
      </c>
      <c r="B966" s="63">
        <f>17.3354 * CHOOSE(CONTROL!$C$22, $C$13, 100%, $E$13)</f>
        <v>17.3354</v>
      </c>
      <c r="C966" s="63">
        <f>17.3354 * CHOOSE(CONTROL!$C$22, $C$13, 100%, $E$13)</f>
        <v>17.3354</v>
      </c>
      <c r="D966" s="63">
        <f>17.3611 * CHOOSE(CONTROL!$C$22, $C$13, 100%, $E$13)</f>
        <v>17.3611</v>
      </c>
      <c r="E966" s="64">
        <f>20.6174 * CHOOSE(CONTROL!$C$22, $C$13, 100%, $E$13)</f>
        <v>20.6174</v>
      </c>
      <c r="F966" s="64">
        <f>20.6174 * CHOOSE(CONTROL!$C$22, $C$13, 100%, $E$13)</f>
        <v>20.6174</v>
      </c>
      <c r="G966" s="64">
        <f>20.6191 * CHOOSE(CONTROL!$C$22, $C$13, 100%, $E$13)</f>
        <v>20.6191</v>
      </c>
      <c r="H966" s="64">
        <f>32.7531* CHOOSE(CONTROL!$C$22, $C$13, 100%, $E$13)</f>
        <v>32.753100000000003</v>
      </c>
      <c r="I966" s="64">
        <f>32.7547 * CHOOSE(CONTROL!$C$22, $C$13, 100%, $E$13)</f>
        <v>32.7547</v>
      </c>
      <c r="J966" s="64">
        <f>20.6174 * CHOOSE(CONTROL!$C$22, $C$13, 100%, $E$13)</f>
        <v>20.6174</v>
      </c>
      <c r="K966" s="64">
        <f>20.6191 * CHOOSE(CONTROL!$C$22, $C$13, 100%, $E$13)</f>
        <v>20.6191</v>
      </c>
    </row>
    <row r="967" spans="1:11" ht="15">
      <c r="A967" s="13">
        <v>71072</v>
      </c>
      <c r="B967" s="63">
        <f>17.3421 * CHOOSE(CONTROL!$C$22, $C$13, 100%, $E$13)</f>
        <v>17.342099999999999</v>
      </c>
      <c r="C967" s="63">
        <f>17.3421 * CHOOSE(CONTROL!$C$22, $C$13, 100%, $E$13)</f>
        <v>17.342099999999999</v>
      </c>
      <c r="D967" s="63">
        <f>17.3678 * CHOOSE(CONTROL!$C$22, $C$13, 100%, $E$13)</f>
        <v>17.367799999999999</v>
      </c>
      <c r="E967" s="64">
        <f>20.4125 * CHOOSE(CONTROL!$C$22, $C$13, 100%, $E$13)</f>
        <v>20.412500000000001</v>
      </c>
      <c r="F967" s="64">
        <f>20.4125 * CHOOSE(CONTROL!$C$22, $C$13, 100%, $E$13)</f>
        <v>20.412500000000001</v>
      </c>
      <c r="G967" s="64">
        <f>20.4142 * CHOOSE(CONTROL!$C$22, $C$13, 100%, $E$13)</f>
        <v>20.414200000000001</v>
      </c>
      <c r="H967" s="64">
        <f>32.8213* CHOOSE(CONTROL!$C$22, $C$13, 100%, $E$13)</f>
        <v>32.821300000000001</v>
      </c>
      <c r="I967" s="64">
        <f>32.8229 * CHOOSE(CONTROL!$C$22, $C$13, 100%, $E$13)</f>
        <v>32.822899999999997</v>
      </c>
      <c r="J967" s="64">
        <f>20.4125 * CHOOSE(CONTROL!$C$22, $C$13, 100%, $E$13)</f>
        <v>20.412500000000001</v>
      </c>
      <c r="K967" s="64">
        <f>20.4142 * CHOOSE(CONTROL!$C$22, $C$13, 100%, $E$13)</f>
        <v>20.414200000000001</v>
      </c>
    </row>
    <row r="968" spans="1:11" ht="15">
      <c r="A968" s="13">
        <v>71103</v>
      </c>
      <c r="B968" s="63">
        <f>17.339 * CHOOSE(CONTROL!$C$22, $C$13, 100%, $E$13)</f>
        <v>17.338999999999999</v>
      </c>
      <c r="C968" s="63">
        <f>17.339 * CHOOSE(CONTROL!$C$22, $C$13, 100%, $E$13)</f>
        <v>17.338999999999999</v>
      </c>
      <c r="D968" s="63">
        <f>17.3648 * CHOOSE(CONTROL!$C$22, $C$13, 100%, $E$13)</f>
        <v>17.364799999999999</v>
      </c>
      <c r="E968" s="64">
        <f>20.3871 * CHOOSE(CONTROL!$C$22, $C$13, 100%, $E$13)</f>
        <v>20.3871</v>
      </c>
      <c r="F968" s="64">
        <f>20.3871 * CHOOSE(CONTROL!$C$22, $C$13, 100%, $E$13)</f>
        <v>20.3871</v>
      </c>
      <c r="G968" s="64">
        <f>20.3888 * CHOOSE(CONTROL!$C$22, $C$13, 100%, $E$13)</f>
        <v>20.3888</v>
      </c>
      <c r="H968" s="64">
        <f>32.8897* CHOOSE(CONTROL!$C$22, $C$13, 100%, $E$13)</f>
        <v>32.889699999999998</v>
      </c>
      <c r="I968" s="64">
        <f>32.8913 * CHOOSE(CONTROL!$C$22, $C$13, 100%, $E$13)</f>
        <v>32.891300000000001</v>
      </c>
      <c r="J968" s="64">
        <f>20.3871 * CHOOSE(CONTROL!$C$22, $C$13, 100%, $E$13)</f>
        <v>20.3871</v>
      </c>
      <c r="K968" s="64">
        <f>20.3888 * CHOOSE(CONTROL!$C$22, $C$13, 100%, $E$13)</f>
        <v>20.3888</v>
      </c>
    </row>
    <row r="969" spans="1:11" ht="15">
      <c r="A969" s="13">
        <v>71133</v>
      </c>
      <c r="B969" s="63">
        <f>17.3777 * CHOOSE(CONTROL!$C$22, $C$13, 100%, $E$13)</f>
        <v>17.377700000000001</v>
      </c>
      <c r="C969" s="63">
        <f>17.3777 * CHOOSE(CONTROL!$C$22, $C$13, 100%, $E$13)</f>
        <v>17.377700000000001</v>
      </c>
      <c r="D969" s="63">
        <f>17.3906 * CHOOSE(CONTROL!$C$22, $C$13, 100%, $E$13)</f>
        <v>17.390599999999999</v>
      </c>
      <c r="E969" s="64">
        <f>20.4668 * CHOOSE(CONTROL!$C$22, $C$13, 100%, $E$13)</f>
        <v>20.466799999999999</v>
      </c>
      <c r="F969" s="64">
        <f>20.4668 * CHOOSE(CONTROL!$C$22, $C$13, 100%, $E$13)</f>
        <v>20.466799999999999</v>
      </c>
      <c r="G969" s="64">
        <f>20.467 * CHOOSE(CONTROL!$C$22, $C$13, 100%, $E$13)</f>
        <v>20.466999999999999</v>
      </c>
      <c r="H969" s="64">
        <f>32.9582* CHOOSE(CONTROL!$C$22, $C$13, 100%, $E$13)</f>
        <v>32.958199999999998</v>
      </c>
      <c r="I969" s="64">
        <f>32.9584 * CHOOSE(CONTROL!$C$22, $C$13, 100%, $E$13)</f>
        <v>32.958399999999997</v>
      </c>
      <c r="J969" s="64">
        <f>20.4668 * CHOOSE(CONTROL!$C$22, $C$13, 100%, $E$13)</f>
        <v>20.466799999999999</v>
      </c>
      <c r="K969" s="64">
        <f>20.467 * CHOOSE(CONTROL!$C$22, $C$13, 100%, $E$13)</f>
        <v>20.466999999999999</v>
      </c>
    </row>
    <row r="970" spans="1:11" ht="15">
      <c r="A970" s="13">
        <v>71164</v>
      </c>
      <c r="B970" s="63">
        <f>17.3807 * CHOOSE(CONTROL!$C$22, $C$13, 100%, $E$13)</f>
        <v>17.380700000000001</v>
      </c>
      <c r="C970" s="63">
        <f>17.3807 * CHOOSE(CONTROL!$C$22, $C$13, 100%, $E$13)</f>
        <v>17.380700000000001</v>
      </c>
      <c r="D970" s="63">
        <f>17.3936 * CHOOSE(CONTROL!$C$22, $C$13, 100%, $E$13)</f>
        <v>17.393599999999999</v>
      </c>
      <c r="E970" s="64">
        <f>20.5155 * CHOOSE(CONTROL!$C$22, $C$13, 100%, $E$13)</f>
        <v>20.515499999999999</v>
      </c>
      <c r="F970" s="64">
        <f>20.5155 * CHOOSE(CONTROL!$C$22, $C$13, 100%, $E$13)</f>
        <v>20.515499999999999</v>
      </c>
      <c r="G970" s="64">
        <f>20.5157 * CHOOSE(CONTROL!$C$22, $C$13, 100%, $E$13)</f>
        <v>20.515699999999999</v>
      </c>
      <c r="H970" s="64">
        <f>33.0268* CHOOSE(CONTROL!$C$22, $C$13, 100%, $E$13)</f>
        <v>33.026800000000001</v>
      </c>
      <c r="I970" s="64">
        <f>33.027 * CHOOSE(CONTROL!$C$22, $C$13, 100%, $E$13)</f>
        <v>33.027000000000001</v>
      </c>
      <c r="J970" s="64">
        <f>20.5155 * CHOOSE(CONTROL!$C$22, $C$13, 100%, $E$13)</f>
        <v>20.515499999999999</v>
      </c>
      <c r="K970" s="64">
        <f>20.5157 * CHOOSE(CONTROL!$C$22, $C$13, 100%, $E$13)</f>
        <v>20.515699999999999</v>
      </c>
    </row>
    <row r="971" spans="1:11" ht="15">
      <c r="A971" s="13">
        <v>71194</v>
      </c>
      <c r="B971" s="63">
        <f>17.3807 * CHOOSE(CONTROL!$C$22, $C$13, 100%, $E$13)</f>
        <v>17.380700000000001</v>
      </c>
      <c r="C971" s="63">
        <f>17.3807 * CHOOSE(CONTROL!$C$22, $C$13, 100%, $E$13)</f>
        <v>17.380700000000001</v>
      </c>
      <c r="D971" s="63">
        <f>17.3936 * CHOOSE(CONTROL!$C$22, $C$13, 100%, $E$13)</f>
        <v>17.393599999999999</v>
      </c>
      <c r="E971" s="64">
        <f>20.3991 * CHOOSE(CONTROL!$C$22, $C$13, 100%, $E$13)</f>
        <v>20.399100000000001</v>
      </c>
      <c r="F971" s="64">
        <f>20.3991 * CHOOSE(CONTROL!$C$22, $C$13, 100%, $E$13)</f>
        <v>20.399100000000001</v>
      </c>
      <c r="G971" s="64">
        <f>20.3993 * CHOOSE(CONTROL!$C$22, $C$13, 100%, $E$13)</f>
        <v>20.3993</v>
      </c>
      <c r="H971" s="64">
        <f>33.0957* CHOOSE(CONTROL!$C$22, $C$13, 100%, $E$13)</f>
        <v>33.095700000000001</v>
      </c>
      <c r="I971" s="64">
        <f>33.0958 * CHOOSE(CONTROL!$C$22, $C$13, 100%, $E$13)</f>
        <v>33.095799999999997</v>
      </c>
      <c r="J971" s="64">
        <f>20.3991 * CHOOSE(CONTROL!$C$22, $C$13, 100%, $E$13)</f>
        <v>20.399100000000001</v>
      </c>
      <c r="K971" s="64">
        <f>20.3993 * CHOOSE(CONTROL!$C$22, $C$13, 100%, $E$13)</f>
        <v>20.3993</v>
      </c>
    </row>
    <row r="972" spans="1:11" ht="15">
      <c r="A972" s="13">
        <v>71225</v>
      </c>
      <c r="B972" s="63">
        <f>17.306 * CHOOSE(CONTROL!$C$22, $C$13, 100%, $E$13)</f>
        <v>17.306000000000001</v>
      </c>
      <c r="C972" s="63">
        <f>17.306 * CHOOSE(CONTROL!$C$22, $C$13, 100%, $E$13)</f>
        <v>17.306000000000001</v>
      </c>
      <c r="D972" s="63">
        <f>17.3188 * CHOOSE(CONTROL!$C$22, $C$13, 100%, $E$13)</f>
        <v>17.3188</v>
      </c>
      <c r="E972" s="64">
        <f>20.391 * CHOOSE(CONTROL!$C$22, $C$13, 100%, $E$13)</f>
        <v>20.390999999999998</v>
      </c>
      <c r="F972" s="64">
        <f>20.391 * CHOOSE(CONTROL!$C$22, $C$13, 100%, $E$13)</f>
        <v>20.390999999999998</v>
      </c>
      <c r="G972" s="64">
        <f>20.3912 * CHOOSE(CONTROL!$C$22, $C$13, 100%, $E$13)</f>
        <v>20.391200000000001</v>
      </c>
      <c r="H972" s="64">
        <f>32.7925* CHOOSE(CONTROL!$C$22, $C$13, 100%, $E$13)</f>
        <v>32.792499999999997</v>
      </c>
      <c r="I972" s="64">
        <f>32.7927 * CHOOSE(CONTROL!$C$22, $C$13, 100%, $E$13)</f>
        <v>32.792700000000004</v>
      </c>
      <c r="J972" s="64">
        <f>20.391 * CHOOSE(CONTROL!$C$22, $C$13, 100%, $E$13)</f>
        <v>20.390999999999998</v>
      </c>
      <c r="K972" s="64">
        <f>20.3912 * CHOOSE(CONTROL!$C$22, $C$13, 100%, $E$13)</f>
        <v>20.391200000000001</v>
      </c>
    </row>
    <row r="973" spans="1:11" ht="15">
      <c r="A973" s="13">
        <v>71256</v>
      </c>
      <c r="B973" s="63">
        <f>17.3029 * CHOOSE(CONTROL!$C$22, $C$13, 100%, $E$13)</f>
        <v>17.302900000000001</v>
      </c>
      <c r="C973" s="63">
        <f>17.3029 * CHOOSE(CONTROL!$C$22, $C$13, 100%, $E$13)</f>
        <v>17.302900000000001</v>
      </c>
      <c r="D973" s="63">
        <f>17.3158 * CHOOSE(CONTROL!$C$22, $C$13, 100%, $E$13)</f>
        <v>17.315799999999999</v>
      </c>
      <c r="E973" s="64">
        <f>20.1657 * CHOOSE(CONTROL!$C$22, $C$13, 100%, $E$13)</f>
        <v>20.165700000000001</v>
      </c>
      <c r="F973" s="64">
        <f>20.1657 * CHOOSE(CONTROL!$C$22, $C$13, 100%, $E$13)</f>
        <v>20.165700000000001</v>
      </c>
      <c r="G973" s="64">
        <f>20.1658 * CHOOSE(CONTROL!$C$22, $C$13, 100%, $E$13)</f>
        <v>20.165800000000001</v>
      </c>
      <c r="H973" s="64">
        <f>32.8608* CHOOSE(CONTROL!$C$22, $C$13, 100%, $E$13)</f>
        <v>32.860799999999998</v>
      </c>
      <c r="I973" s="64">
        <f>32.861 * CHOOSE(CONTROL!$C$22, $C$13, 100%, $E$13)</f>
        <v>32.860999999999997</v>
      </c>
      <c r="J973" s="64">
        <f>20.1657 * CHOOSE(CONTROL!$C$22, $C$13, 100%, $E$13)</f>
        <v>20.165700000000001</v>
      </c>
      <c r="K973" s="64">
        <f>20.1658 * CHOOSE(CONTROL!$C$22, $C$13, 100%, $E$13)</f>
        <v>20.165800000000001</v>
      </c>
    </row>
    <row r="974" spans="1:11" ht="15">
      <c r="A974" s="13">
        <v>71284</v>
      </c>
      <c r="B974" s="63">
        <f>17.2999 * CHOOSE(CONTROL!$C$22, $C$13, 100%, $E$13)</f>
        <v>17.299900000000001</v>
      </c>
      <c r="C974" s="63">
        <f>17.2999 * CHOOSE(CONTROL!$C$22, $C$13, 100%, $E$13)</f>
        <v>17.299900000000001</v>
      </c>
      <c r="D974" s="63">
        <f>17.3128 * CHOOSE(CONTROL!$C$22, $C$13, 100%, $E$13)</f>
        <v>17.312799999999999</v>
      </c>
      <c r="E974" s="64">
        <f>20.3395 * CHOOSE(CONTROL!$C$22, $C$13, 100%, $E$13)</f>
        <v>20.339500000000001</v>
      </c>
      <c r="F974" s="64">
        <f>20.3395 * CHOOSE(CONTROL!$C$22, $C$13, 100%, $E$13)</f>
        <v>20.339500000000001</v>
      </c>
      <c r="G974" s="64">
        <f>20.3397 * CHOOSE(CONTROL!$C$22, $C$13, 100%, $E$13)</f>
        <v>20.339700000000001</v>
      </c>
      <c r="H974" s="64">
        <f>32.9293* CHOOSE(CONTROL!$C$22, $C$13, 100%, $E$13)</f>
        <v>32.929299999999998</v>
      </c>
      <c r="I974" s="64">
        <f>32.9295 * CHOOSE(CONTROL!$C$22, $C$13, 100%, $E$13)</f>
        <v>32.929499999999997</v>
      </c>
      <c r="J974" s="64">
        <f>20.3395 * CHOOSE(CONTROL!$C$22, $C$13, 100%, $E$13)</f>
        <v>20.339500000000001</v>
      </c>
      <c r="K974" s="64">
        <f>20.3397 * CHOOSE(CONTROL!$C$22, $C$13, 100%, $E$13)</f>
        <v>20.339700000000001</v>
      </c>
    </row>
    <row r="975" spans="1:11" ht="15">
      <c r="A975" s="13">
        <v>71315</v>
      </c>
      <c r="B975" s="63">
        <f>17.3088 * CHOOSE(CONTROL!$C$22, $C$13, 100%, $E$13)</f>
        <v>17.308800000000002</v>
      </c>
      <c r="C975" s="63">
        <f>17.3088 * CHOOSE(CONTROL!$C$22, $C$13, 100%, $E$13)</f>
        <v>17.308800000000002</v>
      </c>
      <c r="D975" s="63">
        <f>17.3217 * CHOOSE(CONTROL!$C$22, $C$13, 100%, $E$13)</f>
        <v>17.3217</v>
      </c>
      <c r="E975" s="64">
        <f>20.5243 * CHOOSE(CONTROL!$C$22, $C$13, 100%, $E$13)</f>
        <v>20.5243</v>
      </c>
      <c r="F975" s="64">
        <f>20.5243 * CHOOSE(CONTROL!$C$22, $C$13, 100%, $E$13)</f>
        <v>20.5243</v>
      </c>
      <c r="G975" s="64">
        <f>20.5244 * CHOOSE(CONTROL!$C$22, $C$13, 100%, $E$13)</f>
        <v>20.5244</v>
      </c>
      <c r="H975" s="64">
        <f>32.9979* CHOOSE(CONTROL!$C$22, $C$13, 100%, $E$13)</f>
        <v>32.997900000000001</v>
      </c>
      <c r="I975" s="64">
        <f>32.9981 * CHOOSE(CONTROL!$C$22, $C$13, 100%, $E$13)</f>
        <v>32.998100000000001</v>
      </c>
      <c r="J975" s="64">
        <f>20.5243 * CHOOSE(CONTROL!$C$22, $C$13, 100%, $E$13)</f>
        <v>20.5243</v>
      </c>
      <c r="K975" s="64">
        <f>20.5244 * CHOOSE(CONTROL!$C$22, $C$13, 100%, $E$13)</f>
        <v>20.5244</v>
      </c>
    </row>
    <row r="976" spans="1:11" ht="15">
      <c r="A976" s="13">
        <v>71345</v>
      </c>
      <c r="B976" s="63">
        <f>17.3088 * CHOOSE(CONTROL!$C$22, $C$13, 100%, $E$13)</f>
        <v>17.308800000000002</v>
      </c>
      <c r="C976" s="63">
        <f>17.3088 * CHOOSE(CONTROL!$C$22, $C$13, 100%, $E$13)</f>
        <v>17.308800000000002</v>
      </c>
      <c r="D976" s="63">
        <f>17.3346 * CHOOSE(CONTROL!$C$22, $C$13, 100%, $E$13)</f>
        <v>17.334599999999998</v>
      </c>
      <c r="E976" s="64">
        <f>20.5951 * CHOOSE(CONTROL!$C$22, $C$13, 100%, $E$13)</f>
        <v>20.595099999999999</v>
      </c>
      <c r="F976" s="64">
        <f>20.5951 * CHOOSE(CONTROL!$C$22, $C$13, 100%, $E$13)</f>
        <v>20.595099999999999</v>
      </c>
      <c r="G976" s="64">
        <f>20.5968 * CHOOSE(CONTROL!$C$22, $C$13, 100%, $E$13)</f>
        <v>20.596800000000002</v>
      </c>
      <c r="H976" s="64">
        <f>33.0666* CHOOSE(CONTROL!$C$22, $C$13, 100%, $E$13)</f>
        <v>33.066600000000001</v>
      </c>
      <c r="I976" s="64">
        <f>33.0683 * CHOOSE(CONTROL!$C$22, $C$13, 100%, $E$13)</f>
        <v>33.068300000000001</v>
      </c>
      <c r="J976" s="64">
        <f>20.5951 * CHOOSE(CONTROL!$C$22, $C$13, 100%, $E$13)</f>
        <v>20.595099999999999</v>
      </c>
      <c r="K976" s="64">
        <f>20.5968 * CHOOSE(CONTROL!$C$22, $C$13, 100%, $E$13)</f>
        <v>20.596800000000002</v>
      </c>
    </row>
    <row r="977" spans="1:11" ht="15">
      <c r="A977" s="13">
        <v>71376</v>
      </c>
      <c r="B977" s="63">
        <f>17.3149 * CHOOSE(CONTROL!$C$22, $C$13, 100%, $E$13)</f>
        <v>17.314900000000002</v>
      </c>
      <c r="C977" s="63">
        <f>17.3149 * CHOOSE(CONTROL!$C$22, $C$13, 100%, $E$13)</f>
        <v>17.314900000000002</v>
      </c>
      <c r="D977" s="63">
        <f>17.3407 * CHOOSE(CONTROL!$C$22, $C$13, 100%, $E$13)</f>
        <v>17.340699999999998</v>
      </c>
      <c r="E977" s="64">
        <f>20.5285 * CHOOSE(CONTROL!$C$22, $C$13, 100%, $E$13)</f>
        <v>20.528500000000001</v>
      </c>
      <c r="F977" s="64">
        <f>20.5285 * CHOOSE(CONTROL!$C$22, $C$13, 100%, $E$13)</f>
        <v>20.528500000000001</v>
      </c>
      <c r="G977" s="64">
        <f>20.5301 * CHOOSE(CONTROL!$C$22, $C$13, 100%, $E$13)</f>
        <v>20.530100000000001</v>
      </c>
      <c r="H977" s="64">
        <f>33.1355* CHOOSE(CONTROL!$C$22, $C$13, 100%, $E$13)</f>
        <v>33.1355</v>
      </c>
      <c r="I977" s="64">
        <f>33.1372 * CHOOSE(CONTROL!$C$22, $C$13, 100%, $E$13)</f>
        <v>33.1372</v>
      </c>
      <c r="J977" s="64">
        <f>20.5285 * CHOOSE(CONTROL!$C$22, $C$13, 100%, $E$13)</f>
        <v>20.528500000000001</v>
      </c>
      <c r="K977" s="64">
        <f>20.5301 * CHOOSE(CONTROL!$C$22, $C$13, 100%, $E$13)</f>
        <v>20.530100000000001</v>
      </c>
    </row>
    <row r="978" spans="1:11" ht="15">
      <c r="A978" s="13">
        <v>71406</v>
      </c>
      <c r="B978" s="63">
        <f>17.5846 * CHOOSE(CONTROL!$C$22, $C$13, 100%, $E$13)</f>
        <v>17.584599999999998</v>
      </c>
      <c r="C978" s="63">
        <f>17.5846 * CHOOSE(CONTROL!$C$22, $C$13, 100%, $E$13)</f>
        <v>17.584599999999998</v>
      </c>
      <c r="D978" s="63">
        <f>17.6103 * CHOOSE(CONTROL!$C$22, $C$13, 100%, $E$13)</f>
        <v>17.610299999999999</v>
      </c>
      <c r="E978" s="64">
        <f>20.9173 * CHOOSE(CONTROL!$C$22, $C$13, 100%, $E$13)</f>
        <v>20.917300000000001</v>
      </c>
      <c r="F978" s="64">
        <f>20.9173 * CHOOSE(CONTROL!$C$22, $C$13, 100%, $E$13)</f>
        <v>20.917300000000001</v>
      </c>
      <c r="G978" s="64">
        <f>20.9189 * CHOOSE(CONTROL!$C$22, $C$13, 100%, $E$13)</f>
        <v>20.918900000000001</v>
      </c>
      <c r="H978" s="64">
        <f>33.2045* CHOOSE(CONTROL!$C$22, $C$13, 100%, $E$13)</f>
        <v>33.204500000000003</v>
      </c>
      <c r="I978" s="64">
        <f>33.2062 * CHOOSE(CONTROL!$C$22, $C$13, 100%, $E$13)</f>
        <v>33.206200000000003</v>
      </c>
      <c r="J978" s="64">
        <f>20.9173 * CHOOSE(CONTROL!$C$22, $C$13, 100%, $E$13)</f>
        <v>20.917300000000001</v>
      </c>
      <c r="K978" s="64">
        <f>20.9189 * CHOOSE(CONTROL!$C$22, $C$13, 100%, $E$13)</f>
        <v>20.918900000000001</v>
      </c>
    </row>
    <row r="979" spans="1:11" ht="15">
      <c r="A979" s="13">
        <v>71437</v>
      </c>
      <c r="B979" s="63">
        <f>17.5913 * CHOOSE(CONTROL!$C$22, $C$13, 100%, $E$13)</f>
        <v>17.5913</v>
      </c>
      <c r="C979" s="63">
        <f>17.5913 * CHOOSE(CONTROL!$C$22, $C$13, 100%, $E$13)</f>
        <v>17.5913</v>
      </c>
      <c r="D979" s="63">
        <f>17.617 * CHOOSE(CONTROL!$C$22, $C$13, 100%, $E$13)</f>
        <v>17.617000000000001</v>
      </c>
      <c r="E979" s="64">
        <f>20.7093 * CHOOSE(CONTROL!$C$22, $C$13, 100%, $E$13)</f>
        <v>20.709299999999999</v>
      </c>
      <c r="F979" s="64">
        <f>20.7093 * CHOOSE(CONTROL!$C$22, $C$13, 100%, $E$13)</f>
        <v>20.709299999999999</v>
      </c>
      <c r="G979" s="64">
        <f>20.711 * CHOOSE(CONTROL!$C$22, $C$13, 100%, $E$13)</f>
        <v>20.710999999999999</v>
      </c>
      <c r="H979" s="64">
        <f>33.2737* CHOOSE(CONTROL!$C$22, $C$13, 100%, $E$13)</f>
        <v>33.273699999999998</v>
      </c>
      <c r="I979" s="64">
        <f>33.2754 * CHOOSE(CONTROL!$C$22, $C$13, 100%, $E$13)</f>
        <v>33.275399999999998</v>
      </c>
      <c r="J979" s="64">
        <f>20.7093 * CHOOSE(CONTROL!$C$22, $C$13, 100%, $E$13)</f>
        <v>20.709299999999999</v>
      </c>
      <c r="K979" s="64">
        <f>20.711 * CHOOSE(CONTROL!$C$22, $C$13, 100%, $E$13)</f>
        <v>20.710999999999999</v>
      </c>
    </row>
    <row r="980" spans="1:11" ht="15">
      <c r="A980" s="13">
        <v>71468</v>
      </c>
      <c r="B980" s="63">
        <f>17.5882 * CHOOSE(CONTROL!$C$22, $C$13, 100%, $E$13)</f>
        <v>17.588200000000001</v>
      </c>
      <c r="C980" s="63">
        <f>17.5882 * CHOOSE(CONTROL!$C$22, $C$13, 100%, $E$13)</f>
        <v>17.588200000000001</v>
      </c>
      <c r="D980" s="63">
        <f>17.614 * CHOOSE(CONTROL!$C$22, $C$13, 100%, $E$13)</f>
        <v>17.614000000000001</v>
      </c>
      <c r="E980" s="64">
        <f>20.6836 * CHOOSE(CONTROL!$C$22, $C$13, 100%, $E$13)</f>
        <v>20.683599999999998</v>
      </c>
      <c r="F980" s="64">
        <f>20.6836 * CHOOSE(CONTROL!$C$22, $C$13, 100%, $E$13)</f>
        <v>20.683599999999998</v>
      </c>
      <c r="G980" s="64">
        <f>20.6852 * CHOOSE(CONTROL!$C$22, $C$13, 100%, $E$13)</f>
        <v>20.685199999999998</v>
      </c>
      <c r="H980" s="64">
        <f>33.343* CHOOSE(CONTROL!$C$22, $C$13, 100%, $E$13)</f>
        <v>33.343000000000004</v>
      </c>
      <c r="I980" s="64">
        <f>33.3447 * CHOOSE(CONTROL!$C$22, $C$13, 100%, $E$13)</f>
        <v>33.344700000000003</v>
      </c>
      <c r="J980" s="64">
        <f>20.6836 * CHOOSE(CONTROL!$C$22, $C$13, 100%, $E$13)</f>
        <v>20.683599999999998</v>
      </c>
      <c r="K980" s="64">
        <f>20.6852 * CHOOSE(CONTROL!$C$22, $C$13, 100%, $E$13)</f>
        <v>20.685199999999998</v>
      </c>
    </row>
    <row r="981" spans="1:11" ht="15">
      <c r="A981" s="13">
        <v>71498</v>
      </c>
      <c r="B981" s="63">
        <f>17.6277 * CHOOSE(CONTROL!$C$22, $C$13, 100%, $E$13)</f>
        <v>17.627700000000001</v>
      </c>
      <c r="C981" s="63">
        <f>17.6277 * CHOOSE(CONTROL!$C$22, $C$13, 100%, $E$13)</f>
        <v>17.627700000000001</v>
      </c>
      <c r="D981" s="63">
        <f>17.6406 * CHOOSE(CONTROL!$C$22, $C$13, 100%, $E$13)</f>
        <v>17.640599999999999</v>
      </c>
      <c r="E981" s="64">
        <f>20.7647 * CHOOSE(CONTROL!$C$22, $C$13, 100%, $E$13)</f>
        <v>20.764700000000001</v>
      </c>
      <c r="F981" s="64">
        <f>20.7647 * CHOOSE(CONTROL!$C$22, $C$13, 100%, $E$13)</f>
        <v>20.764700000000001</v>
      </c>
      <c r="G981" s="64">
        <f>20.7649 * CHOOSE(CONTROL!$C$22, $C$13, 100%, $E$13)</f>
        <v>20.764900000000001</v>
      </c>
      <c r="H981" s="64">
        <f>33.4125* CHOOSE(CONTROL!$C$22, $C$13, 100%, $E$13)</f>
        <v>33.412500000000001</v>
      </c>
      <c r="I981" s="64">
        <f>33.4127 * CHOOSE(CONTROL!$C$22, $C$13, 100%, $E$13)</f>
        <v>33.412700000000001</v>
      </c>
      <c r="J981" s="64">
        <f>20.7647 * CHOOSE(CONTROL!$C$22, $C$13, 100%, $E$13)</f>
        <v>20.764700000000001</v>
      </c>
      <c r="K981" s="64">
        <f>20.7649 * CHOOSE(CONTROL!$C$22, $C$13, 100%, $E$13)</f>
        <v>20.764900000000001</v>
      </c>
    </row>
    <row r="982" spans="1:11" ht="15">
      <c r="A982" s="13">
        <v>71529</v>
      </c>
      <c r="B982" s="63">
        <f>17.6307 * CHOOSE(CONTROL!$C$22, $C$13, 100%, $E$13)</f>
        <v>17.630700000000001</v>
      </c>
      <c r="C982" s="63">
        <f>17.6307 * CHOOSE(CONTROL!$C$22, $C$13, 100%, $E$13)</f>
        <v>17.630700000000001</v>
      </c>
      <c r="D982" s="63">
        <f>17.6436 * CHOOSE(CONTROL!$C$22, $C$13, 100%, $E$13)</f>
        <v>17.643599999999999</v>
      </c>
      <c r="E982" s="64">
        <f>20.8141 * CHOOSE(CONTROL!$C$22, $C$13, 100%, $E$13)</f>
        <v>20.8141</v>
      </c>
      <c r="F982" s="64">
        <f>20.8141 * CHOOSE(CONTROL!$C$22, $C$13, 100%, $E$13)</f>
        <v>20.8141</v>
      </c>
      <c r="G982" s="64">
        <f>20.8142 * CHOOSE(CONTROL!$C$22, $C$13, 100%, $E$13)</f>
        <v>20.8142</v>
      </c>
      <c r="H982" s="64">
        <f>33.4821* CHOOSE(CONTROL!$C$22, $C$13, 100%, $E$13)</f>
        <v>33.482100000000003</v>
      </c>
      <c r="I982" s="64">
        <f>33.4823 * CHOOSE(CONTROL!$C$22, $C$13, 100%, $E$13)</f>
        <v>33.482300000000002</v>
      </c>
      <c r="J982" s="64">
        <f>20.8141 * CHOOSE(CONTROL!$C$22, $C$13, 100%, $E$13)</f>
        <v>20.8141</v>
      </c>
      <c r="K982" s="64">
        <f>20.8142 * CHOOSE(CONTROL!$C$22, $C$13, 100%, $E$13)</f>
        <v>20.8142</v>
      </c>
    </row>
    <row r="983" spans="1:11" ht="15">
      <c r="A983" s="13">
        <v>71559</v>
      </c>
      <c r="B983" s="63">
        <f>17.6307 * CHOOSE(CONTROL!$C$22, $C$13, 100%, $E$13)</f>
        <v>17.630700000000001</v>
      </c>
      <c r="C983" s="63">
        <f>17.6307 * CHOOSE(CONTROL!$C$22, $C$13, 100%, $E$13)</f>
        <v>17.630700000000001</v>
      </c>
      <c r="D983" s="63">
        <f>17.6436 * CHOOSE(CONTROL!$C$22, $C$13, 100%, $E$13)</f>
        <v>17.643599999999999</v>
      </c>
      <c r="E983" s="64">
        <f>20.6959 * CHOOSE(CONTROL!$C$22, $C$13, 100%, $E$13)</f>
        <v>20.695900000000002</v>
      </c>
      <c r="F983" s="64">
        <f>20.6959 * CHOOSE(CONTROL!$C$22, $C$13, 100%, $E$13)</f>
        <v>20.695900000000002</v>
      </c>
      <c r="G983" s="64">
        <f>20.6961 * CHOOSE(CONTROL!$C$22, $C$13, 100%, $E$13)</f>
        <v>20.696100000000001</v>
      </c>
      <c r="H983" s="64">
        <f>33.5519* CHOOSE(CONTROL!$C$22, $C$13, 100%, $E$13)</f>
        <v>33.551900000000003</v>
      </c>
      <c r="I983" s="64">
        <f>33.552 * CHOOSE(CONTROL!$C$22, $C$13, 100%, $E$13)</f>
        <v>33.552</v>
      </c>
      <c r="J983" s="64">
        <f>20.6959 * CHOOSE(CONTROL!$C$22, $C$13, 100%, $E$13)</f>
        <v>20.695900000000002</v>
      </c>
      <c r="K983" s="64">
        <f>20.6961 * CHOOSE(CONTROL!$C$22, $C$13, 100%, $E$13)</f>
        <v>20.696100000000001</v>
      </c>
    </row>
    <row r="984" spans="1:11" ht="15">
      <c r="A984" s="13">
        <v>71590</v>
      </c>
      <c r="B984" s="63">
        <f>17.5513 * CHOOSE(CONTROL!$C$22, $C$13, 100%, $E$13)</f>
        <v>17.551300000000001</v>
      </c>
      <c r="C984" s="63">
        <f>17.5513 * CHOOSE(CONTROL!$C$22, $C$13, 100%, $E$13)</f>
        <v>17.551300000000001</v>
      </c>
      <c r="D984" s="63">
        <f>17.5642 * CHOOSE(CONTROL!$C$22, $C$13, 100%, $E$13)</f>
        <v>17.5642</v>
      </c>
      <c r="E984" s="64">
        <f>20.6834 * CHOOSE(CONTROL!$C$22, $C$13, 100%, $E$13)</f>
        <v>20.683399999999999</v>
      </c>
      <c r="F984" s="64">
        <f>20.6834 * CHOOSE(CONTROL!$C$22, $C$13, 100%, $E$13)</f>
        <v>20.683399999999999</v>
      </c>
      <c r="G984" s="64">
        <f>20.6836 * CHOOSE(CONTROL!$C$22, $C$13, 100%, $E$13)</f>
        <v>20.683599999999998</v>
      </c>
      <c r="H984" s="64">
        <f>33.2384* CHOOSE(CONTROL!$C$22, $C$13, 100%, $E$13)</f>
        <v>33.238399999999999</v>
      </c>
      <c r="I984" s="64">
        <f>33.2386 * CHOOSE(CONTROL!$C$22, $C$13, 100%, $E$13)</f>
        <v>33.238599999999998</v>
      </c>
      <c r="J984" s="64">
        <f>20.6834 * CHOOSE(CONTROL!$C$22, $C$13, 100%, $E$13)</f>
        <v>20.683399999999999</v>
      </c>
      <c r="K984" s="64">
        <f>20.6836 * CHOOSE(CONTROL!$C$22, $C$13, 100%, $E$13)</f>
        <v>20.683599999999998</v>
      </c>
    </row>
    <row r="985" spans="1:11" ht="15">
      <c r="A985" s="13">
        <v>71621</v>
      </c>
      <c r="B985" s="63">
        <f>17.5482 * CHOOSE(CONTROL!$C$22, $C$13, 100%, $E$13)</f>
        <v>17.548200000000001</v>
      </c>
      <c r="C985" s="63">
        <f>17.5482 * CHOOSE(CONTROL!$C$22, $C$13, 100%, $E$13)</f>
        <v>17.548200000000001</v>
      </c>
      <c r="D985" s="63">
        <f>17.5611 * CHOOSE(CONTROL!$C$22, $C$13, 100%, $E$13)</f>
        <v>17.5611</v>
      </c>
      <c r="E985" s="64">
        <f>20.4549 * CHOOSE(CONTROL!$C$22, $C$13, 100%, $E$13)</f>
        <v>20.454899999999999</v>
      </c>
      <c r="F985" s="64">
        <f>20.4549 * CHOOSE(CONTROL!$C$22, $C$13, 100%, $E$13)</f>
        <v>20.454899999999999</v>
      </c>
      <c r="G985" s="64">
        <f>20.455 * CHOOSE(CONTROL!$C$22, $C$13, 100%, $E$13)</f>
        <v>20.454999999999998</v>
      </c>
      <c r="H985" s="64">
        <f>33.3076* CHOOSE(CONTROL!$C$22, $C$13, 100%, $E$13)</f>
        <v>33.307600000000001</v>
      </c>
      <c r="I985" s="64">
        <f>33.3078 * CHOOSE(CONTROL!$C$22, $C$13, 100%, $E$13)</f>
        <v>33.3078</v>
      </c>
      <c r="J985" s="64">
        <f>20.4549 * CHOOSE(CONTROL!$C$22, $C$13, 100%, $E$13)</f>
        <v>20.454899999999999</v>
      </c>
      <c r="K985" s="64">
        <f>20.455 * CHOOSE(CONTROL!$C$22, $C$13, 100%, $E$13)</f>
        <v>20.454999999999998</v>
      </c>
    </row>
    <row r="986" spans="1:11" ht="15">
      <c r="A986" s="13">
        <v>71650</v>
      </c>
      <c r="B986" s="63">
        <f>17.5452 * CHOOSE(CONTROL!$C$22, $C$13, 100%, $E$13)</f>
        <v>17.545200000000001</v>
      </c>
      <c r="C986" s="63">
        <f>17.5452 * CHOOSE(CONTROL!$C$22, $C$13, 100%, $E$13)</f>
        <v>17.545200000000001</v>
      </c>
      <c r="D986" s="63">
        <f>17.5581 * CHOOSE(CONTROL!$C$22, $C$13, 100%, $E$13)</f>
        <v>17.5581</v>
      </c>
      <c r="E986" s="64">
        <f>20.6312 * CHOOSE(CONTROL!$C$22, $C$13, 100%, $E$13)</f>
        <v>20.6312</v>
      </c>
      <c r="F986" s="64">
        <f>20.6312 * CHOOSE(CONTROL!$C$22, $C$13, 100%, $E$13)</f>
        <v>20.6312</v>
      </c>
      <c r="G986" s="64">
        <f>20.6314 * CHOOSE(CONTROL!$C$22, $C$13, 100%, $E$13)</f>
        <v>20.631399999999999</v>
      </c>
      <c r="H986" s="64">
        <f>33.377* CHOOSE(CONTROL!$C$22, $C$13, 100%, $E$13)</f>
        <v>33.377000000000002</v>
      </c>
      <c r="I986" s="64">
        <f>33.3772 * CHOOSE(CONTROL!$C$22, $C$13, 100%, $E$13)</f>
        <v>33.377200000000002</v>
      </c>
      <c r="J986" s="64">
        <f>20.6312 * CHOOSE(CONTROL!$C$22, $C$13, 100%, $E$13)</f>
        <v>20.6312</v>
      </c>
      <c r="K986" s="64">
        <f>20.6314 * CHOOSE(CONTROL!$C$22, $C$13, 100%, $E$13)</f>
        <v>20.631399999999999</v>
      </c>
    </row>
    <row r="987" spans="1:11" ht="15">
      <c r="A987" s="13">
        <v>71681</v>
      </c>
      <c r="B987" s="63">
        <f>17.5544 * CHOOSE(CONTROL!$C$22, $C$13, 100%, $E$13)</f>
        <v>17.554400000000001</v>
      </c>
      <c r="C987" s="63">
        <f>17.5544 * CHOOSE(CONTROL!$C$22, $C$13, 100%, $E$13)</f>
        <v>17.554400000000001</v>
      </c>
      <c r="D987" s="63">
        <f>17.5672 * CHOOSE(CONTROL!$C$22, $C$13, 100%, $E$13)</f>
        <v>17.5672</v>
      </c>
      <c r="E987" s="64">
        <f>20.8187 * CHOOSE(CONTROL!$C$22, $C$13, 100%, $E$13)</f>
        <v>20.8187</v>
      </c>
      <c r="F987" s="64">
        <f>20.8187 * CHOOSE(CONTROL!$C$22, $C$13, 100%, $E$13)</f>
        <v>20.8187</v>
      </c>
      <c r="G987" s="64">
        <f>20.8189 * CHOOSE(CONTROL!$C$22, $C$13, 100%, $E$13)</f>
        <v>20.818899999999999</v>
      </c>
      <c r="H987" s="64">
        <f>33.4466* CHOOSE(CONTROL!$C$22, $C$13, 100%, $E$13)</f>
        <v>33.446599999999997</v>
      </c>
      <c r="I987" s="64">
        <f>33.4467 * CHOOSE(CONTROL!$C$22, $C$13, 100%, $E$13)</f>
        <v>33.4467</v>
      </c>
      <c r="J987" s="64">
        <f>20.8187 * CHOOSE(CONTROL!$C$22, $C$13, 100%, $E$13)</f>
        <v>20.8187</v>
      </c>
      <c r="K987" s="64">
        <f>20.8189 * CHOOSE(CONTROL!$C$22, $C$13, 100%, $E$13)</f>
        <v>20.818899999999999</v>
      </c>
    </row>
    <row r="988" spans="1:11" ht="15">
      <c r="A988" s="13">
        <v>71711</v>
      </c>
      <c r="B988" s="63">
        <f>17.5544 * CHOOSE(CONTROL!$C$22, $C$13, 100%, $E$13)</f>
        <v>17.554400000000001</v>
      </c>
      <c r="C988" s="63">
        <f>17.5544 * CHOOSE(CONTROL!$C$22, $C$13, 100%, $E$13)</f>
        <v>17.554400000000001</v>
      </c>
      <c r="D988" s="63">
        <f>17.5801 * CHOOSE(CONTROL!$C$22, $C$13, 100%, $E$13)</f>
        <v>17.580100000000002</v>
      </c>
      <c r="E988" s="64">
        <f>20.8906 * CHOOSE(CONTROL!$C$22, $C$13, 100%, $E$13)</f>
        <v>20.890599999999999</v>
      </c>
      <c r="F988" s="64">
        <f>20.8906 * CHOOSE(CONTROL!$C$22, $C$13, 100%, $E$13)</f>
        <v>20.890599999999999</v>
      </c>
      <c r="G988" s="64">
        <f>20.8922 * CHOOSE(CONTROL!$C$22, $C$13, 100%, $E$13)</f>
        <v>20.892199999999999</v>
      </c>
      <c r="H988" s="64">
        <f>33.5162* CHOOSE(CONTROL!$C$22, $C$13, 100%, $E$13)</f>
        <v>33.516199999999998</v>
      </c>
      <c r="I988" s="64">
        <f>33.5179 * CHOOSE(CONTROL!$C$22, $C$13, 100%, $E$13)</f>
        <v>33.517899999999997</v>
      </c>
      <c r="J988" s="64">
        <f>20.8906 * CHOOSE(CONTROL!$C$22, $C$13, 100%, $E$13)</f>
        <v>20.890599999999999</v>
      </c>
      <c r="K988" s="64">
        <f>20.8922 * CHOOSE(CONTROL!$C$22, $C$13, 100%, $E$13)</f>
        <v>20.892199999999999</v>
      </c>
    </row>
    <row r="989" spans="1:11" ht="15">
      <c r="A989" s="13">
        <v>71742</v>
      </c>
      <c r="B989" s="63">
        <f>17.5604 * CHOOSE(CONTROL!$C$22, $C$13, 100%, $E$13)</f>
        <v>17.560400000000001</v>
      </c>
      <c r="C989" s="63">
        <f>17.5604 * CHOOSE(CONTROL!$C$22, $C$13, 100%, $E$13)</f>
        <v>17.560400000000001</v>
      </c>
      <c r="D989" s="63">
        <f>17.5862 * CHOOSE(CONTROL!$C$22, $C$13, 100%, $E$13)</f>
        <v>17.586200000000002</v>
      </c>
      <c r="E989" s="64">
        <f>20.823 * CHOOSE(CONTROL!$C$22, $C$13, 100%, $E$13)</f>
        <v>20.823</v>
      </c>
      <c r="F989" s="64">
        <f>20.823 * CHOOSE(CONTROL!$C$22, $C$13, 100%, $E$13)</f>
        <v>20.823</v>
      </c>
      <c r="G989" s="64">
        <f>20.8246 * CHOOSE(CONTROL!$C$22, $C$13, 100%, $E$13)</f>
        <v>20.8246</v>
      </c>
      <c r="H989" s="64">
        <f>33.5861* CHOOSE(CONTROL!$C$22, $C$13, 100%, $E$13)</f>
        <v>33.586100000000002</v>
      </c>
      <c r="I989" s="64">
        <f>33.5877 * CHOOSE(CONTROL!$C$22, $C$13, 100%, $E$13)</f>
        <v>33.587699999999998</v>
      </c>
      <c r="J989" s="64">
        <f>20.823 * CHOOSE(CONTROL!$C$22, $C$13, 100%, $E$13)</f>
        <v>20.823</v>
      </c>
      <c r="K989" s="64">
        <f>20.8246 * CHOOSE(CONTROL!$C$22, $C$13, 100%, $E$13)</f>
        <v>20.8246</v>
      </c>
    </row>
    <row r="990" spans="1:11" ht="15">
      <c r="A990" s="13">
        <v>71772</v>
      </c>
      <c r="B990" s="63">
        <f>17.8338 * CHOOSE(CONTROL!$C$22, $C$13, 100%, $E$13)</f>
        <v>17.8338</v>
      </c>
      <c r="C990" s="63">
        <f>17.8338 * CHOOSE(CONTROL!$C$22, $C$13, 100%, $E$13)</f>
        <v>17.8338</v>
      </c>
      <c r="D990" s="63">
        <f>17.8596 * CHOOSE(CONTROL!$C$22, $C$13, 100%, $E$13)</f>
        <v>17.8596</v>
      </c>
      <c r="E990" s="64">
        <f>21.2172 * CHOOSE(CONTROL!$C$22, $C$13, 100%, $E$13)</f>
        <v>21.217199999999998</v>
      </c>
      <c r="F990" s="64">
        <f>21.2172 * CHOOSE(CONTROL!$C$22, $C$13, 100%, $E$13)</f>
        <v>21.217199999999998</v>
      </c>
      <c r="G990" s="64">
        <f>21.2188 * CHOOSE(CONTROL!$C$22, $C$13, 100%, $E$13)</f>
        <v>21.218800000000002</v>
      </c>
      <c r="H990" s="64">
        <f>33.656* CHOOSE(CONTROL!$C$22, $C$13, 100%, $E$13)</f>
        <v>33.655999999999999</v>
      </c>
      <c r="I990" s="64">
        <f>33.6577 * CHOOSE(CONTROL!$C$22, $C$13, 100%, $E$13)</f>
        <v>33.657699999999998</v>
      </c>
      <c r="J990" s="64">
        <f>21.2172 * CHOOSE(CONTROL!$C$22, $C$13, 100%, $E$13)</f>
        <v>21.217199999999998</v>
      </c>
      <c r="K990" s="64">
        <f>21.2188 * CHOOSE(CONTROL!$C$22, $C$13, 100%, $E$13)</f>
        <v>21.218800000000002</v>
      </c>
    </row>
    <row r="991" spans="1:11" ht="15">
      <c r="A991" s="13">
        <v>71803</v>
      </c>
      <c r="B991" s="63">
        <f>17.8405 * CHOOSE(CONTROL!$C$22, $C$13, 100%, $E$13)</f>
        <v>17.840499999999999</v>
      </c>
      <c r="C991" s="63">
        <f>17.8405 * CHOOSE(CONTROL!$C$22, $C$13, 100%, $E$13)</f>
        <v>17.840499999999999</v>
      </c>
      <c r="D991" s="63">
        <f>17.8662 * CHOOSE(CONTROL!$C$22, $C$13, 100%, $E$13)</f>
        <v>17.866199999999999</v>
      </c>
      <c r="E991" s="64">
        <f>21.0062 * CHOOSE(CONTROL!$C$22, $C$13, 100%, $E$13)</f>
        <v>21.0062</v>
      </c>
      <c r="F991" s="64">
        <f>21.0062 * CHOOSE(CONTROL!$C$22, $C$13, 100%, $E$13)</f>
        <v>21.0062</v>
      </c>
      <c r="G991" s="64">
        <f>21.0078 * CHOOSE(CONTROL!$C$22, $C$13, 100%, $E$13)</f>
        <v>21.0078</v>
      </c>
      <c r="H991" s="64">
        <f>33.7262* CHOOSE(CONTROL!$C$22, $C$13, 100%, $E$13)</f>
        <v>33.726199999999999</v>
      </c>
      <c r="I991" s="64">
        <f>33.7278 * CHOOSE(CONTROL!$C$22, $C$13, 100%, $E$13)</f>
        <v>33.727800000000002</v>
      </c>
      <c r="J991" s="64">
        <f>21.0062 * CHOOSE(CONTROL!$C$22, $C$13, 100%, $E$13)</f>
        <v>21.0062</v>
      </c>
      <c r="K991" s="64">
        <f>21.0078 * CHOOSE(CONTROL!$C$22, $C$13, 100%, $E$13)</f>
        <v>21.0078</v>
      </c>
    </row>
    <row r="992" spans="1:11" ht="15">
      <c r="A992" s="13">
        <v>71834</v>
      </c>
      <c r="B992" s="63">
        <f>17.8375 * CHOOSE(CONTROL!$C$22, $C$13, 100%, $E$13)</f>
        <v>17.837499999999999</v>
      </c>
      <c r="C992" s="63">
        <f>17.8375 * CHOOSE(CONTROL!$C$22, $C$13, 100%, $E$13)</f>
        <v>17.837499999999999</v>
      </c>
      <c r="D992" s="63">
        <f>17.8632 * CHOOSE(CONTROL!$C$22, $C$13, 100%, $E$13)</f>
        <v>17.863199999999999</v>
      </c>
      <c r="E992" s="64">
        <f>20.9801 * CHOOSE(CONTROL!$C$22, $C$13, 100%, $E$13)</f>
        <v>20.9801</v>
      </c>
      <c r="F992" s="64">
        <f>20.9801 * CHOOSE(CONTROL!$C$22, $C$13, 100%, $E$13)</f>
        <v>20.9801</v>
      </c>
      <c r="G992" s="64">
        <f>20.9817 * CHOOSE(CONTROL!$C$22, $C$13, 100%, $E$13)</f>
        <v>20.9817</v>
      </c>
      <c r="H992" s="64">
        <f>33.7964* CHOOSE(CONTROL!$C$22, $C$13, 100%, $E$13)</f>
        <v>33.796399999999998</v>
      </c>
      <c r="I992" s="64">
        <f>33.7981 * CHOOSE(CONTROL!$C$22, $C$13, 100%, $E$13)</f>
        <v>33.798099999999998</v>
      </c>
      <c r="J992" s="64">
        <f>20.9801 * CHOOSE(CONTROL!$C$22, $C$13, 100%, $E$13)</f>
        <v>20.9801</v>
      </c>
      <c r="K992" s="64">
        <f>20.9817 * CHOOSE(CONTROL!$C$22, $C$13, 100%, $E$13)</f>
        <v>20.9817</v>
      </c>
    </row>
    <row r="993" spans="1:11" ht="15">
      <c r="A993" s="13">
        <v>71864</v>
      </c>
      <c r="B993" s="63">
        <f>17.8777 * CHOOSE(CONTROL!$C$22, $C$13, 100%, $E$13)</f>
        <v>17.877700000000001</v>
      </c>
      <c r="C993" s="63">
        <f>17.8777 * CHOOSE(CONTROL!$C$22, $C$13, 100%, $E$13)</f>
        <v>17.877700000000001</v>
      </c>
      <c r="D993" s="63">
        <f>17.8906 * CHOOSE(CONTROL!$C$22, $C$13, 100%, $E$13)</f>
        <v>17.890599999999999</v>
      </c>
      <c r="E993" s="64">
        <f>21.0625 * CHOOSE(CONTROL!$C$22, $C$13, 100%, $E$13)</f>
        <v>21.0625</v>
      </c>
      <c r="F993" s="64">
        <f>21.0625 * CHOOSE(CONTROL!$C$22, $C$13, 100%, $E$13)</f>
        <v>21.0625</v>
      </c>
      <c r="G993" s="64">
        <f>21.0627 * CHOOSE(CONTROL!$C$22, $C$13, 100%, $E$13)</f>
        <v>21.0627</v>
      </c>
      <c r="H993" s="64">
        <f>33.8668* CHOOSE(CONTROL!$C$22, $C$13, 100%, $E$13)</f>
        <v>33.866799999999998</v>
      </c>
      <c r="I993" s="64">
        <f>33.867 * CHOOSE(CONTROL!$C$22, $C$13, 100%, $E$13)</f>
        <v>33.866999999999997</v>
      </c>
      <c r="J993" s="64">
        <f>21.0625 * CHOOSE(CONTROL!$C$22, $C$13, 100%, $E$13)</f>
        <v>21.0625</v>
      </c>
      <c r="K993" s="64">
        <f>21.0627 * CHOOSE(CONTROL!$C$22, $C$13, 100%, $E$13)</f>
        <v>21.0627</v>
      </c>
    </row>
    <row r="994" spans="1:11" ht="15">
      <c r="A994" s="13">
        <v>71895</v>
      </c>
      <c r="B994" s="63">
        <f>17.8808 * CHOOSE(CONTROL!$C$22, $C$13, 100%, $E$13)</f>
        <v>17.880800000000001</v>
      </c>
      <c r="C994" s="63">
        <f>17.8808 * CHOOSE(CONTROL!$C$22, $C$13, 100%, $E$13)</f>
        <v>17.880800000000001</v>
      </c>
      <c r="D994" s="63">
        <f>17.8936 * CHOOSE(CONTROL!$C$22, $C$13, 100%, $E$13)</f>
        <v>17.893599999999999</v>
      </c>
      <c r="E994" s="64">
        <f>21.1126 * CHOOSE(CONTROL!$C$22, $C$13, 100%, $E$13)</f>
        <v>21.1126</v>
      </c>
      <c r="F994" s="64">
        <f>21.1126 * CHOOSE(CONTROL!$C$22, $C$13, 100%, $E$13)</f>
        <v>21.1126</v>
      </c>
      <c r="G994" s="64">
        <f>21.1128 * CHOOSE(CONTROL!$C$22, $C$13, 100%, $E$13)</f>
        <v>21.1128</v>
      </c>
      <c r="H994" s="64">
        <f>33.9374* CHOOSE(CONTROL!$C$22, $C$13, 100%, $E$13)</f>
        <v>33.937399999999997</v>
      </c>
      <c r="I994" s="64">
        <f>33.9376 * CHOOSE(CONTROL!$C$22, $C$13, 100%, $E$13)</f>
        <v>33.937600000000003</v>
      </c>
      <c r="J994" s="64">
        <f>21.1126 * CHOOSE(CONTROL!$C$22, $C$13, 100%, $E$13)</f>
        <v>21.1126</v>
      </c>
      <c r="K994" s="64">
        <f>21.1128 * CHOOSE(CONTROL!$C$22, $C$13, 100%, $E$13)</f>
        <v>21.1128</v>
      </c>
    </row>
    <row r="995" spans="1:11" ht="15">
      <c r="A995" s="13">
        <v>71925</v>
      </c>
      <c r="B995" s="63">
        <f>17.8808 * CHOOSE(CONTROL!$C$22, $C$13, 100%, $E$13)</f>
        <v>17.880800000000001</v>
      </c>
      <c r="C995" s="63">
        <f>17.8808 * CHOOSE(CONTROL!$C$22, $C$13, 100%, $E$13)</f>
        <v>17.880800000000001</v>
      </c>
      <c r="D995" s="63">
        <f>17.8936 * CHOOSE(CONTROL!$C$22, $C$13, 100%, $E$13)</f>
        <v>17.893599999999999</v>
      </c>
      <c r="E995" s="64">
        <f>20.9928 * CHOOSE(CONTROL!$C$22, $C$13, 100%, $E$13)</f>
        <v>20.992799999999999</v>
      </c>
      <c r="F995" s="64">
        <f>20.9928 * CHOOSE(CONTROL!$C$22, $C$13, 100%, $E$13)</f>
        <v>20.992799999999999</v>
      </c>
      <c r="G995" s="64">
        <f>20.9929 * CHOOSE(CONTROL!$C$22, $C$13, 100%, $E$13)</f>
        <v>20.992899999999999</v>
      </c>
      <c r="H995" s="64">
        <f>34.0081* CHOOSE(CONTROL!$C$22, $C$13, 100%, $E$13)</f>
        <v>34.008099999999999</v>
      </c>
      <c r="I995" s="64">
        <f>34.0083 * CHOOSE(CONTROL!$C$22, $C$13, 100%, $E$13)</f>
        <v>34.008299999999998</v>
      </c>
      <c r="J995" s="64">
        <f>20.9928 * CHOOSE(CONTROL!$C$22, $C$13, 100%, $E$13)</f>
        <v>20.992799999999999</v>
      </c>
      <c r="K995" s="64">
        <f>20.9929 * CHOOSE(CONTROL!$C$22, $C$13, 100%, $E$13)</f>
        <v>20.992899999999999</v>
      </c>
    </row>
    <row r="996" spans="1:11" ht="15">
      <c r="A996" s="13">
        <v>71956</v>
      </c>
      <c r="B996" s="63">
        <f>17.7966 * CHOOSE(CONTROL!$C$22, $C$13, 100%, $E$13)</f>
        <v>17.796600000000002</v>
      </c>
      <c r="C996" s="63">
        <f>17.7966 * CHOOSE(CONTROL!$C$22, $C$13, 100%, $E$13)</f>
        <v>17.796600000000002</v>
      </c>
      <c r="D996" s="63">
        <f>17.8095 * CHOOSE(CONTROL!$C$22, $C$13, 100%, $E$13)</f>
        <v>17.8095</v>
      </c>
      <c r="E996" s="64">
        <f>20.9758 * CHOOSE(CONTROL!$C$22, $C$13, 100%, $E$13)</f>
        <v>20.9758</v>
      </c>
      <c r="F996" s="64">
        <f>20.9758 * CHOOSE(CONTROL!$C$22, $C$13, 100%, $E$13)</f>
        <v>20.9758</v>
      </c>
      <c r="G996" s="64">
        <f>20.976 * CHOOSE(CONTROL!$C$22, $C$13, 100%, $E$13)</f>
        <v>20.975999999999999</v>
      </c>
      <c r="H996" s="64">
        <f>33.6843* CHOOSE(CONTROL!$C$22, $C$13, 100%, $E$13)</f>
        <v>33.6843</v>
      </c>
      <c r="I996" s="64">
        <f>33.6845 * CHOOSE(CONTROL!$C$22, $C$13, 100%, $E$13)</f>
        <v>33.6845</v>
      </c>
      <c r="J996" s="64">
        <f>20.9758 * CHOOSE(CONTROL!$C$22, $C$13, 100%, $E$13)</f>
        <v>20.9758</v>
      </c>
      <c r="K996" s="64">
        <f>20.976 * CHOOSE(CONTROL!$C$22, $C$13, 100%, $E$13)</f>
        <v>20.975999999999999</v>
      </c>
    </row>
    <row r="997" spans="1:11" ht="15">
      <c r="A997" s="13">
        <v>71987</v>
      </c>
      <c r="B997" s="63">
        <f>17.7936 * CHOOSE(CONTROL!$C$22, $C$13, 100%, $E$13)</f>
        <v>17.793600000000001</v>
      </c>
      <c r="C997" s="63">
        <f>17.7936 * CHOOSE(CONTROL!$C$22, $C$13, 100%, $E$13)</f>
        <v>17.793600000000001</v>
      </c>
      <c r="D997" s="63">
        <f>17.8064 * CHOOSE(CONTROL!$C$22, $C$13, 100%, $E$13)</f>
        <v>17.8064</v>
      </c>
      <c r="E997" s="64">
        <f>20.7441 * CHOOSE(CONTROL!$C$22, $C$13, 100%, $E$13)</f>
        <v>20.7441</v>
      </c>
      <c r="F997" s="64">
        <f>20.7441 * CHOOSE(CONTROL!$C$22, $C$13, 100%, $E$13)</f>
        <v>20.7441</v>
      </c>
      <c r="G997" s="64">
        <f>20.7442 * CHOOSE(CONTROL!$C$22, $C$13, 100%, $E$13)</f>
        <v>20.744199999999999</v>
      </c>
      <c r="H997" s="64">
        <f>33.7545* CHOOSE(CONTROL!$C$22, $C$13, 100%, $E$13)</f>
        <v>33.7545</v>
      </c>
      <c r="I997" s="64">
        <f>33.7546 * CHOOSE(CONTROL!$C$22, $C$13, 100%, $E$13)</f>
        <v>33.754600000000003</v>
      </c>
      <c r="J997" s="64">
        <f>20.7441 * CHOOSE(CONTROL!$C$22, $C$13, 100%, $E$13)</f>
        <v>20.7441</v>
      </c>
      <c r="K997" s="64">
        <f>20.7442 * CHOOSE(CONTROL!$C$22, $C$13, 100%, $E$13)</f>
        <v>20.744199999999999</v>
      </c>
    </row>
    <row r="998" spans="1:11" ht="15">
      <c r="A998" s="13">
        <v>72015</v>
      </c>
      <c r="B998" s="63">
        <f>17.7905 * CHOOSE(CONTROL!$C$22, $C$13, 100%, $E$13)</f>
        <v>17.790500000000002</v>
      </c>
      <c r="C998" s="63">
        <f>17.7905 * CHOOSE(CONTROL!$C$22, $C$13, 100%, $E$13)</f>
        <v>17.790500000000002</v>
      </c>
      <c r="D998" s="63">
        <f>17.8034 * CHOOSE(CONTROL!$C$22, $C$13, 100%, $E$13)</f>
        <v>17.8034</v>
      </c>
      <c r="E998" s="64">
        <f>20.923 * CHOOSE(CONTROL!$C$22, $C$13, 100%, $E$13)</f>
        <v>20.922999999999998</v>
      </c>
      <c r="F998" s="64">
        <f>20.923 * CHOOSE(CONTROL!$C$22, $C$13, 100%, $E$13)</f>
        <v>20.922999999999998</v>
      </c>
      <c r="G998" s="64">
        <f>20.9232 * CHOOSE(CONTROL!$C$22, $C$13, 100%, $E$13)</f>
        <v>20.923200000000001</v>
      </c>
      <c r="H998" s="64">
        <f>33.8248* CHOOSE(CONTROL!$C$22, $C$13, 100%, $E$13)</f>
        <v>33.824800000000003</v>
      </c>
      <c r="I998" s="64">
        <f>33.825 * CHOOSE(CONTROL!$C$22, $C$13, 100%, $E$13)</f>
        <v>33.825000000000003</v>
      </c>
      <c r="J998" s="64">
        <f>20.923 * CHOOSE(CONTROL!$C$22, $C$13, 100%, $E$13)</f>
        <v>20.922999999999998</v>
      </c>
      <c r="K998" s="64">
        <f>20.9232 * CHOOSE(CONTROL!$C$22, $C$13, 100%, $E$13)</f>
        <v>20.923200000000001</v>
      </c>
    </row>
    <row r="999" spans="1:11" ht="15">
      <c r="A999" s="13">
        <v>72046</v>
      </c>
      <c r="B999" s="63">
        <f>17.7999 * CHOOSE(CONTROL!$C$22, $C$13, 100%, $E$13)</f>
        <v>17.799900000000001</v>
      </c>
      <c r="C999" s="63">
        <f>17.7999 * CHOOSE(CONTROL!$C$22, $C$13, 100%, $E$13)</f>
        <v>17.799900000000001</v>
      </c>
      <c r="D999" s="63">
        <f>17.8128 * CHOOSE(CONTROL!$C$22, $C$13, 100%, $E$13)</f>
        <v>17.812799999999999</v>
      </c>
      <c r="E999" s="64">
        <f>21.1132 * CHOOSE(CONTROL!$C$22, $C$13, 100%, $E$13)</f>
        <v>21.113199999999999</v>
      </c>
      <c r="F999" s="64">
        <f>21.1132 * CHOOSE(CONTROL!$C$22, $C$13, 100%, $E$13)</f>
        <v>21.113199999999999</v>
      </c>
      <c r="G999" s="64">
        <f>21.1133 * CHOOSE(CONTROL!$C$22, $C$13, 100%, $E$13)</f>
        <v>21.113299999999999</v>
      </c>
      <c r="H999" s="64">
        <f>33.8952* CHOOSE(CONTROL!$C$22, $C$13, 100%, $E$13)</f>
        <v>33.895200000000003</v>
      </c>
      <c r="I999" s="64">
        <f>33.8954 * CHOOSE(CONTROL!$C$22, $C$13, 100%, $E$13)</f>
        <v>33.895400000000002</v>
      </c>
      <c r="J999" s="64">
        <f>21.1132 * CHOOSE(CONTROL!$C$22, $C$13, 100%, $E$13)</f>
        <v>21.113199999999999</v>
      </c>
      <c r="K999" s="64">
        <f>21.1133 * CHOOSE(CONTROL!$C$22, $C$13, 100%, $E$13)</f>
        <v>21.113299999999999</v>
      </c>
    </row>
    <row r="1000" spans="1:11" ht="15">
      <c r="A1000" s="13">
        <v>72076</v>
      </c>
      <c r="B1000" s="63">
        <f>17.7999 * CHOOSE(CONTROL!$C$22, $C$13, 100%, $E$13)</f>
        <v>17.799900000000001</v>
      </c>
      <c r="C1000" s="63">
        <f>17.7999 * CHOOSE(CONTROL!$C$22, $C$13, 100%, $E$13)</f>
        <v>17.799900000000001</v>
      </c>
      <c r="D1000" s="63">
        <f>17.8256 * CHOOSE(CONTROL!$C$22, $C$13, 100%, $E$13)</f>
        <v>17.825600000000001</v>
      </c>
      <c r="E1000" s="64">
        <f>21.1861 * CHOOSE(CONTROL!$C$22, $C$13, 100%, $E$13)</f>
        <v>21.1861</v>
      </c>
      <c r="F1000" s="64">
        <f>21.1861 * CHOOSE(CONTROL!$C$22, $C$13, 100%, $E$13)</f>
        <v>21.1861</v>
      </c>
      <c r="G1000" s="64">
        <f>21.1877 * CHOOSE(CONTROL!$C$22, $C$13, 100%, $E$13)</f>
        <v>21.1877</v>
      </c>
      <c r="H1000" s="64">
        <f>33.9659* CHOOSE(CONTROL!$C$22, $C$13, 100%, $E$13)</f>
        <v>33.965899999999998</v>
      </c>
      <c r="I1000" s="64">
        <f>33.9675 * CHOOSE(CONTROL!$C$22, $C$13, 100%, $E$13)</f>
        <v>33.967500000000001</v>
      </c>
      <c r="J1000" s="64">
        <f>21.1861 * CHOOSE(CONTROL!$C$22, $C$13, 100%, $E$13)</f>
        <v>21.1861</v>
      </c>
      <c r="K1000" s="64">
        <f>21.1877 * CHOOSE(CONTROL!$C$22, $C$13, 100%, $E$13)</f>
        <v>21.1877</v>
      </c>
    </row>
    <row r="1001" spans="1:11" ht="15">
      <c r="A1001" s="13">
        <v>72107</v>
      </c>
      <c r="B1001" s="63">
        <f>17.806 * CHOOSE(CONTROL!$C$22, $C$13, 100%, $E$13)</f>
        <v>17.806000000000001</v>
      </c>
      <c r="C1001" s="63">
        <f>17.806 * CHOOSE(CONTROL!$C$22, $C$13, 100%, $E$13)</f>
        <v>17.806000000000001</v>
      </c>
      <c r="D1001" s="63">
        <f>17.8317 * CHOOSE(CONTROL!$C$22, $C$13, 100%, $E$13)</f>
        <v>17.831700000000001</v>
      </c>
      <c r="E1001" s="64">
        <f>21.1174 * CHOOSE(CONTROL!$C$22, $C$13, 100%, $E$13)</f>
        <v>21.1174</v>
      </c>
      <c r="F1001" s="64">
        <f>21.1174 * CHOOSE(CONTROL!$C$22, $C$13, 100%, $E$13)</f>
        <v>21.1174</v>
      </c>
      <c r="G1001" s="64">
        <f>21.119 * CHOOSE(CONTROL!$C$22, $C$13, 100%, $E$13)</f>
        <v>21.119</v>
      </c>
      <c r="H1001" s="64">
        <f>34.0366* CHOOSE(CONTROL!$C$22, $C$13, 100%, $E$13)</f>
        <v>34.0366</v>
      </c>
      <c r="I1001" s="64">
        <f>34.0383 * CHOOSE(CONTROL!$C$22, $C$13, 100%, $E$13)</f>
        <v>34.0383</v>
      </c>
      <c r="J1001" s="64">
        <f>21.1174 * CHOOSE(CONTROL!$C$22, $C$13, 100%, $E$13)</f>
        <v>21.1174</v>
      </c>
      <c r="K1001" s="64">
        <f>21.119 * CHOOSE(CONTROL!$C$22, $C$13, 100%, $E$13)</f>
        <v>21.119</v>
      </c>
    </row>
    <row r="1002" spans="1:11" ht="15">
      <c r="A1002" s="13">
        <v>72137</v>
      </c>
      <c r="B1002" s="63">
        <f>18.083 * CHOOSE(CONTROL!$C$22, $C$13, 100%, $E$13)</f>
        <v>18.082999999999998</v>
      </c>
      <c r="C1002" s="63">
        <f>18.083 * CHOOSE(CONTROL!$C$22, $C$13, 100%, $E$13)</f>
        <v>18.082999999999998</v>
      </c>
      <c r="D1002" s="63">
        <f>18.1088 * CHOOSE(CONTROL!$C$22, $C$13, 100%, $E$13)</f>
        <v>18.108799999999999</v>
      </c>
      <c r="E1002" s="64">
        <f>21.5171 * CHOOSE(CONTROL!$C$22, $C$13, 100%, $E$13)</f>
        <v>21.517099999999999</v>
      </c>
      <c r="F1002" s="64">
        <f>21.5171 * CHOOSE(CONTROL!$C$22, $C$13, 100%, $E$13)</f>
        <v>21.517099999999999</v>
      </c>
      <c r="G1002" s="64">
        <f>21.5187 * CHOOSE(CONTROL!$C$22, $C$13, 100%, $E$13)</f>
        <v>21.518699999999999</v>
      </c>
      <c r="H1002" s="64">
        <f>34.1075* CHOOSE(CONTROL!$C$22, $C$13, 100%, $E$13)</f>
        <v>34.107500000000002</v>
      </c>
      <c r="I1002" s="64">
        <f>34.1092 * CHOOSE(CONTROL!$C$22, $C$13, 100%, $E$13)</f>
        <v>34.109200000000001</v>
      </c>
      <c r="J1002" s="64">
        <f>21.5171 * CHOOSE(CONTROL!$C$22, $C$13, 100%, $E$13)</f>
        <v>21.517099999999999</v>
      </c>
      <c r="K1002" s="64">
        <f>21.5187 * CHOOSE(CONTROL!$C$22, $C$13, 100%, $E$13)</f>
        <v>21.518699999999999</v>
      </c>
    </row>
    <row r="1003" spans="1:11" ht="15">
      <c r="A1003" s="13">
        <v>72168</v>
      </c>
      <c r="B1003" s="63">
        <f>18.0897 * CHOOSE(CONTROL!$C$22, $C$13, 100%, $E$13)</f>
        <v>18.089700000000001</v>
      </c>
      <c r="C1003" s="63">
        <f>18.0897 * CHOOSE(CONTROL!$C$22, $C$13, 100%, $E$13)</f>
        <v>18.089700000000001</v>
      </c>
      <c r="D1003" s="63">
        <f>18.1155 * CHOOSE(CONTROL!$C$22, $C$13, 100%, $E$13)</f>
        <v>18.115500000000001</v>
      </c>
      <c r="E1003" s="64">
        <f>21.303 * CHOOSE(CONTROL!$C$22, $C$13, 100%, $E$13)</f>
        <v>21.303000000000001</v>
      </c>
      <c r="F1003" s="64">
        <f>21.303 * CHOOSE(CONTROL!$C$22, $C$13, 100%, $E$13)</f>
        <v>21.303000000000001</v>
      </c>
      <c r="G1003" s="64">
        <f>21.3046 * CHOOSE(CONTROL!$C$22, $C$13, 100%, $E$13)</f>
        <v>21.304600000000001</v>
      </c>
      <c r="H1003" s="64">
        <f>34.1786* CHOOSE(CONTROL!$C$22, $C$13, 100%, $E$13)</f>
        <v>34.178600000000003</v>
      </c>
      <c r="I1003" s="64">
        <f>34.1802 * CHOOSE(CONTROL!$C$22, $C$13, 100%, $E$13)</f>
        <v>34.180199999999999</v>
      </c>
      <c r="J1003" s="64">
        <f>21.303 * CHOOSE(CONTROL!$C$22, $C$13, 100%, $E$13)</f>
        <v>21.303000000000001</v>
      </c>
      <c r="K1003" s="64">
        <f>21.3046 * CHOOSE(CONTROL!$C$22, $C$13, 100%, $E$13)</f>
        <v>21.304600000000001</v>
      </c>
    </row>
    <row r="1004" spans="1:11" ht="15">
      <c r="A1004" s="13">
        <v>72199</v>
      </c>
      <c r="B1004" s="63">
        <f>18.0867 * CHOOSE(CONTROL!$C$22, $C$13, 100%, $E$13)</f>
        <v>18.0867</v>
      </c>
      <c r="C1004" s="63">
        <f>18.0867 * CHOOSE(CONTROL!$C$22, $C$13, 100%, $E$13)</f>
        <v>18.0867</v>
      </c>
      <c r="D1004" s="63">
        <f>18.1124 * CHOOSE(CONTROL!$C$22, $C$13, 100%, $E$13)</f>
        <v>18.112400000000001</v>
      </c>
      <c r="E1004" s="64">
        <f>21.2766 * CHOOSE(CONTROL!$C$22, $C$13, 100%, $E$13)</f>
        <v>21.276599999999998</v>
      </c>
      <c r="F1004" s="64">
        <f>21.2766 * CHOOSE(CONTROL!$C$22, $C$13, 100%, $E$13)</f>
        <v>21.276599999999998</v>
      </c>
      <c r="G1004" s="64">
        <f>21.2782 * CHOOSE(CONTROL!$C$22, $C$13, 100%, $E$13)</f>
        <v>21.278199999999998</v>
      </c>
      <c r="H1004" s="64">
        <f>34.2498* CHOOSE(CONTROL!$C$22, $C$13, 100%, $E$13)</f>
        <v>34.2498</v>
      </c>
      <c r="I1004" s="64">
        <f>34.2514 * CHOOSE(CONTROL!$C$22, $C$13, 100%, $E$13)</f>
        <v>34.251399999999997</v>
      </c>
      <c r="J1004" s="64">
        <f>21.2766 * CHOOSE(CONTROL!$C$22, $C$13, 100%, $E$13)</f>
        <v>21.276599999999998</v>
      </c>
      <c r="K1004" s="64">
        <f>21.2782 * CHOOSE(CONTROL!$C$22, $C$13, 100%, $E$13)</f>
        <v>21.278199999999998</v>
      </c>
    </row>
    <row r="1005" spans="1:11" ht="15">
      <c r="A1005" s="13">
        <v>72229</v>
      </c>
      <c r="B1005" s="63">
        <f>18.1277 * CHOOSE(CONTROL!$C$22, $C$13, 100%, $E$13)</f>
        <v>18.127700000000001</v>
      </c>
      <c r="C1005" s="63">
        <f>18.1277 * CHOOSE(CONTROL!$C$22, $C$13, 100%, $E$13)</f>
        <v>18.127700000000001</v>
      </c>
      <c r="D1005" s="63">
        <f>18.1406 * CHOOSE(CONTROL!$C$22, $C$13, 100%, $E$13)</f>
        <v>18.140599999999999</v>
      </c>
      <c r="E1005" s="64">
        <f>21.3604 * CHOOSE(CONTROL!$C$22, $C$13, 100%, $E$13)</f>
        <v>21.360399999999998</v>
      </c>
      <c r="F1005" s="64">
        <f>21.3604 * CHOOSE(CONTROL!$C$22, $C$13, 100%, $E$13)</f>
        <v>21.360399999999998</v>
      </c>
      <c r="G1005" s="64">
        <f>21.3606 * CHOOSE(CONTROL!$C$22, $C$13, 100%, $E$13)</f>
        <v>21.360600000000002</v>
      </c>
      <c r="H1005" s="64">
        <f>34.3211* CHOOSE(CONTROL!$C$22, $C$13, 100%, $E$13)</f>
        <v>34.321100000000001</v>
      </c>
      <c r="I1005" s="64">
        <f>34.3213 * CHOOSE(CONTROL!$C$22, $C$13, 100%, $E$13)</f>
        <v>34.321300000000001</v>
      </c>
      <c r="J1005" s="64">
        <f>21.3604 * CHOOSE(CONTROL!$C$22, $C$13, 100%, $E$13)</f>
        <v>21.360399999999998</v>
      </c>
      <c r="K1005" s="64">
        <f>21.3606 * CHOOSE(CONTROL!$C$22, $C$13, 100%, $E$13)</f>
        <v>21.360600000000002</v>
      </c>
    </row>
    <row r="1006" spans="1:11" ht="15">
      <c r="A1006" s="13">
        <v>72260</v>
      </c>
      <c r="B1006" s="63">
        <f>18.1308 * CHOOSE(CONTROL!$C$22, $C$13, 100%, $E$13)</f>
        <v>18.130800000000001</v>
      </c>
      <c r="C1006" s="63">
        <f>18.1308 * CHOOSE(CONTROL!$C$22, $C$13, 100%, $E$13)</f>
        <v>18.130800000000001</v>
      </c>
      <c r="D1006" s="63">
        <f>18.1437 * CHOOSE(CONTROL!$C$22, $C$13, 100%, $E$13)</f>
        <v>18.143699999999999</v>
      </c>
      <c r="E1006" s="64">
        <f>21.4111 * CHOOSE(CONTROL!$C$22, $C$13, 100%, $E$13)</f>
        <v>21.411100000000001</v>
      </c>
      <c r="F1006" s="64">
        <f>21.4111 * CHOOSE(CONTROL!$C$22, $C$13, 100%, $E$13)</f>
        <v>21.411100000000001</v>
      </c>
      <c r="G1006" s="64">
        <f>21.4113 * CHOOSE(CONTROL!$C$22, $C$13, 100%, $E$13)</f>
        <v>21.411300000000001</v>
      </c>
      <c r="H1006" s="64">
        <f>34.3927* CHOOSE(CONTROL!$C$22, $C$13, 100%, $E$13)</f>
        <v>34.392699999999998</v>
      </c>
      <c r="I1006" s="64">
        <f>34.3928 * CHOOSE(CONTROL!$C$22, $C$13, 100%, $E$13)</f>
        <v>34.392800000000001</v>
      </c>
      <c r="J1006" s="64">
        <f>21.4111 * CHOOSE(CONTROL!$C$22, $C$13, 100%, $E$13)</f>
        <v>21.411100000000001</v>
      </c>
      <c r="K1006" s="64">
        <f>21.4113 * CHOOSE(CONTROL!$C$22, $C$13, 100%, $E$13)</f>
        <v>21.411300000000001</v>
      </c>
    </row>
    <row r="1007" spans="1:11" ht="15">
      <c r="A1007" s="13">
        <v>72290</v>
      </c>
      <c r="B1007" s="63">
        <f>18.1308 * CHOOSE(CONTROL!$C$22, $C$13, 100%, $E$13)</f>
        <v>18.130800000000001</v>
      </c>
      <c r="C1007" s="63">
        <f>18.1308 * CHOOSE(CONTROL!$C$22, $C$13, 100%, $E$13)</f>
        <v>18.130800000000001</v>
      </c>
      <c r="D1007" s="63">
        <f>18.1437 * CHOOSE(CONTROL!$C$22, $C$13, 100%, $E$13)</f>
        <v>18.143699999999999</v>
      </c>
      <c r="E1007" s="64">
        <f>21.2896 * CHOOSE(CONTROL!$C$22, $C$13, 100%, $E$13)</f>
        <v>21.2896</v>
      </c>
      <c r="F1007" s="64">
        <f>21.2896 * CHOOSE(CONTROL!$C$22, $C$13, 100%, $E$13)</f>
        <v>21.2896</v>
      </c>
      <c r="G1007" s="64">
        <f>21.2898 * CHOOSE(CONTROL!$C$22, $C$13, 100%, $E$13)</f>
        <v>21.2898</v>
      </c>
      <c r="H1007" s="64">
        <f>34.4643* CHOOSE(CONTROL!$C$22, $C$13, 100%, $E$13)</f>
        <v>34.464300000000001</v>
      </c>
      <c r="I1007" s="64">
        <f>34.4645 * CHOOSE(CONTROL!$C$22, $C$13, 100%, $E$13)</f>
        <v>34.464500000000001</v>
      </c>
      <c r="J1007" s="64">
        <f>21.2896 * CHOOSE(CONTROL!$C$22, $C$13, 100%, $E$13)</f>
        <v>21.2896</v>
      </c>
      <c r="K1007" s="64">
        <f>21.2898 * CHOOSE(CONTROL!$C$22, $C$13, 100%, $E$13)</f>
        <v>21.2898</v>
      </c>
    </row>
    <row r="1008" spans="1:11" ht="15">
      <c r="A1008" s="13">
        <v>72321</v>
      </c>
      <c r="B1008" s="63">
        <f>18.0419 * CHOOSE(CONTROL!$C$22, $C$13, 100%, $E$13)</f>
        <v>18.041899999999998</v>
      </c>
      <c r="C1008" s="63">
        <f>18.0419 * CHOOSE(CONTROL!$C$22, $C$13, 100%, $E$13)</f>
        <v>18.041899999999998</v>
      </c>
      <c r="D1008" s="63">
        <f>18.0548 * CHOOSE(CONTROL!$C$22, $C$13, 100%, $E$13)</f>
        <v>18.0548</v>
      </c>
      <c r="E1008" s="64">
        <f>21.2682 * CHOOSE(CONTROL!$C$22, $C$13, 100%, $E$13)</f>
        <v>21.2682</v>
      </c>
      <c r="F1008" s="64">
        <f>21.2682 * CHOOSE(CONTROL!$C$22, $C$13, 100%, $E$13)</f>
        <v>21.2682</v>
      </c>
      <c r="G1008" s="64">
        <f>21.2684 * CHOOSE(CONTROL!$C$22, $C$13, 100%, $E$13)</f>
        <v>21.2684</v>
      </c>
      <c r="H1008" s="64">
        <f>34.1302* CHOOSE(CONTROL!$C$22, $C$13, 100%, $E$13)</f>
        <v>34.130200000000002</v>
      </c>
      <c r="I1008" s="64">
        <f>34.1303 * CHOOSE(CONTROL!$C$22, $C$13, 100%, $E$13)</f>
        <v>34.130299999999998</v>
      </c>
      <c r="J1008" s="64">
        <f>21.2682 * CHOOSE(CONTROL!$C$22, $C$13, 100%, $E$13)</f>
        <v>21.2682</v>
      </c>
      <c r="K1008" s="64">
        <f>21.2684 * CHOOSE(CONTROL!$C$22, $C$13, 100%, $E$13)</f>
        <v>21.2684</v>
      </c>
    </row>
    <row r="1009" spans="1:11" ht="15">
      <c r="A1009" s="13">
        <v>72352</v>
      </c>
      <c r="B1009" s="63">
        <f>18.0389 * CHOOSE(CONTROL!$C$22, $C$13, 100%, $E$13)</f>
        <v>18.038900000000002</v>
      </c>
      <c r="C1009" s="63">
        <f>18.0389 * CHOOSE(CONTROL!$C$22, $C$13, 100%, $E$13)</f>
        <v>18.038900000000002</v>
      </c>
      <c r="D1009" s="63">
        <f>18.0518 * CHOOSE(CONTROL!$C$22, $C$13, 100%, $E$13)</f>
        <v>18.0518</v>
      </c>
      <c r="E1009" s="64">
        <f>21.0333 * CHOOSE(CONTROL!$C$22, $C$13, 100%, $E$13)</f>
        <v>21.033300000000001</v>
      </c>
      <c r="F1009" s="64">
        <f>21.0333 * CHOOSE(CONTROL!$C$22, $C$13, 100%, $E$13)</f>
        <v>21.033300000000001</v>
      </c>
      <c r="G1009" s="64">
        <f>21.0334 * CHOOSE(CONTROL!$C$22, $C$13, 100%, $E$13)</f>
        <v>21.0334</v>
      </c>
      <c r="H1009" s="64">
        <f>34.2013* CHOOSE(CONTROL!$C$22, $C$13, 100%, $E$13)</f>
        <v>34.201300000000003</v>
      </c>
      <c r="I1009" s="64">
        <f>34.2015 * CHOOSE(CONTROL!$C$22, $C$13, 100%, $E$13)</f>
        <v>34.201500000000003</v>
      </c>
      <c r="J1009" s="64">
        <f>21.0333 * CHOOSE(CONTROL!$C$22, $C$13, 100%, $E$13)</f>
        <v>21.033300000000001</v>
      </c>
      <c r="K1009" s="64">
        <f>21.0334 * CHOOSE(CONTROL!$C$22, $C$13, 100%, $E$13)</f>
        <v>21.0334</v>
      </c>
    </row>
    <row r="1010" spans="1:11" ht="15">
      <c r="A1010" s="13">
        <v>72380</v>
      </c>
      <c r="B1010" s="63">
        <f>18.0358 * CHOOSE(CONTROL!$C$22, $C$13, 100%, $E$13)</f>
        <v>18.035799999999998</v>
      </c>
      <c r="C1010" s="63">
        <f>18.0358 * CHOOSE(CONTROL!$C$22, $C$13, 100%, $E$13)</f>
        <v>18.035799999999998</v>
      </c>
      <c r="D1010" s="63">
        <f>18.0487 * CHOOSE(CONTROL!$C$22, $C$13, 100%, $E$13)</f>
        <v>18.0487</v>
      </c>
      <c r="E1010" s="64">
        <f>21.2147 * CHOOSE(CONTROL!$C$22, $C$13, 100%, $E$13)</f>
        <v>21.214700000000001</v>
      </c>
      <c r="F1010" s="64">
        <f>21.2147 * CHOOSE(CONTROL!$C$22, $C$13, 100%, $E$13)</f>
        <v>21.214700000000001</v>
      </c>
      <c r="G1010" s="64">
        <f>21.2149 * CHOOSE(CONTROL!$C$22, $C$13, 100%, $E$13)</f>
        <v>21.2149</v>
      </c>
      <c r="H1010" s="64">
        <f>34.2725* CHOOSE(CONTROL!$C$22, $C$13, 100%, $E$13)</f>
        <v>34.272500000000001</v>
      </c>
      <c r="I1010" s="64">
        <f>34.2727 * CHOOSE(CONTROL!$C$22, $C$13, 100%, $E$13)</f>
        <v>34.2727</v>
      </c>
      <c r="J1010" s="64">
        <f>21.2147 * CHOOSE(CONTROL!$C$22, $C$13, 100%, $E$13)</f>
        <v>21.214700000000001</v>
      </c>
      <c r="K1010" s="64">
        <f>21.2149 * CHOOSE(CONTROL!$C$22, $C$13, 100%, $E$13)</f>
        <v>21.2149</v>
      </c>
    </row>
    <row r="1011" spans="1:11" ht="15">
      <c r="A1011" s="13">
        <v>72411</v>
      </c>
      <c r="B1011" s="63">
        <f>18.0454 * CHOOSE(CONTROL!$C$22, $C$13, 100%, $E$13)</f>
        <v>18.045400000000001</v>
      </c>
      <c r="C1011" s="63">
        <f>18.0454 * CHOOSE(CONTROL!$C$22, $C$13, 100%, $E$13)</f>
        <v>18.045400000000001</v>
      </c>
      <c r="D1011" s="63">
        <f>18.0583 * CHOOSE(CONTROL!$C$22, $C$13, 100%, $E$13)</f>
        <v>18.058299999999999</v>
      </c>
      <c r="E1011" s="64">
        <f>21.4076 * CHOOSE(CONTROL!$C$22, $C$13, 100%, $E$13)</f>
        <v>21.407599999999999</v>
      </c>
      <c r="F1011" s="64">
        <f>21.4076 * CHOOSE(CONTROL!$C$22, $C$13, 100%, $E$13)</f>
        <v>21.407599999999999</v>
      </c>
      <c r="G1011" s="64">
        <f>21.4078 * CHOOSE(CONTROL!$C$22, $C$13, 100%, $E$13)</f>
        <v>21.407800000000002</v>
      </c>
      <c r="H1011" s="64">
        <f>34.3439* CHOOSE(CONTROL!$C$22, $C$13, 100%, $E$13)</f>
        <v>34.343899999999998</v>
      </c>
      <c r="I1011" s="64">
        <f>34.3441 * CHOOSE(CONTROL!$C$22, $C$13, 100%, $E$13)</f>
        <v>34.344099999999997</v>
      </c>
      <c r="J1011" s="64">
        <f>21.4076 * CHOOSE(CONTROL!$C$22, $C$13, 100%, $E$13)</f>
        <v>21.407599999999999</v>
      </c>
      <c r="K1011" s="64">
        <f>21.4078 * CHOOSE(CONTROL!$C$22, $C$13, 100%, $E$13)</f>
        <v>21.407800000000002</v>
      </c>
    </row>
    <row r="1012" spans="1:11" ht="15">
      <c r="A1012" s="13">
        <v>72441</v>
      </c>
      <c r="B1012" s="63">
        <f>18.0454 * CHOOSE(CONTROL!$C$22, $C$13, 100%, $E$13)</f>
        <v>18.045400000000001</v>
      </c>
      <c r="C1012" s="63">
        <f>18.0454 * CHOOSE(CONTROL!$C$22, $C$13, 100%, $E$13)</f>
        <v>18.045400000000001</v>
      </c>
      <c r="D1012" s="63">
        <f>18.0712 * CHOOSE(CONTROL!$C$22, $C$13, 100%, $E$13)</f>
        <v>18.071200000000001</v>
      </c>
      <c r="E1012" s="64">
        <f>21.4815 * CHOOSE(CONTROL!$C$22, $C$13, 100%, $E$13)</f>
        <v>21.4815</v>
      </c>
      <c r="F1012" s="64">
        <f>21.4815 * CHOOSE(CONTROL!$C$22, $C$13, 100%, $E$13)</f>
        <v>21.4815</v>
      </c>
      <c r="G1012" s="64">
        <f>21.4832 * CHOOSE(CONTROL!$C$22, $C$13, 100%, $E$13)</f>
        <v>21.4832</v>
      </c>
      <c r="H1012" s="64">
        <f>34.4155* CHOOSE(CONTROL!$C$22, $C$13, 100%, $E$13)</f>
        <v>34.415500000000002</v>
      </c>
      <c r="I1012" s="64">
        <f>34.4171 * CHOOSE(CONTROL!$C$22, $C$13, 100%, $E$13)</f>
        <v>34.417099999999998</v>
      </c>
      <c r="J1012" s="64">
        <f>21.4815 * CHOOSE(CONTROL!$C$22, $C$13, 100%, $E$13)</f>
        <v>21.4815</v>
      </c>
      <c r="K1012" s="64">
        <f>21.4832 * CHOOSE(CONTROL!$C$22, $C$13, 100%, $E$13)</f>
        <v>21.4832</v>
      </c>
    </row>
    <row r="1013" spans="1:11" ht="15">
      <c r="A1013" s="13">
        <v>72472</v>
      </c>
      <c r="B1013" s="63">
        <f>18.0515 * CHOOSE(CONTROL!$C$22, $C$13, 100%, $E$13)</f>
        <v>18.051500000000001</v>
      </c>
      <c r="C1013" s="63">
        <f>18.0515 * CHOOSE(CONTROL!$C$22, $C$13, 100%, $E$13)</f>
        <v>18.051500000000001</v>
      </c>
      <c r="D1013" s="63">
        <f>18.0772 * CHOOSE(CONTROL!$C$22, $C$13, 100%, $E$13)</f>
        <v>18.077200000000001</v>
      </c>
      <c r="E1013" s="64">
        <f>21.4118 * CHOOSE(CONTROL!$C$22, $C$13, 100%, $E$13)</f>
        <v>21.411799999999999</v>
      </c>
      <c r="F1013" s="64">
        <f>21.4118 * CHOOSE(CONTROL!$C$22, $C$13, 100%, $E$13)</f>
        <v>21.411799999999999</v>
      </c>
      <c r="G1013" s="64">
        <f>21.4135 * CHOOSE(CONTROL!$C$22, $C$13, 100%, $E$13)</f>
        <v>21.413499999999999</v>
      </c>
      <c r="H1013" s="64">
        <f>34.4872* CHOOSE(CONTROL!$C$22, $C$13, 100%, $E$13)</f>
        <v>34.487200000000001</v>
      </c>
      <c r="I1013" s="64">
        <f>34.4888 * CHOOSE(CONTROL!$C$22, $C$13, 100%, $E$13)</f>
        <v>34.488799999999998</v>
      </c>
      <c r="J1013" s="64">
        <f>21.4118 * CHOOSE(CONTROL!$C$22, $C$13, 100%, $E$13)</f>
        <v>21.411799999999999</v>
      </c>
      <c r="K1013" s="64">
        <f>21.4135 * CHOOSE(CONTROL!$C$22, $C$13, 100%, $E$13)</f>
        <v>21.413499999999999</v>
      </c>
    </row>
    <row r="1014" spans="1:11" ht="15">
      <c r="A1014" s="13">
        <v>72502</v>
      </c>
      <c r="B1014" s="63">
        <f>18.3322 * CHOOSE(CONTROL!$C$22, $C$13, 100%, $E$13)</f>
        <v>18.3322</v>
      </c>
      <c r="C1014" s="63">
        <f>18.3322 * CHOOSE(CONTROL!$C$22, $C$13, 100%, $E$13)</f>
        <v>18.3322</v>
      </c>
      <c r="D1014" s="63">
        <f>18.358 * CHOOSE(CONTROL!$C$22, $C$13, 100%, $E$13)</f>
        <v>18.358000000000001</v>
      </c>
      <c r="E1014" s="64">
        <f>21.817 * CHOOSE(CONTROL!$C$22, $C$13, 100%, $E$13)</f>
        <v>21.817</v>
      </c>
      <c r="F1014" s="64">
        <f>21.817 * CHOOSE(CONTROL!$C$22, $C$13, 100%, $E$13)</f>
        <v>21.817</v>
      </c>
      <c r="G1014" s="64">
        <f>21.8186 * CHOOSE(CONTROL!$C$22, $C$13, 100%, $E$13)</f>
        <v>21.8186</v>
      </c>
      <c r="H1014" s="64">
        <f>34.559* CHOOSE(CONTROL!$C$22, $C$13, 100%, $E$13)</f>
        <v>34.558999999999997</v>
      </c>
      <c r="I1014" s="64">
        <f>34.5607 * CHOOSE(CONTROL!$C$22, $C$13, 100%, $E$13)</f>
        <v>34.560699999999997</v>
      </c>
      <c r="J1014" s="64">
        <f>21.817 * CHOOSE(CONTROL!$C$22, $C$13, 100%, $E$13)</f>
        <v>21.817</v>
      </c>
      <c r="K1014" s="64">
        <f>21.8186 * CHOOSE(CONTROL!$C$22, $C$13, 100%, $E$13)</f>
        <v>21.8186</v>
      </c>
    </row>
    <row r="1015" spans="1:11" ht="15">
      <c r="A1015" s="13">
        <v>72533</v>
      </c>
      <c r="B1015" s="63">
        <f>18.3389 * CHOOSE(CONTROL!$C$22, $C$13, 100%, $E$13)</f>
        <v>18.338899999999999</v>
      </c>
      <c r="C1015" s="63">
        <f>18.3389 * CHOOSE(CONTROL!$C$22, $C$13, 100%, $E$13)</f>
        <v>18.338899999999999</v>
      </c>
      <c r="D1015" s="63">
        <f>18.3647 * CHOOSE(CONTROL!$C$22, $C$13, 100%, $E$13)</f>
        <v>18.364699999999999</v>
      </c>
      <c r="E1015" s="64">
        <f>21.5998 * CHOOSE(CONTROL!$C$22, $C$13, 100%, $E$13)</f>
        <v>21.599799999999998</v>
      </c>
      <c r="F1015" s="64">
        <f>21.5998 * CHOOSE(CONTROL!$C$22, $C$13, 100%, $E$13)</f>
        <v>21.599799999999998</v>
      </c>
      <c r="G1015" s="64">
        <f>21.6015 * CHOOSE(CONTROL!$C$22, $C$13, 100%, $E$13)</f>
        <v>21.601500000000001</v>
      </c>
      <c r="H1015" s="64">
        <f>34.631* CHOOSE(CONTROL!$C$22, $C$13, 100%, $E$13)</f>
        <v>34.631</v>
      </c>
      <c r="I1015" s="64">
        <f>34.6327 * CHOOSE(CONTROL!$C$22, $C$13, 100%, $E$13)</f>
        <v>34.6327</v>
      </c>
      <c r="J1015" s="64">
        <f>21.5998 * CHOOSE(CONTROL!$C$22, $C$13, 100%, $E$13)</f>
        <v>21.599799999999998</v>
      </c>
      <c r="K1015" s="64">
        <f>21.6015 * CHOOSE(CONTROL!$C$22, $C$13, 100%, $E$13)</f>
        <v>21.601500000000001</v>
      </c>
    </row>
    <row r="1016" spans="1:11" ht="15">
      <c r="A1016" s="13">
        <v>72564</v>
      </c>
      <c r="B1016" s="63">
        <f>18.3359 * CHOOSE(CONTROL!$C$22, $C$13, 100%, $E$13)</f>
        <v>18.335899999999999</v>
      </c>
      <c r="C1016" s="63">
        <f>18.3359 * CHOOSE(CONTROL!$C$22, $C$13, 100%, $E$13)</f>
        <v>18.335899999999999</v>
      </c>
      <c r="D1016" s="63">
        <f>18.3616 * CHOOSE(CONTROL!$C$22, $C$13, 100%, $E$13)</f>
        <v>18.361599999999999</v>
      </c>
      <c r="E1016" s="64">
        <f>21.5731 * CHOOSE(CONTROL!$C$22, $C$13, 100%, $E$13)</f>
        <v>21.5731</v>
      </c>
      <c r="F1016" s="64">
        <f>21.5731 * CHOOSE(CONTROL!$C$22, $C$13, 100%, $E$13)</f>
        <v>21.5731</v>
      </c>
      <c r="G1016" s="64">
        <f>21.5747 * CHOOSE(CONTROL!$C$22, $C$13, 100%, $E$13)</f>
        <v>21.5747</v>
      </c>
      <c r="H1016" s="64">
        <f>34.7032* CHOOSE(CONTROL!$C$22, $C$13, 100%, $E$13)</f>
        <v>34.703200000000002</v>
      </c>
      <c r="I1016" s="64">
        <f>34.7048 * CHOOSE(CONTROL!$C$22, $C$13, 100%, $E$13)</f>
        <v>34.704799999999999</v>
      </c>
      <c r="J1016" s="64">
        <f>21.5731 * CHOOSE(CONTROL!$C$22, $C$13, 100%, $E$13)</f>
        <v>21.5731</v>
      </c>
      <c r="K1016" s="64">
        <f>21.5747 * CHOOSE(CONTROL!$C$22, $C$13, 100%, $E$13)</f>
        <v>21.5747</v>
      </c>
    </row>
    <row r="1017" spans="1:11" ht="15">
      <c r="A1017" s="13">
        <v>72594</v>
      </c>
      <c r="B1017" s="63">
        <f>18.3778 * CHOOSE(CONTROL!$C$22, $C$13, 100%, $E$13)</f>
        <v>18.377800000000001</v>
      </c>
      <c r="C1017" s="63">
        <f>18.3778 * CHOOSE(CONTROL!$C$22, $C$13, 100%, $E$13)</f>
        <v>18.377800000000001</v>
      </c>
      <c r="D1017" s="63">
        <f>18.3906 * CHOOSE(CONTROL!$C$22, $C$13, 100%, $E$13)</f>
        <v>18.390599999999999</v>
      </c>
      <c r="E1017" s="64">
        <f>21.6582 * CHOOSE(CONTROL!$C$22, $C$13, 100%, $E$13)</f>
        <v>21.658200000000001</v>
      </c>
      <c r="F1017" s="64">
        <f>21.6582 * CHOOSE(CONTROL!$C$22, $C$13, 100%, $E$13)</f>
        <v>21.658200000000001</v>
      </c>
      <c r="G1017" s="64">
        <f>21.6584 * CHOOSE(CONTROL!$C$22, $C$13, 100%, $E$13)</f>
        <v>21.6584</v>
      </c>
      <c r="H1017" s="64">
        <f>34.7755* CHOOSE(CONTROL!$C$22, $C$13, 100%, $E$13)</f>
        <v>34.775500000000001</v>
      </c>
      <c r="I1017" s="64">
        <f>34.7756 * CHOOSE(CONTROL!$C$22, $C$13, 100%, $E$13)</f>
        <v>34.775599999999997</v>
      </c>
      <c r="J1017" s="64">
        <f>21.6582 * CHOOSE(CONTROL!$C$22, $C$13, 100%, $E$13)</f>
        <v>21.658200000000001</v>
      </c>
      <c r="K1017" s="64">
        <f>21.6584 * CHOOSE(CONTROL!$C$22, $C$13, 100%, $E$13)</f>
        <v>21.6584</v>
      </c>
    </row>
    <row r="1018" spans="1:11" ht="15">
      <c r="A1018" s="13">
        <v>72625</v>
      </c>
      <c r="B1018" s="63">
        <f>18.3808 * CHOOSE(CONTROL!$C$22, $C$13, 100%, $E$13)</f>
        <v>18.380800000000001</v>
      </c>
      <c r="C1018" s="63">
        <f>18.3808 * CHOOSE(CONTROL!$C$22, $C$13, 100%, $E$13)</f>
        <v>18.380800000000001</v>
      </c>
      <c r="D1018" s="63">
        <f>18.3937 * CHOOSE(CONTROL!$C$22, $C$13, 100%, $E$13)</f>
        <v>18.393699999999999</v>
      </c>
      <c r="E1018" s="64">
        <f>21.7096 * CHOOSE(CONTROL!$C$22, $C$13, 100%, $E$13)</f>
        <v>21.709599999999998</v>
      </c>
      <c r="F1018" s="64">
        <f>21.7096 * CHOOSE(CONTROL!$C$22, $C$13, 100%, $E$13)</f>
        <v>21.709599999999998</v>
      </c>
      <c r="G1018" s="64">
        <f>21.7098 * CHOOSE(CONTROL!$C$22, $C$13, 100%, $E$13)</f>
        <v>21.709800000000001</v>
      </c>
      <c r="H1018" s="64">
        <f>34.8479* CHOOSE(CONTROL!$C$22, $C$13, 100%, $E$13)</f>
        <v>34.847900000000003</v>
      </c>
      <c r="I1018" s="64">
        <f>34.8481 * CHOOSE(CONTROL!$C$22, $C$13, 100%, $E$13)</f>
        <v>34.848100000000002</v>
      </c>
      <c r="J1018" s="64">
        <f>21.7096 * CHOOSE(CONTROL!$C$22, $C$13, 100%, $E$13)</f>
        <v>21.709599999999998</v>
      </c>
      <c r="K1018" s="64">
        <f>21.7098 * CHOOSE(CONTROL!$C$22, $C$13, 100%, $E$13)</f>
        <v>21.709800000000001</v>
      </c>
    </row>
    <row r="1019" spans="1:11" ht="15">
      <c r="A1019" s="13">
        <v>72655</v>
      </c>
      <c r="B1019" s="63">
        <f>18.3808 * CHOOSE(CONTROL!$C$22, $C$13, 100%, $E$13)</f>
        <v>18.380800000000001</v>
      </c>
      <c r="C1019" s="63">
        <f>18.3808 * CHOOSE(CONTROL!$C$22, $C$13, 100%, $E$13)</f>
        <v>18.380800000000001</v>
      </c>
      <c r="D1019" s="63">
        <f>18.3937 * CHOOSE(CONTROL!$C$22, $C$13, 100%, $E$13)</f>
        <v>18.393699999999999</v>
      </c>
      <c r="E1019" s="64">
        <f>21.5864 * CHOOSE(CONTROL!$C$22, $C$13, 100%, $E$13)</f>
        <v>21.586400000000001</v>
      </c>
      <c r="F1019" s="64">
        <f>21.5864 * CHOOSE(CONTROL!$C$22, $C$13, 100%, $E$13)</f>
        <v>21.586400000000001</v>
      </c>
      <c r="G1019" s="64">
        <f>21.5866 * CHOOSE(CONTROL!$C$22, $C$13, 100%, $E$13)</f>
        <v>21.586600000000001</v>
      </c>
      <c r="H1019" s="64">
        <f>34.9205* CHOOSE(CONTROL!$C$22, $C$13, 100%, $E$13)</f>
        <v>34.920499999999997</v>
      </c>
      <c r="I1019" s="64">
        <f>34.9207 * CHOOSE(CONTROL!$C$22, $C$13, 100%, $E$13)</f>
        <v>34.920699999999997</v>
      </c>
      <c r="J1019" s="64">
        <f>21.5864 * CHOOSE(CONTROL!$C$22, $C$13, 100%, $E$13)</f>
        <v>21.586400000000001</v>
      </c>
      <c r="K1019" s="64">
        <f>21.5866 * CHOOSE(CONTROL!$C$22, $C$13, 100%, $E$13)</f>
        <v>21.586600000000001</v>
      </c>
    </row>
    <row r="1020" spans="1:11" ht="15">
      <c r="A1020" s="13">
        <v>72686</v>
      </c>
      <c r="B1020" s="63">
        <f>18.2872 * CHOOSE(CONTROL!$C$22, $C$13, 100%, $E$13)</f>
        <v>18.287199999999999</v>
      </c>
      <c r="C1020" s="63">
        <f>18.2872 * CHOOSE(CONTROL!$C$22, $C$13, 100%, $E$13)</f>
        <v>18.287199999999999</v>
      </c>
      <c r="D1020" s="63">
        <f>18.3001 * CHOOSE(CONTROL!$C$22, $C$13, 100%, $E$13)</f>
        <v>18.3001</v>
      </c>
      <c r="E1020" s="64">
        <f>21.5606 * CHOOSE(CONTROL!$C$22, $C$13, 100%, $E$13)</f>
        <v>21.560600000000001</v>
      </c>
      <c r="F1020" s="64">
        <f>21.5606 * CHOOSE(CONTROL!$C$22, $C$13, 100%, $E$13)</f>
        <v>21.560600000000001</v>
      </c>
      <c r="G1020" s="64">
        <f>21.5608 * CHOOSE(CONTROL!$C$22, $C$13, 100%, $E$13)</f>
        <v>21.5608</v>
      </c>
      <c r="H1020" s="64">
        <f>34.5761* CHOOSE(CONTROL!$C$22, $C$13, 100%, $E$13)</f>
        <v>34.576099999999997</v>
      </c>
      <c r="I1020" s="64">
        <f>34.5762 * CHOOSE(CONTROL!$C$22, $C$13, 100%, $E$13)</f>
        <v>34.5762</v>
      </c>
      <c r="J1020" s="64">
        <f>21.5606 * CHOOSE(CONTROL!$C$22, $C$13, 100%, $E$13)</f>
        <v>21.560600000000001</v>
      </c>
      <c r="K1020" s="64">
        <f>21.5608 * CHOOSE(CONTROL!$C$22, $C$13, 100%, $E$13)</f>
        <v>21.5608</v>
      </c>
    </row>
    <row r="1021" spans="1:11" ht="15">
      <c r="A1021" s="13">
        <v>72717</v>
      </c>
      <c r="B1021" s="63">
        <f>18.2842 * CHOOSE(CONTROL!$C$22, $C$13, 100%, $E$13)</f>
        <v>18.284199999999998</v>
      </c>
      <c r="C1021" s="63">
        <f>18.2842 * CHOOSE(CONTROL!$C$22, $C$13, 100%, $E$13)</f>
        <v>18.284199999999998</v>
      </c>
      <c r="D1021" s="63">
        <f>18.2971 * CHOOSE(CONTROL!$C$22, $C$13, 100%, $E$13)</f>
        <v>18.2971</v>
      </c>
      <c r="E1021" s="64">
        <f>21.3225 * CHOOSE(CONTROL!$C$22, $C$13, 100%, $E$13)</f>
        <v>21.322500000000002</v>
      </c>
      <c r="F1021" s="64">
        <f>21.3225 * CHOOSE(CONTROL!$C$22, $C$13, 100%, $E$13)</f>
        <v>21.322500000000002</v>
      </c>
      <c r="G1021" s="64">
        <f>21.3227 * CHOOSE(CONTROL!$C$22, $C$13, 100%, $E$13)</f>
        <v>21.322700000000001</v>
      </c>
      <c r="H1021" s="64">
        <f>34.6481* CHOOSE(CONTROL!$C$22, $C$13, 100%, $E$13)</f>
        <v>34.648099999999999</v>
      </c>
      <c r="I1021" s="64">
        <f>34.6483 * CHOOSE(CONTROL!$C$22, $C$13, 100%, $E$13)</f>
        <v>34.648299999999999</v>
      </c>
      <c r="J1021" s="64">
        <f>21.3225 * CHOOSE(CONTROL!$C$22, $C$13, 100%, $E$13)</f>
        <v>21.322500000000002</v>
      </c>
      <c r="K1021" s="64">
        <f>21.3227 * CHOOSE(CONTROL!$C$22, $C$13, 100%, $E$13)</f>
        <v>21.322700000000001</v>
      </c>
    </row>
    <row r="1022" spans="1:11" ht="15">
      <c r="A1022" s="13">
        <v>72745</v>
      </c>
      <c r="B1022" s="63">
        <f>18.2812 * CHOOSE(CONTROL!$C$22, $C$13, 100%, $E$13)</f>
        <v>18.281199999999998</v>
      </c>
      <c r="C1022" s="63">
        <f>18.2812 * CHOOSE(CONTROL!$C$22, $C$13, 100%, $E$13)</f>
        <v>18.281199999999998</v>
      </c>
      <c r="D1022" s="63">
        <f>18.294 * CHOOSE(CONTROL!$C$22, $C$13, 100%, $E$13)</f>
        <v>18.294</v>
      </c>
      <c r="E1022" s="64">
        <f>21.5064 * CHOOSE(CONTROL!$C$22, $C$13, 100%, $E$13)</f>
        <v>21.506399999999999</v>
      </c>
      <c r="F1022" s="64">
        <f>21.5064 * CHOOSE(CONTROL!$C$22, $C$13, 100%, $E$13)</f>
        <v>21.506399999999999</v>
      </c>
      <c r="G1022" s="64">
        <f>21.5066 * CHOOSE(CONTROL!$C$22, $C$13, 100%, $E$13)</f>
        <v>21.506599999999999</v>
      </c>
      <c r="H1022" s="64">
        <f>34.7203* CHOOSE(CONTROL!$C$22, $C$13, 100%, $E$13)</f>
        <v>34.720300000000002</v>
      </c>
      <c r="I1022" s="64">
        <f>34.7205 * CHOOSE(CONTROL!$C$22, $C$13, 100%, $E$13)</f>
        <v>34.720500000000001</v>
      </c>
      <c r="J1022" s="64">
        <f>21.5064 * CHOOSE(CONTROL!$C$22, $C$13, 100%, $E$13)</f>
        <v>21.506399999999999</v>
      </c>
      <c r="K1022" s="64">
        <f>21.5066 * CHOOSE(CONTROL!$C$22, $C$13, 100%, $E$13)</f>
        <v>21.506599999999999</v>
      </c>
    </row>
    <row r="1023" spans="1:11" ht="15">
      <c r="A1023" s="13">
        <v>72776</v>
      </c>
      <c r="B1023" s="63">
        <f>18.2909 * CHOOSE(CONTROL!$C$22, $C$13, 100%, $E$13)</f>
        <v>18.290900000000001</v>
      </c>
      <c r="C1023" s="63">
        <f>18.2909 * CHOOSE(CONTROL!$C$22, $C$13, 100%, $E$13)</f>
        <v>18.290900000000001</v>
      </c>
      <c r="D1023" s="63">
        <f>18.3038 * CHOOSE(CONTROL!$C$22, $C$13, 100%, $E$13)</f>
        <v>18.303799999999999</v>
      </c>
      <c r="E1023" s="64">
        <f>21.7021 * CHOOSE(CONTROL!$C$22, $C$13, 100%, $E$13)</f>
        <v>21.702100000000002</v>
      </c>
      <c r="F1023" s="64">
        <f>21.7021 * CHOOSE(CONTROL!$C$22, $C$13, 100%, $E$13)</f>
        <v>21.702100000000002</v>
      </c>
      <c r="G1023" s="64">
        <f>21.7022 * CHOOSE(CONTROL!$C$22, $C$13, 100%, $E$13)</f>
        <v>21.702200000000001</v>
      </c>
      <c r="H1023" s="64">
        <f>34.7926* CHOOSE(CONTROL!$C$22, $C$13, 100%, $E$13)</f>
        <v>34.7926</v>
      </c>
      <c r="I1023" s="64">
        <f>34.7928 * CHOOSE(CONTROL!$C$22, $C$13, 100%, $E$13)</f>
        <v>34.7928</v>
      </c>
      <c r="J1023" s="64">
        <f>21.7021 * CHOOSE(CONTROL!$C$22, $C$13, 100%, $E$13)</f>
        <v>21.702100000000002</v>
      </c>
      <c r="K1023" s="64">
        <f>21.7022 * CHOOSE(CONTROL!$C$22, $C$13, 100%, $E$13)</f>
        <v>21.702200000000001</v>
      </c>
    </row>
    <row r="1024" spans="1:11" ht="15">
      <c r="A1024" s="13">
        <v>72806</v>
      </c>
      <c r="B1024" s="63">
        <f>18.2909 * CHOOSE(CONTROL!$C$22, $C$13, 100%, $E$13)</f>
        <v>18.290900000000001</v>
      </c>
      <c r="C1024" s="63">
        <f>18.2909 * CHOOSE(CONTROL!$C$22, $C$13, 100%, $E$13)</f>
        <v>18.290900000000001</v>
      </c>
      <c r="D1024" s="63">
        <f>18.3167 * CHOOSE(CONTROL!$C$22, $C$13, 100%, $E$13)</f>
        <v>18.316700000000001</v>
      </c>
      <c r="E1024" s="64">
        <f>21.777 * CHOOSE(CONTROL!$C$22, $C$13, 100%, $E$13)</f>
        <v>21.777000000000001</v>
      </c>
      <c r="F1024" s="64">
        <f>21.777 * CHOOSE(CONTROL!$C$22, $C$13, 100%, $E$13)</f>
        <v>21.777000000000001</v>
      </c>
      <c r="G1024" s="64">
        <f>21.7786 * CHOOSE(CONTROL!$C$22, $C$13, 100%, $E$13)</f>
        <v>21.778600000000001</v>
      </c>
      <c r="H1024" s="64">
        <f>34.8651* CHOOSE(CONTROL!$C$22, $C$13, 100%, $E$13)</f>
        <v>34.865099999999998</v>
      </c>
      <c r="I1024" s="64">
        <f>34.8667 * CHOOSE(CONTROL!$C$22, $C$13, 100%, $E$13)</f>
        <v>34.866700000000002</v>
      </c>
      <c r="J1024" s="64">
        <f>21.777 * CHOOSE(CONTROL!$C$22, $C$13, 100%, $E$13)</f>
        <v>21.777000000000001</v>
      </c>
      <c r="K1024" s="64">
        <f>21.7786 * CHOOSE(CONTROL!$C$22, $C$13, 100%, $E$13)</f>
        <v>21.778600000000001</v>
      </c>
    </row>
    <row r="1025" spans="1:11" ht="15">
      <c r="A1025" s="13">
        <v>72837</v>
      </c>
      <c r="B1025" s="63">
        <f>18.297 * CHOOSE(CONTROL!$C$22, $C$13, 100%, $E$13)</f>
        <v>18.297000000000001</v>
      </c>
      <c r="C1025" s="63">
        <f>18.297 * CHOOSE(CONTROL!$C$22, $C$13, 100%, $E$13)</f>
        <v>18.297000000000001</v>
      </c>
      <c r="D1025" s="63">
        <f>18.3228 * CHOOSE(CONTROL!$C$22, $C$13, 100%, $E$13)</f>
        <v>18.322800000000001</v>
      </c>
      <c r="E1025" s="64">
        <f>21.7063 * CHOOSE(CONTROL!$C$22, $C$13, 100%, $E$13)</f>
        <v>21.706299999999999</v>
      </c>
      <c r="F1025" s="64">
        <f>21.7063 * CHOOSE(CONTROL!$C$22, $C$13, 100%, $E$13)</f>
        <v>21.706299999999999</v>
      </c>
      <c r="G1025" s="64">
        <f>21.7079 * CHOOSE(CONTROL!$C$22, $C$13, 100%, $E$13)</f>
        <v>21.707899999999999</v>
      </c>
      <c r="H1025" s="64">
        <f>34.9377* CHOOSE(CONTROL!$C$22, $C$13, 100%, $E$13)</f>
        <v>34.9377</v>
      </c>
      <c r="I1025" s="64">
        <f>34.9394 * CHOOSE(CONTROL!$C$22, $C$13, 100%, $E$13)</f>
        <v>34.939399999999999</v>
      </c>
      <c r="J1025" s="64">
        <f>21.7063 * CHOOSE(CONTROL!$C$22, $C$13, 100%, $E$13)</f>
        <v>21.706299999999999</v>
      </c>
      <c r="K1025" s="64">
        <f>21.7079 * CHOOSE(CONTROL!$C$22, $C$13, 100%, $E$13)</f>
        <v>21.707899999999999</v>
      </c>
    </row>
    <row r="1026" spans="1:11" ht="15">
      <c r="A1026" s="13">
        <v>72867</v>
      </c>
      <c r="B1026" s="63">
        <f>18.5815 * CHOOSE(CONTROL!$C$22, $C$13, 100%, $E$13)</f>
        <v>18.581499999999998</v>
      </c>
      <c r="C1026" s="63">
        <f>18.5815 * CHOOSE(CONTROL!$C$22, $C$13, 100%, $E$13)</f>
        <v>18.581499999999998</v>
      </c>
      <c r="D1026" s="63">
        <f>18.6072 * CHOOSE(CONTROL!$C$22, $C$13, 100%, $E$13)</f>
        <v>18.607199999999999</v>
      </c>
      <c r="E1026" s="64">
        <f>22.1168 * CHOOSE(CONTROL!$C$22, $C$13, 100%, $E$13)</f>
        <v>22.116800000000001</v>
      </c>
      <c r="F1026" s="64">
        <f>22.1168 * CHOOSE(CONTROL!$C$22, $C$13, 100%, $E$13)</f>
        <v>22.116800000000001</v>
      </c>
      <c r="G1026" s="64">
        <f>22.1185 * CHOOSE(CONTROL!$C$22, $C$13, 100%, $E$13)</f>
        <v>22.118500000000001</v>
      </c>
      <c r="H1026" s="64">
        <f>35.0105* CHOOSE(CONTROL!$C$22, $C$13, 100%, $E$13)</f>
        <v>35.0105</v>
      </c>
      <c r="I1026" s="64">
        <f>35.0122 * CHOOSE(CONTROL!$C$22, $C$13, 100%, $E$13)</f>
        <v>35.0122</v>
      </c>
      <c r="J1026" s="64">
        <f>22.1168 * CHOOSE(CONTROL!$C$22, $C$13, 100%, $E$13)</f>
        <v>22.116800000000001</v>
      </c>
      <c r="K1026" s="64">
        <f>22.1185 * CHOOSE(CONTROL!$C$22, $C$13, 100%, $E$13)</f>
        <v>22.118500000000001</v>
      </c>
    </row>
    <row r="1027" spans="1:11" ht="15">
      <c r="A1027" s="13">
        <v>72898</v>
      </c>
      <c r="B1027" s="63">
        <f>18.5881 * CHOOSE(CONTROL!$C$22, $C$13, 100%, $E$13)</f>
        <v>18.588100000000001</v>
      </c>
      <c r="C1027" s="63">
        <f>18.5881 * CHOOSE(CONTROL!$C$22, $C$13, 100%, $E$13)</f>
        <v>18.588100000000001</v>
      </c>
      <c r="D1027" s="63">
        <f>18.6139 * CHOOSE(CONTROL!$C$22, $C$13, 100%, $E$13)</f>
        <v>18.613900000000001</v>
      </c>
      <c r="E1027" s="64">
        <f>21.8967 * CHOOSE(CONTROL!$C$22, $C$13, 100%, $E$13)</f>
        <v>21.896699999999999</v>
      </c>
      <c r="F1027" s="64">
        <f>21.8967 * CHOOSE(CONTROL!$C$22, $C$13, 100%, $E$13)</f>
        <v>21.896699999999999</v>
      </c>
      <c r="G1027" s="64">
        <f>21.8983 * CHOOSE(CONTROL!$C$22, $C$13, 100%, $E$13)</f>
        <v>21.898299999999999</v>
      </c>
      <c r="H1027" s="64">
        <f>35.0835* CHOOSE(CONTROL!$C$22, $C$13, 100%, $E$13)</f>
        <v>35.083500000000001</v>
      </c>
      <c r="I1027" s="64">
        <f>35.0851 * CHOOSE(CONTROL!$C$22, $C$13, 100%, $E$13)</f>
        <v>35.085099999999997</v>
      </c>
      <c r="J1027" s="64">
        <f>21.8967 * CHOOSE(CONTROL!$C$22, $C$13, 100%, $E$13)</f>
        <v>21.896699999999999</v>
      </c>
      <c r="K1027" s="64">
        <f>21.8983 * CHOOSE(CONTROL!$C$22, $C$13, 100%, $E$13)</f>
        <v>21.898299999999999</v>
      </c>
    </row>
    <row r="1028" spans="1:11" ht="15">
      <c r="A1028" s="13">
        <v>72929</v>
      </c>
      <c r="B1028" s="63">
        <f>18.5851 * CHOOSE(CONTROL!$C$22, $C$13, 100%, $E$13)</f>
        <v>18.585100000000001</v>
      </c>
      <c r="C1028" s="63">
        <f>18.5851 * CHOOSE(CONTROL!$C$22, $C$13, 100%, $E$13)</f>
        <v>18.585100000000001</v>
      </c>
      <c r="D1028" s="63">
        <f>18.6109 * CHOOSE(CONTROL!$C$22, $C$13, 100%, $E$13)</f>
        <v>18.610900000000001</v>
      </c>
      <c r="E1028" s="64">
        <f>21.8696 * CHOOSE(CONTROL!$C$22, $C$13, 100%, $E$13)</f>
        <v>21.869599999999998</v>
      </c>
      <c r="F1028" s="64">
        <f>21.8696 * CHOOSE(CONTROL!$C$22, $C$13, 100%, $E$13)</f>
        <v>21.869599999999998</v>
      </c>
      <c r="G1028" s="64">
        <f>21.8712 * CHOOSE(CONTROL!$C$22, $C$13, 100%, $E$13)</f>
        <v>21.871200000000002</v>
      </c>
      <c r="H1028" s="64">
        <f>35.1565* CHOOSE(CONTROL!$C$22, $C$13, 100%, $E$13)</f>
        <v>35.156500000000001</v>
      </c>
      <c r="I1028" s="64">
        <f>35.1582 * CHOOSE(CONTROL!$C$22, $C$13, 100%, $E$13)</f>
        <v>35.158200000000001</v>
      </c>
      <c r="J1028" s="64">
        <f>21.8696 * CHOOSE(CONTROL!$C$22, $C$13, 100%, $E$13)</f>
        <v>21.869599999999998</v>
      </c>
      <c r="K1028" s="64">
        <f>21.8712 * CHOOSE(CONTROL!$C$22, $C$13, 100%, $E$13)</f>
        <v>21.871200000000002</v>
      </c>
    </row>
    <row r="1029" spans="1:11" ht="15">
      <c r="A1029" s="13">
        <v>72959</v>
      </c>
      <c r="B1029" s="63">
        <f>18.6278 * CHOOSE(CONTROL!$C$22, $C$13, 100%, $E$13)</f>
        <v>18.627800000000001</v>
      </c>
      <c r="C1029" s="63">
        <f>18.6278 * CHOOSE(CONTROL!$C$22, $C$13, 100%, $E$13)</f>
        <v>18.627800000000001</v>
      </c>
      <c r="D1029" s="63">
        <f>18.6407 * CHOOSE(CONTROL!$C$22, $C$13, 100%, $E$13)</f>
        <v>18.640699999999999</v>
      </c>
      <c r="E1029" s="64">
        <f>21.9561 * CHOOSE(CONTROL!$C$22, $C$13, 100%, $E$13)</f>
        <v>21.956099999999999</v>
      </c>
      <c r="F1029" s="64">
        <f>21.9561 * CHOOSE(CONTROL!$C$22, $C$13, 100%, $E$13)</f>
        <v>21.956099999999999</v>
      </c>
      <c r="G1029" s="64">
        <f>21.9563 * CHOOSE(CONTROL!$C$22, $C$13, 100%, $E$13)</f>
        <v>21.956299999999999</v>
      </c>
      <c r="H1029" s="64">
        <f>35.2298* CHOOSE(CONTROL!$C$22, $C$13, 100%, $E$13)</f>
        <v>35.229799999999997</v>
      </c>
      <c r="I1029" s="64">
        <f>35.23 * CHOOSE(CONTROL!$C$22, $C$13, 100%, $E$13)</f>
        <v>35.229999999999997</v>
      </c>
      <c r="J1029" s="64">
        <f>21.9561 * CHOOSE(CONTROL!$C$22, $C$13, 100%, $E$13)</f>
        <v>21.956099999999999</v>
      </c>
      <c r="K1029" s="64">
        <f>21.9563 * CHOOSE(CONTROL!$C$22, $C$13, 100%, $E$13)</f>
        <v>21.956299999999999</v>
      </c>
    </row>
    <row r="1030" spans="1:11" ht="15">
      <c r="A1030" s="13">
        <v>72990</v>
      </c>
      <c r="B1030" s="63">
        <f>18.6308 * CHOOSE(CONTROL!$C$22, $C$13, 100%, $E$13)</f>
        <v>18.630800000000001</v>
      </c>
      <c r="C1030" s="63">
        <f>18.6308 * CHOOSE(CONTROL!$C$22, $C$13, 100%, $E$13)</f>
        <v>18.630800000000001</v>
      </c>
      <c r="D1030" s="63">
        <f>18.6437 * CHOOSE(CONTROL!$C$22, $C$13, 100%, $E$13)</f>
        <v>18.643699999999999</v>
      </c>
      <c r="E1030" s="64">
        <f>22.0082 * CHOOSE(CONTROL!$C$22, $C$13, 100%, $E$13)</f>
        <v>22.008199999999999</v>
      </c>
      <c r="F1030" s="64">
        <f>22.0082 * CHOOSE(CONTROL!$C$22, $C$13, 100%, $E$13)</f>
        <v>22.008199999999999</v>
      </c>
      <c r="G1030" s="64">
        <f>22.0083 * CHOOSE(CONTROL!$C$22, $C$13, 100%, $E$13)</f>
        <v>22.008299999999998</v>
      </c>
      <c r="H1030" s="64">
        <f>35.3032* CHOOSE(CONTROL!$C$22, $C$13, 100%, $E$13)</f>
        <v>35.303199999999997</v>
      </c>
      <c r="I1030" s="64">
        <f>35.3034 * CHOOSE(CONTROL!$C$22, $C$13, 100%, $E$13)</f>
        <v>35.303400000000003</v>
      </c>
      <c r="J1030" s="64">
        <f>22.0082 * CHOOSE(CONTROL!$C$22, $C$13, 100%, $E$13)</f>
        <v>22.008199999999999</v>
      </c>
      <c r="K1030" s="64">
        <f>22.0083 * CHOOSE(CONTROL!$C$22, $C$13, 100%, $E$13)</f>
        <v>22.008299999999998</v>
      </c>
    </row>
    <row r="1031" spans="1:11" ht="15">
      <c r="A1031" s="13">
        <v>73020</v>
      </c>
      <c r="B1031" s="63">
        <f>18.6308 * CHOOSE(CONTROL!$C$22, $C$13, 100%, $E$13)</f>
        <v>18.630800000000001</v>
      </c>
      <c r="C1031" s="63">
        <f>18.6308 * CHOOSE(CONTROL!$C$22, $C$13, 100%, $E$13)</f>
        <v>18.630800000000001</v>
      </c>
      <c r="D1031" s="63">
        <f>18.6437 * CHOOSE(CONTROL!$C$22, $C$13, 100%, $E$13)</f>
        <v>18.643699999999999</v>
      </c>
      <c r="E1031" s="64">
        <f>21.8833 * CHOOSE(CONTROL!$C$22, $C$13, 100%, $E$13)</f>
        <v>21.883299999999998</v>
      </c>
      <c r="F1031" s="64">
        <f>21.8833 * CHOOSE(CONTROL!$C$22, $C$13, 100%, $E$13)</f>
        <v>21.883299999999998</v>
      </c>
      <c r="G1031" s="64">
        <f>21.8834 * CHOOSE(CONTROL!$C$22, $C$13, 100%, $E$13)</f>
        <v>21.883400000000002</v>
      </c>
      <c r="H1031" s="64">
        <f>35.3767* CHOOSE(CONTROL!$C$22, $C$13, 100%, $E$13)</f>
        <v>35.3767</v>
      </c>
      <c r="I1031" s="64">
        <f>35.3769 * CHOOSE(CONTROL!$C$22, $C$13, 100%, $E$13)</f>
        <v>35.376899999999999</v>
      </c>
      <c r="J1031" s="64">
        <f>21.8833 * CHOOSE(CONTROL!$C$22, $C$13, 100%, $E$13)</f>
        <v>21.883299999999998</v>
      </c>
      <c r="K1031" s="64">
        <f>21.8834 * CHOOSE(CONTROL!$C$22, $C$13, 100%, $E$13)</f>
        <v>21.883400000000002</v>
      </c>
    </row>
    <row r="1032" spans="1:11" ht="15">
      <c r="A1032" s="13">
        <v>73051</v>
      </c>
      <c r="B1032" s="63">
        <f>18.5326 * CHOOSE(CONTROL!$C$22, $C$13, 100%, $E$13)</f>
        <v>18.532599999999999</v>
      </c>
      <c r="C1032" s="63">
        <f>18.5326 * CHOOSE(CONTROL!$C$22, $C$13, 100%, $E$13)</f>
        <v>18.532599999999999</v>
      </c>
      <c r="D1032" s="63">
        <f>18.5454 * CHOOSE(CONTROL!$C$22, $C$13, 100%, $E$13)</f>
        <v>18.545400000000001</v>
      </c>
      <c r="E1032" s="64">
        <f>21.8531 * CHOOSE(CONTROL!$C$22, $C$13, 100%, $E$13)</f>
        <v>21.853100000000001</v>
      </c>
      <c r="F1032" s="64">
        <f>21.8531 * CHOOSE(CONTROL!$C$22, $C$13, 100%, $E$13)</f>
        <v>21.853100000000001</v>
      </c>
      <c r="G1032" s="64">
        <f>21.8532 * CHOOSE(CONTROL!$C$22, $C$13, 100%, $E$13)</f>
        <v>21.853200000000001</v>
      </c>
      <c r="H1032" s="64">
        <f>35.022* CHOOSE(CONTROL!$C$22, $C$13, 100%, $E$13)</f>
        <v>35.021999999999998</v>
      </c>
      <c r="I1032" s="64">
        <f>35.0221 * CHOOSE(CONTROL!$C$22, $C$13, 100%, $E$13)</f>
        <v>35.022100000000002</v>
      </c>
      <c r="J1032" s="64">
        <f>21.8531 * CHOOSE(CONTROL!$C$22, $C$13, 100%, $E$13)</f>
        <v>21.853100000000001</v>
      </c>
      <c r="K1032" s="64">
        <f>21.8532 * CHOOSE(CONTROL!$C$22, $C$13, 100%, $E$13)</f>
        <v>21.853200000000001</v>
      </c>
    </row>
    <row r="1033" spans="1:11" ht="15">
      <c r="A1033" s="13">
        <v>73082</v>
      </c>
      <c r="B1033" s="63">
        <f>18.5295 * CHOOSE(CONTROL!$C$22, $C$13, 100%, $E$13)</f>
        <v>18.529499999999999</v>
      </c>
      <c r="C1033" s="63">
        <f>18.5295 * CHOOSE(CONTROL!$C$22, $C$13, 100%, $E$13)</f>
        <v>18.529499999999999</v>
      </c>
      <c r="D1033" s="63">
        <f>18.5424 * CHOOSE(CONTROL!$C$22, $C$13, 100%, $E$13)</f>
        <v>18.542400000000001</v>
      </c>
      <c r="E1033" s="64">
        <f>21.6117 * CHOOSE(CONTROL!$C$22, $C$13, 100%, $E$13)</f>
        <v>21.611699999999999</v>
      </c>
      <c r="F1033" s="64">
        <f>21.6117 * CHOOSE(CONTROL!$C$22, $C$13, 100%, $E$13)</f>
        <v>21.611699999999999</v>
      </c>
      <c r="G1033" s="64">
        <f>21.6119 * CHOOSE(CONTROL!$C$22, $C$13, 100%, $E$13)</f>
        <v>21.611899999999999</v>
      </c>
      <c r="H1033" s="64">
        <f>35.0949* CHOOSE(CONTROL!$C$22, $C$13, 100%, $E$13)</f>
        <v>35.094900000000003</v>
      </c>
      <c r="I1033" s="64">
        <f>35.0951 * CHOOSE(CONTROL!$C$22, $C$13, 100%, $E$13)</f>
        <v>35.095100000000002</v>
      </c>
      <c r="J1033" s="64">
        <f>21.6117 * CHOOSE(CONTROL!$C$22, $C$13, 100%, $E$13)</f>
        <v>21.611699999999999</v>
      </c>
      <c r="K1033" s="64">
        <f>21.6119 * CHOOSE(CONTROL!$C$22, $C$13, 100%, $E$13)</f>
        <v>21.611899999999999</v>
      </c>
    </row>
    <row r="1034" spans="1:11" ht="15">
      <c r="A1034" s="13">
        <v>73110</v>
      </c>
      <c r="B1034" s="63">
        <f>18.5265 * CHOOSE(CONTROL!$C$22, $C$13, 100%, $E$13)</f>
        <v>18.526499999999999</v>
      </c>
      <c r="C1034" s="63">
        <f>18.5265 * CHOOSE(CONTROL!$C$22, $C$13, 100%, $E$13)</f>
        <v>18.526499999999999</v>
      </c>
      <c r="D1034" s="63">
        <f>18.5394 * CHOOSE(CONTROL!$C$22, $C$13, 100%, $E$13)</f>
        <v>18.539400000000001</v>
      </c>
      <c r="E1034" s="64">
        <f>21.7982 * CHOOSE(CONTROL!$C$22, $C$13, 100%, $E$13)</f>
        <v>21.798200000000001</v>
      </c>
      <c r="F1034" s="64">
        <f>21.7982 * CHOOSE(CONTROL!$C$22, $C$13, 100%, $E$13)</f>
        <v>21.798200000000001</v>
      </c>
      <c r="G1034" s="64">
        <f>21.7984 * CHOOSE(CONTROL!$C$22, $C$13, 100%, $E$13)</f>
        <v>21.798400000000001</v>
      </c>
      <c r="H1034" s="64">
        <f>35.168* CHOOSE(CONTROL!$C$22, $C$13, 100%, $E$13)</f>
        <v>35.167999999999999</v>
      </c>
      <c r="I1034" s="64">
        <f>35.1682 * CHOOSE(CONTROL!$C$22, $C$13, 100%, $E$13)</f>
        <v>35.168199999999999</v>
      </c>
      <c r="J1034" s="64">
        <f>21.7982 * CHOOSE(CONTROL!$C$22, $C$13, 100%, $E$13)</f>
        <v>21.798200000000001</v>
      </c>
      <c r="K1034" s="64">
        <f>21.7984 * CHOOSE(CONTROL!$C$22, $C$13, 100%, $E$13)</f>
        <v>21.798400000000001</v>
      </c>
    </row>
    <row r="1035" spans="1:11" ht="15">
      <c r="A1035" s="13">
        <v>73141</v>
      </c>
      <c r="B1035" s="63">
        <f>18.5365 * CHOOSE(CONTROL!$C$22, $C$13, 100%, $E$13)</f>
        <v>18.5365</v>
      </c>
      <c r="C1035" s="63">
        <f>18.5365 * CHOOSE(CONTROL!$C$22, $C$13, 100%, $E$13)</f>
        <v>18.5365</v>
      </c>
      <c r="D1035" s="63">
        <f>18.5493 * CHOOSE(CONTROL!$C$22, $C$13, 100%, $E$13)</f>
        <v>18.549299999999999</v>
      </c>
      <c r="E1035" s="64">
        <f>21.9965 * CHOOSE(CONTROL!$C$22, $C$13, 100%, $E$13)</f>
        <v>21.996500000000001</v>
      </c>
      <c r="F1035" s="64">
        <f>21.9965 * CHOOSE(CONTROL!$C$22, $C$13, 100%, $E$13)</f>
        <v>21.996500000000001</v>
      </c>
      <c r="G1035" s="64">
        <f>21.9967 * CHOOSE(CONTROL!$C$22, $C$13, 100%, $E$13)</f>
        <v>21.996700000000001</v>
      </c>
      <c r="H1035" s="64">
        <f>35.2413* CHOOSE(CONTROL!$C$22, $C$13, 100%, $E$13)</f>
        <v>35.241300000000003</v>
      </c>
      <c r="I1035" s="64">
        <f>35.2415 * CHOOSE(CONTROL!$C$22, $C$13, 100%, $E$13)</f>
        <v>35.241500000000002</v>
      </c>
      <c r="J1035" s="64">
        <f>21.9965 * CHOOSE(CONTROL!$C$22, $C$13, 100%, $E$13)</f>
        <v>21.996500000000001</v>
      </c>
      <c r="K1035" s="64">
        <f>21.9967 * CHOOSE(CONTROL!$C$22, $C$13, 100%, $E$13)</f>
        <v>21.996700000000001</v>
      </c>
    </row>
    <row r="1036" spans="1:11" ht="15">
      <c r="A1036" s="13">
        <v>73171</v>
      </c>
      <c r="B1036" s="63">
        <f>18.5365 * CHOOSE(CONTROL!$C$22, $C$13, 100%, $E$13)</f>
        <v>18.5365</v>
      </c>
      <c r="C1036" s="63">
        <f>18.5365 * CHOOSE(CONTROL!$C$22, $C$13, 100%, $E$13)</f>
        <v>18.5365</v>
      </c>
      <c r="D1036" s="63">
        <f>18.5622 * CHOOSE(CONTROL!$C$22, $C$13, 100%, $E$13)</f>
        <v>18.562200000000001</v>
      </c>
      <c r="E1036" s="64">
        <f>22.0725 * CHOOSE(CONTROL!$C$22, $C$13, 100%, $E$13)</f>
        <v>22.072500000000002</v>
      </c>
      <c r="F1036" s="64">
        <f>22.0725 * CHOOSE(CONTROL!$C$22, $C$13, 100%, $E$13)</f>
        <v>22.072500000000002</v>
      </c>
      <c r="G1036" s="64">
        <f>22.0741 * CHOOSE(CONTROL!$C$22, $C$13, 100%, $E$13)</f>
        <v>22.074100000000001</v>
      </c>
      <c r="H1036" s="64">
        <f>35.3147* CHOOSE(CONTROL!$C$22, $C$13, 100%, $E$13)</f>
        <v>35.314700000000002</v>
      </c>
      <c r="I1036" s="64">
        <f>35.3164 * CHOOSE(CONTROL!$C$22, $C$13, 100%, $E$13)</f>
        <v>35.316400000000002</v>
      </c>
      <c r="J1036" s="64">
        <f>22.0725 * CHOOSE(CONTROL!$C$22, $C$13, 100%, $E$13)</f>
        <v>22.072500000000002</v>
      </c>
      <c r="K1036" s="64">
        <f>22.0741 * CHOOSE(CONTROL!$C$22, $C$13, 100%, $E$13)</f>
        <v>22.074100000000001</v>
      </c>
    </row>
    <row r="1037" spans="1:11" ht="15">
      <c r="A1037" s="13">
        <v>73202</v>
      </c>
      <c r="B1037" s="63">
        <f>18.5425 * CHOOSE(CONTROL!$C$22, $C$13, 100%, $E$13)</f>
        <v>18.5425</v>
      </c>
      <c r="C1037" s="63">
        <f>18.5425 * CHOOSE(CONTROL!$C$22, $C$13, 100%, $E$13)</f>
        <v>18.5425</v>
      </c>
      <c r="D1037" s="63">
        <f>18.5683 * CHOOSE(CONTROL!$C$22, $C$13, 100%, $E$13)</f>
        <v>18.568300000000001</v>
      </c>
      <c r="E1037" s="64">
        <f>22.0007 * CHOOSE(CONTROL!$C$22, $C$13, 100%, $E$13)</f>
        <v>22.000699999999998</v>
      </c>
      <c r="F1037" s="64">
        <f>22.0007 * CHOOSE(CONTROL!$C$22, $C$13, 100%, $E$13)</f>
        <v>22.000699999999998</v>
      </c>
      <c r="G1037" s="64">
        <f>22.0024 * CHOOSE(CONTROL!$C$22, $C$13, 100%, $E$13)</f>
        <v>22.002400000000002</v>
      </c>
      <c r="H1037" s="64">
        <f>35.3883* CHOOSE(CONTROL!$C$22, $C$13, 100%, $E$13)</f>
        <v>35.388300000000001</v>
      </c>
      <c r="I1037" s="64">
        <f>35.3899 * CHOOSE(CONTROL!$C$22, $C$13, 100%, $E$13)</f>
        <v>35.389899999999997</v>
      </c>
      <c r="J1037" s="64">
        <f>22.0007 * CHOOSE(CONTROL!$C$22, $C$13, 100%, $E$13)</f>
        <v>22.000699999999998</v>
      </c>
      <c r="K1037" s="64">
        <f>22.0024 * CHOOSE(CONTROL!$C$22, $C$13, 100%, $E$13)</f>
        <v>22.002400000000002</v>
      </c>
    </row>
    <row r="1038" spans="1:11" ht="15">
      <c r="A1038" s="13">
        <v>73232</v>
      </c>
      <c r="B1038" s="63">
        <f>18.8307 * CHOOSE(CONTROL!$C$22, $C$13, 100%, $E$13)</f>
        <v>18.8307</v>
      </c>
      <c r="C1038" s="63">
        <f>18.8307 * CHOOSE(CONTROL!$C$22, $C$13, 100%, $E$13)</f>
        <v>18.8307</v>
      </c>
      <c r="D1038" s="63">
        <f>18.8564 * CHOOSE(CONTROL!$C$22, $C$13, 100%, $E$13)</f>
        <v>18.856400000000001</v>
      </c>
      <c r="E1038" s="64">
        <f>22.4167 * CHOOSE(CONTROL!$C$22, $C$13, 100%, $E$13)</f>
        <v>22.416699999999999</v>
      </c>
      <c r="F1038" s="64">
        <f>22.4167 * CHOOSE(CONTROL!$C$22, $C$13, 100%, $E$13)</f>
        <v>22.416699999999999</v>
      </c>
      <c r="G1038" s="64">
        <f>22.4184 * CHOOSE(CONTROL!$C$22, $C$13, 100%, $E$13)</f>
        <v>22.418399999999998</v>
      </c>
      <c r="H1038" s="64">
        <f>35.462* CHOOSE(CONTROL!$C$22, $C$13, 100%, $E$13)</f>
        <v>35.462000000000003</v>
      </c>
      <c r="I1038" s="64">
        <f>35.4637 * CHOOSE(CONTROL!$C$22, $C$13, 100%, $E$13)</f>
        <v>35.463700000000003</v>
      </c>
      <c r="J1038" s="64">
        <f>22.4167 * CHOOSE(CONTROL!$C$22, $C$13, 100%, $E$13)</f>
        <v>22.416699999999999</v>
      </c>
      <c r="K1038" s="64">
        <f>22.4184 * CHOOSE(CONTROL!$C$22, $C$13, 100%, $E$13)</f>
        <v>22.418399999999998</v>
      </c>
    </row>
    <row r="1039" spans="1:11" ht="15">
      <c r="A1039" s="13">
        <v>73263</v>
      </c>
      <c r="B1039" s="63">
        <f>18.8374 * CHOOSE(CONTROL!$C$22, $C$13, 100%, $E$13)</f>
        <v>18.837399999999999</v>
      </c>
      <c r="C1039" s="63">
        <f>18.8374 * CHOOSE(CONTROL!$C$22, $C$13, 100%, $E$13)</f>
        <v>18.837399999999999</v>
      </c>
      <c r="D1039" s="63">
        <f>18.8631 * CHOOSE(CONTROL!$C$22, $C$13, 100%, $E$13)</f>
        <v>18.863099999999999</v>
      </c>
      <c r="E1039" s="64">
        <f>22.1935 * CHOOSE(CONTROL!$C$22, $C$13, 100%, $E$13)</f>
        <v>22.1935</v>
      </c>
      <c r="F1039" s="64">
        <f>22.1935 * CHOOSE(CONTROL!$C$22, $C$13, 100%, $E$13)</f>
        <v>22.1935</v>
      </c>
      <c r="G1039" s="64">
        <f>22.1951 * CHOOSE(CONTROL!$C$22, $C$13, 100%, $E$13)</f>
        <v>22.1951</v>
      </c>
      <c r="H1039" s="64">
        <f>35.5359* CHOOSE(CONTROL!$C$22, $C$13, 100%, $E$13)</f>
        <v>35.535899999999998</v>
      </c>
      <c r="I1039" s="64">
        <f>35.5375 * CHOOSE(CONTROL!$C$22, $C$13, 100%, $E$13)</f>
        <v>35.537500000000001</v>
      </c>
      <c r="J1039" s="64">
        <f>22.1935 * CHOOSE(CONTROL!$C$22, $C$13, 100%, $E$13)</f>
        <v>22.1935</v>
      </c>
      <c r="K1039" s="64">
        <f>22.1951 * CHOOSE(CONTROL!$C$22, $C$13, 100%, $E$13)</f>
        <v>22.1951</v>
      </c>
    </row>
    <row r="1040" spans="1:11" ht="15">
      <c r="A1040" s="13">
        <v>73294</v>
      </c>
      <c r="B1040" s="63">
        <f>18.8343 * CHOOSE(CONTROL!$C$22, $C$13, 100%, $E$13)</f>
        <v>18.834299999999999</v>
      </c>
      <c r="C1040" s="63">
        <f>18.8343 * CHOOSE(CONTROL!$C$22, $C$13, 100%, $E$13)</f>
        <v>18.834299999999999</v>
      </c>
      <c r="D1040" s="63">
        <f>18.8601 * CHOOSE(CONTROL!$C$22, $C$13, 100%, $E$13)</f>
        <v>18.860099999999999</v>
      </c>
      <c r="E1040" s="64">
        <f>22.1661 * CHOOSE(CONTROL!$C$22, $C$13, 100%, $E$13)</f>
        <v>22.1661</v>
      </c>
      <c r="F1040" s="64">
        <f>22.1661 * CHOOSE(CONTROL!$C$22, $C$13, 100%, $E$13)</f>
        <v>22.1661</v>
      </c>
      <c r="G1040" s="64">
        <f>22.1677 * CHOOSE(CONTROL!$C$22, $C$13, 100%, $E$13)</f>
        <v>22.1677</v>
      </c>
      <c r="H1040" s="64">
        <f>35.6099* CHOOSE(CONTROL!$C$22, $C$13, 100%, $E$13)</f>
        <v>35.609900000000003</v>
      </c>
      <c r="I1040" s="64">
        <f>35.6116 * CHOOSE(CONTROL!$C$22, $C$13, 100%, $E$13)</f>
        <v>35.611600000000003</v>
      </c>
      <c r="J1040" s="64">
        <f>22.1661 * CHOOSE(CONTROL!$C$22, $C$13, 100%, $E$13)</f>
        <v>22.1661</v>
      </c>
      <c r="K1040" s="64">
        <f>22.1677 * CHOOSE(CONTROL!$C$22, $C$13, 100%, $E$13)</f>
        <v>22.1677</v>
      </c>
    </row>
    <row r="1041" spans="1:11" ht="15">
      <c r="A1041" s="13">
        <v>73324</v>
      </c>
      <c r="B1041" s="63">
        <f>18.8778 * CHOOSE(CONTROL!$C$22, $C$13, 100%, $E$13)</f>
        <v>18.877800000000001</v>
      </c>
      <c r="C1041" s="63">
        <f>18.8778 * CHOOSE(CONTROL!$C$22, $C$13, 100%, $E$13)</f>
        <v>18.877800000000001</v>
      </c>
      <c r="D1041" s="63">
        <f>18.8907 * CHOOSE(CONTROL!$C$22, $C$13, 100%, $E$13)</f>
        <v>18.890699999999999</v>
      </c>
      <c r="E1041" s="64">
        <f>22.2539 * CHOOSE(CONTROL!$C$22, $C$13, 100%, $E$13)</f>
        <v>22.253900000000002</v>
      </c>
      <c r="F1041" s="64">
        <f>22.2539 * CHOOSE(CONTROL!$C$22, $C$13, 100%, $E$13)</f>
        <v>22.253900000000002</v>
      </c>
      <c r="G1041" s="64">
        <f>22.2541 * CHOOSE(CONTROL!$C$22, $C$13, 100%, $E$13)</f>
        <v>22.254100000000001</v>
      </c>
      <c r="H1041" s="64">
        <f>35.6841* CHOOSE(CONTROL!$C$22, $C$13, 100%, $E$13)</f>
        <v>35.684100000000001</v>
      </c>
      <c r="I1041" s="64">
        <f>35.6843 * CHOOSE(CONTROL!$C$22, $C$13, 100%, $E$13)</f>
        <v>35.6843</v>
      </c>
      <c r="J1041" s="64">
        <f>22.2539 * CHOOSE(CONTROL!$C$22, $C$13, 100%, $E$13)</f>
        <v>22.253900000000002</v>
      </c>
      <c r="K1041" s="64">
        <f>22.2541 * CHOOSE(CONTROL!$C$22, $C$13, 100%, $E$13)</f>
        <v>22.254100000000001</v>
      </c>
    </row>
    <row r="1042" spans="1:11" ht="15">
      <c r="A1042" s="13">
        <v>73355</v>
      </c>
      <c r="B1042" s="63">
        <f>18.8808 * CHOOSE(CONTROL!$C$22, $C$13, 100%, $E$13)</f>
        <v>18.880800000000001</v>
      </c>
      <c r="C1042" s="63">
        <f>18.8808 * CHOOSE(CONTROL!$C$22, $C$13, 100%, $E$13)</f>
        <v>18.880800000000001</v>
      </c>
      <c r="D1042" s="63">
        <f>18.8937 * CHOOSE(CONTROL!$C$22, $C$13, 100%, $E$13)</f>
        <v>18.893699999999999</v>
      </c>
      <c r="E1042" s="64">
        <f>22.3067 * CHOOSE(CONTROL!$C$22, $C$13, 100%, $E$13)</f>
        <v>22.306699999999999</v>
      </c>
      <c r="F1042" s="64">
        <f>22.3067 * CHOOSE(CONTROL!$C$22, $C$13, 100%, $E$13)</f>
        <v>22.306699999999999</v>
      </c>
      <c r="G1042" s="64">
        <f>22.3069 * CHOOSE(CONTROL!$C$22, $C$13, 100%, $E$13)</f>
        <v>22.306899999999999</v>
      </c>
      <c r="H1042" s="64">
        <f>35.7585* CHOOSE(CONTROL!$C$22, $C$13, 100%, $E$13)</f>
        <v>35.758499999999998</v>
      </c>
      <c r="I1042" s="64">
        <f>35.7586 * CHOOSE(CONTROL!$C$22, $C$13, 100%, $E$13)</f>
        <v>35.758600000000001</v>
      </c>
      <c r="J1042" s="64">
        <f>22.3067 * CHOOSE(CONTROL!$C$22, $C$13, 100%, $E$13)</f>
        <v>22.306699999999999</v>
      </c>
      <c r="K1042" s="64">
        <f>22.3069 * CHOOSE(CONTROL!$C$22, $C$13, 100%, $E$13)</f>
        <v>22.306899999999999</v>
      </c>
    </row>
    <row r="1043" spans="1:11" ht="15">
      <c r="A1043" s="13">
        <v>73385</v>
      </c>
      <c r="B1043" s="63">
        <f>18.8808 * CHOOSE(CONTROL!$C$22, $C$13, 100%, $E$13)</f>
        <v>18.880800000000001</v>
      </c>
      <c r="C1043" s="63">
        <f>18.8808 * CHOOSE(CONTROL!$C$22, $C$13, 100%, $E$13)</f>
        <v>18.880800000000001</v>
      </c>
      <c r="D1043" s="63">
        <f>18.8937 * CHOOSE(CONTROL!$C$22, $C$13, 100%, $E$13)</f>
        <v>18.893699999999999</v>
      </c>
      <c r="E1043" s="64">
        <f>22.1801 * CHOOSE(CONTROL!$C$22, $C$13, 100%, $E$13)</f>
        <v>22.180099999999999</v>
      </c>
      <c r="F1043" s="64">
        <f>22.1801 * CHOOSE(CONTROL!$C$22, $C$13, 100%, $E$13)</f>
        <v>22.180099999999999</v>
      </c>
      <c r="G1043" s="64">
        <f>22.1803 * CHOOSE(CONTROL!$C$22, $C$13, 100%, $E$13)</f>
        <v>22.180299999999999</v>
      </c>
      <c r="H1043" s="64">
        <f>35.833* CHOOSE(CONTROL!$C$22, $C$13, 100%, $E$13)</f>
        <v>35.832999999999998</v>
      </c>
      <c r="I1043" s="64">
        <f>35.8331 * CHOOSE(CONTROL!$C$22, $C$13, 100%, $E$13)</f>
        <v>35.833100000000002</v>
      </c>
      <c r="J1043" s="64">
        <f>22.1801 * CHOOSE(CONTROL!$C$22, $C$13, 100%, $E$13)</f>
        <v>22.180099999999999</v>
      </c>
      <c r="K1043" s="64">
        <f>22.1803 * CHOOSE(CONTROL!$C$22, $C$13, 100%, $E$13)</f>
        <v>22.180299999999999</v>
      </c>
    </row>
    <row r="1044" spans="1:11" ht="15">
      <c r="A1044" s="10"/>
      <c r="B1044" s="63"/>
      <c r="C1044" s="63"/>
      <c r="D1044" s="63"/>
      <c r="E1044" s="64"/>
      <c r="F1044" s="64"/>
      <c r="G1044" s="64"/>
      <c r="H1044" s="64"/>
      <c r="I1044" s="64"/>
      <c r="J1044" s="64"/>
      <c r="K1044" s="64"/>
    </row>
    <row r="1045" spans="1:11" ht="15">
      <c r="A1045" s="3">
        <v>2015</v>
      </c>
      <c r="B1045" s="63">
        <f t="shared" ref="B1045:K1045" si="0">AVERAGE(B17:B23)</f>
        <v>2.2334857142857145</v>
      </c>
      <c r="C1045" s="63">
        <f t="shared" si="0"/>
        <v>2.2334857142857145</v>
      </c>
      <c r="D1045" s="63">
        <f t="shared" si="0"/>
        <v>2.2537285714285713</v>
      </c>
      <c r="E1045" s="63">
        <f t="shared" si="0"/>
        <v>3.317185714285714</v>
      </c>
      <c r="F1045" s="63">
        <f t="shared" si="0"/>
        <v>4.0599999999999996</v>
      </c>
      <c r="G1045" s="63">
        <f t="shared" si="0"/>
        <v>4.0610000000000008</v>
      </c>
      <c r="H1045" s="63">
        <f t="shared" si="0"/>
        <v>5.6835714285714278</v>
      </c>
      <c r="I1045" s="63">
        <f t="shared" si="0"/>
        <v>5.6846000000000005</v>
      </c>
      <c r="J1045" s="63">
        <f t="shared" si="0"/>
        <v>3.317185714285714</v>
      </c>
      <c r="K1045" s="63">
        <f t="shared" si="0"/>
        <v>3.3182000000000005</v>
      </c>
    </row>
    <row r="1046" spans="1:11" ht="15">
      <c r="A1046" s="3">
        <v>2016</v>
      </c>
      <c r="B1046" s="63">
        <f t="shared" ref="B1046:K1046" si="1">AVERAGE(B24:B35)</f>
        <v>2.6408833333333335</v>
      </c>
      <c r="C1046" s="63">
        <f t="shared" si="1"/>
        <v>2.6408833333333335</v>
      </c>
      <c r="D1046" s="63">
        <f t="shared" si="1"/>
        <v>2.6591083333333336</v>
      </c>
      <c r="E1046" s="63">
        <f t="shared" si="1"/>
        <v>3.361966666666667</v>
      </c>
      <c r="F1046" s="63">
        <f t="shared" si="1"/>
        <v>4.0214166666666662</v>
      </c>
      <c r="G1046" s="63">
        <f t="shared" si="1"/>
        <v>4.0222000000000007</v>
      </c>
      <c r="H1046" s="63">
        <f t="shared" si="1"/>
        <v>5.7971666666666666</v>
      </c>
      <c r="I1046" s="63">
        <f t="shared" si="1"/>
        <v>5.7979499999999993</v>
      </c>
      <c r="J1046" s="63">
        <f t="shared" si="1"/>
        <v>3.361966666666667</v>
      </c>
      <c r="K1046" s="63">
        <f t="shared" si="1"/>
        <v>3.362766666666666</v>
      </c>
    </row>
    <row r="1047" spans="1:11" ht="15">
      <c r="A1047" s="3">
        <v>2017</v>
      </c>
      <c r="B1047" s="63">
        <f t="shared" ref="B1047:K1047" si="2">AVERAGE(B36:B47)</f>
        <v>2.7329833333333333</v>
      </c>
      <c r="C1047" s="63">
        <f t="shared" si="2"/>
        <v>2.7329833333333333</v>
      </c>
      <c r="D1047" s="63">
        <f t="shared" si="2"/>
        <v>2.7512249999999998</v>
      </c>
      <c r="E1047" s="63">
        <f t="shared" si="2"/>
        <v>3.5132250000000003</v>
      </c>
      <c r="F1047" s="63">
        <f t="shared" si="2"/>
        <v>3.5132250000000003</v>
      </c>
      <c r="G1047" s="63">
        <f t="shared" si="2"/>
        <v>3.514016666666667</v>
      </c>
      <c r="H1047" s="63">
        <f t="shared" si="2"/>
        <v>5.943766666666666</v>
      </c>
      <c r="I1047" s="63">
        <f t="shared" si="2"/>
        <v>5.9445416666666659</v>
      </c>
      <c r="J1047" s="63">
        <f t="shared" si="2"/>
        <v>3.5132250000000003</v>
      </c>
      <c r="K1047" s="63">
        <f t="shared" si="2"/>
        <v>3.514016666666667</v>
      </c>
    </row>
    <row r="1048" spans="1:11" ht="15">
      <c r="A1048" s="3">
        <v>2018</v>
      </c>
      <c r="B1048" s="63">
        <f t="shared" ref="B1048:K1048" si="3">AVERAGE(B48:B59)</f>
        <v>2.8547750000000001</v>
      </c>
      <c r="C1048" s="63">
        <f t="shared" si="3"/>
        <v>2.8547750000000001</v>
      </c>
      <c r="D1048" s="63">
        <f t="shared" si="3"/>
        <v>2.8730333333333338</v>
      </c>
      <c r="E1048" s="63">
        <f t="shared" si="3"/>
        <v>3.3498833333333331</v>
      </c>
      <c r="F1048" s="63">
        <f t="shared" si="3"/>
        <v>3.3498833333333331</v>
      </c>
      <c r="G1048" s="63">
        <f t="shared" si="3"/>
        <v>3.3506583333333331</v>
      </c>
      <c r="H1048" s="63">
        <f t="shared" si="3"/>
        <v>6.0940916666666674</v>
      </c>
      <c r="I1048" s="63">
        <f t="shared" si="3"/>
        <v>6.0948583333333337</v>
      </c>
      <c r="J1048" s="63">
        <f t="shared" si="3"/>
        <v>3.3498833333333331</v>
      </c>
      <c r="K1048" s="63">
        <f t="shared" si="3"/>
        <v>3.3506583333333331</v>
      </c>
    </row>
    <row r="1049" spans="1:11" ht="15">
      <c r="A1049" s="3">
        <v>2019</v>
      </c>
      <c r="B1049" s="63">
        <f t="shared" ref="B1049:K1049" si="4">AVERAGE(B60:B71)</f>
        <v>2.9488833333333333</v>
      </c>
      <c r="C1049" s="63">
        <f t="shared" si="4"/>
        <v>2.9488833333333333</v>
      </c>
      <c r="D1049" s="63">
        <f t="shared" si="4"/>
        <v>2.9671333333333334</v>
      </c>
      <c r="E1049" s="63">
        <f t="shared" si="4"/>
        <v>3.4520083333333336</v>
      </c>
      <c r="F1049" s="63">
        <f t="shared" si="4"/>
        <v>3.4520083333333336</v>
      </c>
      <c r="G1049" s="63">
        <f t="shared" si="4"/>
        <v>3.4527999999999999</v>
      </c>
      <c r="H1049" s="63">
        <f t="shared" si="4"/>
        <v>6.2481916666666679</v>
      </c>
      <c r="I1049" s="63">
        <f t="shared" si="4"/>
        <v>6.2489916666666661</v>
      </c>
      <c r="J1049" s="63">
        <f t="shared" si="4"/>
        <v>3.4520083333333336</v>
      </c>
      <c r="K1049" s="63">
        <f t="shared" si="4"/>
        <v>3.4527999999999999</v>
      </c>
    </row>
    <row r="1050" spans="1:11" ht="15">
      <c r="A1050" s="3">
        <v>2020</v>
      </c>
      <c r="B1050" s="63">
        <f t="shared" ref="B1050:K1050" si="5">AVERAGE(B72:B83)</f>
        <v>3.0247416666666669</v>
      </c>
      <c r="C1050" s="63">
        <f t="shared" si="5"/>
        <v>3.0247416666666669</v>
      </c>
      <c r="D1050" s="63">
        <f t="shared" si="5"/>
        <v>3.0429583333333334</v>
      </c>
      <c r="E1050" s="63">
        <f t="shared" si="5"/>
        <v>3.5770166666666667</v>
      </c>
      <c r="F1050" s="63">
        <f t="shared" si="5"/>
        <v>3.5770166666666667</v>
      </c>
      <c r="G1050" s="63">
        <f t="shared" si="5"/>
        <v>3.5778166666666666</v>
      </c>
      <c r="H1050" s="63">
        <f t="shared" si="5"/>
        <v>6.4061999999999992</v>
      </c>
      <c r="I1050" s="63">
        <f t="shared" si="5"/>
        <v>6.4069833333333337</v>
      </c>
      <c r="J1050" s="63">
        <f t="shared" si="5"/>
        <v>3.5770166666666667</v>
      </c>
      <c r="K1050" s="63">
        <f t="shared" si="5"/>
        <v>3.5778166666666666</v>
      </c>
    </row>
    <row r="1051" spans="1:11" ht="15">
      <c r="A1051" s="3">
        <v>2021</v>
      </c>
      <c r="B1051" s="63">
        <f t="shared" ref="B1051:K1051" si="6">AVERAGE(B84:B95)</f>
        <v>3.1064250000000002</v>
      </c>
      <c r="C1051" s="63">
        <f t="shared" si="6"/>
        <v>3.1064250000000002</v>
      </c>
      <c r="D1051" s="63">
        <f t="shared" si="6"/>
        <v>3.1246666666666663</v>
      </c>
      <c r="E1051" s="63">
        <f t="shared" si="6"/>
        <v>3.659675</v>
      </c>
      <c r="F1051" s="63">
        <f t="shared" si="6"/>
        <v>3.659675</v>
      </c>
      <c r="G1051" s="63">
        <f t="shared" si="6"/>
        <v>3.6604499999999995</v>
      </c>
      <c r="H1051" s="63">
        <f t="shared" si="6"/>
        <v>6.5682</v>
      </c>
      <c r="I1051" s="63">
        <f t="shared" si="6"/>
        <v>6.5689750000000009</v>
      </c>
      <c r="J1051" s="63">
        <f t="shared" si="6"/>
        <v>3.659675</v>
      </c>
      <c r="K1051" s="63">
        <f t="shared" si="6"/>
        <v>3.6604499999999995</v>
      </c>
    </row>
    <row r="1052" spans="1:11" ht="15">
      <c r="A1052" s="3">
        <v>2022</v>
      </c>
      <c r="B1052" s="63">
        <f t="shared" ref="B1052:K1052" si="7">AVERAGE(B96:B107)</f>
        <v>3.1894000000000005</v>
      </c>
      <c r="C1052" s="63">
        <f t="shared" si="7"/>
        <v>3.1894000000000005</v>
      </c>
      <c r="D1052" s="63">
        <f t="shared" si="7"/>
        <v>3.2076333333333333</v>
      </c>
      <c r="E1052" s="63">
        <f t="shared" si="7"/>
        <v>3.7376166666666673</v>
      </c>
      <c r="F1052" s="63">
        <f t="shared" si="7"/>
        <v>3.7376166666666673</v>
      </c>
      <c r="G1052" s="63">
        <f t="shared" si="7"/>
        <v>3.7384083333333336</v>
      </c>
      <c r="H1052" s="63">
        <f t="shared" si="7"/>
        <v>6.7342833333333338</v>
      </c>
      <c r="I1052" s="63">
        <f t="shared" si="7"/>
        <v>6.7350916666666683</v>
      </c>
      <c r="J1052" s="63">
        <f t="shared" si="7"/>
        <v>3.7376166666666673</v>
      </c>
      <c r="K1052" s="63">
        <f t="shared" si="7"/>
        <v>3.7384083333333336</v>
      </c>
    </row>
    <row r="1053" spans="1:11" ht="15">
      <c r="A1053" s="3">
        <v>2023</v>
      </c>
      <c r="B1053" s="63">
        <f t="shared" ref="B1053:K1053" si="8">AVERAGE(B108:B119)</f>
        <v>3.2733583333333329</v>
      </c>
      <c r="C1053" s="63">
        <f t="shared" si="8"/>
        <v>3.2733583333333329</v>
      </c>
      <c r="D1053" s="63">
        <f t="shared" si="8"/>
        <v>3.2916000000000003</v>
      </c>
      <c r="E1053" s="63">
        <f t="shared" si="8"/>
        <v>3.8185500000000006</v>
      </c>
      <c r="F1053" s="63">
        <f t="shared" si="8"/>
        <v>3.8185500000000006</v>
      </c>
      <c r="G1053" s="63">
        <f t="shared" si="8"/>
        <v>3.8193416666666669</v>
      </c>
      <c r="H1053" s="63">
        <f t="shared" si="8"/>
        <v>6.9045916666666658</v>
      </c>
      <c r="I1053" s="63">
        <f t="shared" si="8"/>
        <v>6.905383333333333</v>
      </c>
      <c r="J1053" s="63">
        <f t="shared" si="8"/>
        <v>3.8185500000000006</v>
      </c>
      <c r="K1053" s="63">
        <f t="shared" si="8"/>
        <v>3.8193416666666669</v>
      </c>
    </row>
    <row r="1054" spans="1:11" ht="15">
      <c r="A1054" s="3">
        <v>2024</v>
      </c>
      <c r="B1054" s="63">
        <f t="shared" ref="B1054:K1054" si="9">AVERAGE(B120:B131)</f>
        <v>3.356641666666667</v>
      </c>
      <c r="C1054" s="63">
        <f t="shared" si="9"/>
        <v>3.356641666666667</v>
      </c>
      <c r="D1054" s="63">
        <f t="shared" si="9"/>
        <v>3.3748749999999994</v>
      </c>
      <c r="E1054" s="63">
        <f t="shared" si="9"/>
        <v>3.8828749999999999</v>
      </c>
      <c r="F1054" s="63">
        <f t="shared" si="9"/>
        <v>3.8828749999999999</v>
      </c>
      <c r="G1054" s="63">
        <f t="shared" si="9"/>
        <v>3.883658333333333</v>
      </c>
      <c r="H1054" s="63">
        <f t="shared" si="9"/>
        <v>7.0792083333333329</v>
      </c>
      <c r="I1054" s="63">
        <f t="shared" si="9"/>
        <v>7.0799833333333337</v>
      </c>
      <c r="J1054" s="63">
        <f t="shared" si="9"/>
        <v>3.8828749999999999</v>
      </c>
      <c r="K1054" s="63">
        <f t="shared" si="9"/>
        <v>3.883658333333333</v>
      </c>
    </row>
    <row r="1055" spans="1:11" ht="15">
      <c r="A1055" s="3">
        <v>2025</v>
      </c>
      <c r="B1055" s="63">
        <f t="shared" ref="B1055:K1055" si="10">AVERAGE(B132:B143)</f>
        <v>3.4431833333333337</v>
      </c>
      <c r="C1055" s="63">
        <f t="shared" si="10"/>
        <v>3.4431833333333337</v>
      </c>
      <c r="D1055" s="63">
        <f t="shared" si="10"/>
        <v>3.461416666666667</v>
      </c>
      <c r="E1055" s="63">
        <f t="shared" si="10"/>
        <v>3.9477666666666664</v>
      </c>
      <c r="F1055" s="63">
        <f t="shared" si="10"/>
        <v>3.9477666666666664</v>
      </c>
      <c r="G1055" s="63">
        <f t="shared" si="10"/>
        <v>3.9485749999999995</v>
      </c>
      <c r="H1055" s="63">
        <f t="shared" si="10"/>
        <v>7.2582250000000004</v>
      </c>
      <c r="I1055" s="63">
        <f t="shared" si="10"/>
        <v>7.259008333333334</v>
      </c>
      <c r="J1055" s="63">
        <f t="shared" si="10"/>
        <v>3.9477666666666664</v>
      </c>
      <c r="K1055" s="63">
        <f t="shared" si="10"/>
        <v>3.9485749999999995</v>
      </c>
    </row>
    <row r="1056" spans="1:11" ht="15">
      <c r="A1056" s="3">
        <v>2026</v>
      </c>
      <c r="B1056" s="63">
        <f t="shared" ref="B1056:K1056" si="11">AVERAGE(B144:B155)</f>
        <v>3.5199749999999992</v>
      </c>
      <c r="C1056" s="63">
        <f t="shared" si="11"/>
        <v>3.5199749999999992</v>
      </c>
      <c r="D1056" s="63">
        <f t="shared" si="11"/>
        <v>3.5381999999999998</v>
      </c>
      <c r="E1056" s="63">
        <f t="shared" si="11"/>
        <v>4.0216916666666664</v>
      </c>
      <c r="F1056" s="63">
        <f t="shared" si="11"/>
        <v>4.0216916666666664</v>
      </c>
      <c r="G1056" s="63">
        <f t="shared" si="11"/>
        <v>4.0225000000000009</v>
      </c>
      <c r="H1056" s="63">
        <f t="shared" si="11"/>
        <v>7.4417749999999998</v>
      </c>
      <c r="I1056" s="63">
        <f t="shared" si="11"/>
        <v>7.4425583333333334</v>
      </c>
      <c r="J1056" s="63">
        <f t="shared" si="11"/>
        <v>4.0216916666666664</v>
      </c>
      <c r="K1056" s="63">
        <f t="shared" si="11"/>
        <v>4.0225000000000009</v>
      </c>
    </row>
    <row r="1057" spans="1:11" ht="15">
      <c r="A1057" s="3">
        <v>2027</v>
      </c>
      <c r="B1057" s="63">
        <f t="shared" ref="B1057:K1057" si="12">AVERAGE(B156:B167)</f>
        <v>3.5945083333333336</v>
      </c>
      <c r="C1057" s="63">
        <f t="shared" si="12"/>
        <v>3.5945083333333336</v>
      </c>
      <c r="D1057" s="63">
        <f t="shared" si="12"/>
        <v>3.6127666666666673</v>
      </c>
      <c r="E1057" s="63">
        <f t="shared" si="12"/>
        <v>4.0970250000000004</v>
      </c>
      <c r="F1057" s="63">
        <f t="shared" si="12"/>
        <v>4.0970250000000004</v>
      </c>
      <c r="G1057" s="63">
        <f t="shared" si="12"/>
        <v>4.0978000000000003</v>
      </c>
      <c r="H1057" s="63">
        <f t="shared" si="12"/>
        <v>7.6299583333333345</v>
      </c>
      <c r="I1057" s="63">
        <f t="shared" si="12"/>
        <v>7.6307583333333326</v>
      </c>
      <c r="J1057" s="63">
        <f t="shared" si="12"/>
        <v>4.0970250000000004</v>
      </c>
      <c r="K1057" s="63">
        <f t="shared" si="12"/>
        <v>4.0978000000000003</v>
      </c>
    </row>
    <row r="1058" spans="1:11" ht="15">
      <c r="A1058" s="3">
        <v>2028</v>
      </c>
      <c r="B1058" s="63">
        <f t="shared" ref="B1058:K1058" si="13">AVERAGE(B168:B179)</f>
        <v>3.6865333333333346</v>
      </c>
      <c r="C1058" s="63">
        <f t="shared" si="13"/>
        <v>3.6865333333333346</v>
      </c>
      <c r="D1058" s="63">
        <f t="shared" si="13"/>
        <v>3.7047499999999993</v>
      </c>
      <c r="E1058" s="63">
        <f t="shared" si="13"/>
        <v>4.1895333333333324</v>
      </c>
      <c r="F1058" s="63">
        <f t="shared" si="13"/>
        <v>4.1895333333333324</v>
      </c>
      <c r="G1058" s="63">
        <f t="shared" si="13"/>
        <v>4.1903250000000005</v>
      </c>
      <c r="H1058" s="63">
        <f t="shared" si="13"/>
        <v>7.822916666666667</v>
      </c>
      <c r="I1058" s="63">
        <f t="shared" si="13"/>
        <v>7.8237083333333324</v>
      </c>
      <c r="J1058" s="63">
        <f t="shared" si="13"/>
        <v>4.1895333333333324</v>
      </c>
      <c r="K1058" s="63">
        <f t="shared" si="13"/>
        <v>4.1903250000000005</v>
      </c>
    </row>
    <row r="1059" spans="1:11" ht="15">
      <c r="A1059" s="3">
        <v>2029</v>
      </c>
      <c r="B1059" s="63">
        <f t="shared" ref="B1059:K1059" si="14">AVERAGE(B180:B191)</f>
        <v>3.7820583333333331</v>
      </c>
      <c r="C1059" s="63">
        <f t="shared" si="14"/>
        <v>3.7820583333333331</v>
      </c>
      <c r="D1059" s="63">
        <f t="shared" si="14"/>
        <v>3.8002833333333341</v>
      </c>
      <c r="E1059" s="63">
        <f t="shared" si="14"/>
        <v>4.3054249999999996</v>
      </c>
      <c r="F1059" s="63">
        <f t="shared" si="14"/>
        <v>4.3054249999999996</v>
      </c>
      <c r="G1059" s="63">
        <f t="shared" si="14"/>
        <v>4.3062166666666677</v>
      </c>
      <c r="H1059" s="63">
        <f t="shared" si="14"/>
        <v>8.0207499999999996</v>
      </c>
      <c r="I1059" s="63">
        <f t="shared" si="14"/>
        <v>8.0215166666666669</v>
      </c>
      <c r="J1059" s="63">
        <f t="shared" si="14"/>
        <v>4.3054249999999996</v>
      </c>
      <c r="K1059" s="63">
        <f t="shared" si="14"/>
        <v>4.3062166666666677</v>
      </c>
    </row>
    <row r="1060" spans="1:11" ht="15">
      <c r="A1060" s="3">
        <v>2030</v>
      </c>
      <c r="B1060" s="63">
        <f t="shared" ref="B1060:K1060" si="15">AVERAGE(B192:B203)</f>
        <v>3.8811916666666666</v>
      </c>
      <c r="C1060" s="63">
        <f t="shared" si="15"/>
        <v>3.8811916666666666</v>
      </c>
      <c r="D1060" s="63">
        <f t="shared" si="15"/>
        <v>3.8994333333333331</v>
      </c>
      <c r="E1060" s="63">
        <f t="shared" si="15"/>
        <v>4.4246083333333326</v>
      </c>
      <c r="F1060" s="63">
        <f t="shared" si="15"/>
        <v>4.4246083333333326</v>
      </c>
      <c r="G1060" s="63">
        <f t="shared" si="15"/>
        <v>4.4254166666666661</v>
      </c>
      <c r="H1060" s="63">
        <f t="shared" si="15"/>
        <v>8.2235750000000003</v>
      </c>
      <c r="I1060" s="63">
        <f t="shared" si="15"/>
        <v>8.2243749999999984</v>
      </c>
      <c r="J1060" s="63">
        <f t="shared" si="15"/>
        <v>4.4246083333333326</v>
      </c>
      <c r="K1060" s="63">
        <f t="shared" si="15"/>
        <v>4.4254166666666661</v>
      </c>
    </row>
    <row r="1061" spans="1:11" ht="15">
      <c r="A1061" s="3">
        <v>2031</v>
      </c>
      <c r="B1061" s="63">
        <f t="shared" ref="B1061:K1061" si="16">AVERAGE(B204:B215)</f>
        <v>3.9861666666666671</v>
      </c>
      <c r="C1061" s="63">
        <f t="shared" si="16"/>
        <v>3.9861666666666671</v>
      </c>
      <c r="D1061" s="63">
        <f t="shared" si="16"/>
        <v>4.0043916666666659</v>
      </c>
      <c r="E1061" s="63">
        <f t="shared" si="16"/>
        <v>4.564283333333333</v>
      </c>
      <c r="F1061" s="63">
        <f t="shared" si="16"/>
        <v>4.564283333333333</v>
      </c>
      <c r="G1061" s="63">
        <f t="shared" si="16"/>
        <v>4.5650750000000002</v>
      </c>
      <c r="H1061" s="63">
        <f t="shared" si="16"/>
        <v>8.4315499999999997</v>
      </c>
      <c r="I1061" s="63">
        <f t="shared" si="16"/>
        <v>8.4323083333333333</v>
      </c>
      <c r="J1061" s="63">
        <f t="shared" si="16"/>
        <v>4.564283333333333</v>
      </c>
      <c r="K1061" s="63">
        <f t="shared" si="16"/>
        <v>4.5650750000000002</v>
      </c>
    </row>
    <row r="1062" spans="1:11" ht="15">
      <c r="A1062" s="3">
        <v>2032</v>
      </c>
      <c r="B1062" s="63">
        <f t="shared" ref="B1062:K1062" si="17">AVERAGE(B216:B227)</f>
        <v>4.1071416666666662</v>
      </c>
      <c r="C1062" s="63">
        <f t="shared" si="17"/>
        <v>4.1071416666666662</v>
      </c>
      <c r="D1062" s="63">
        <f t="shared" si="17"/>
        <v>4.1253666666666664</v>
      </c>
      <c r="E1062" s="63">
        <f t="shared" si="17"/>
        <v>4.7087666666666665</v>
      </c>
      <c r="F1062" s="63">
        <f t="shared" si="17"/>
        <v>4.7087666666666665</v>
      </c>
      <c r="G1062" s="63">
        <f t="shared" si="17"/>
        <v>4.7095249999999993</v>
      </c>
      <c r="H1062" s="63">
        <f t="shared" si="17"/>
        <v>8.6447666666666674</v>
      </c>
      <c r="I1062" s="63">
        <f t="shared" si="17"/>
        <v>8.6455500000000001</v>
      </c>
      <c r="J1062" s="63">
        <f t="shared" si="17"/>
        <v>4.7087666666666665</v>
      </c>
      <c r="K1062" s="63">
        <f t="shared" si="17"/>
        <v>4.7095249999999993</v>
      </c>
    </row>
    <row r="1063" spans="1:11" ht="15">
      <c r="A1063" s="3">
        <v>2033</v>
      </c>
      <c r="B1063" s="63">
        <f t="shared" ref="B1063:K1063" si="18">AVERAGE(B228:B239)</f>
        <v>4.2320083333333329</v>
      </c>
      <c r="C1063" s="63">
        <f t="shared" si="18"/>
        <v>4.2320083333333329</v>
      </c>
      <c r="D1063" s="63">
        <f t="shared" si="18"/>
        <v>4.250258333333333</v>
      </c>
      <c r="E1063" s="63">
        <f t="shared" si="18"/>
        <v>4.8575416666666671</v>
      </c>
      <c r="F1063" s="63">
        <f t="shared" si="18"/>
        <v>4.8575416666666671</v>
      </c>
      <c r="G1063" s="63">
        <f t="shared" si="18"/>
        <v>4.8583333333333325</v>
      </c>
      <c r="H1063" s="63">
        <f t="shared" si="18"/>
        <v>8.8633666666666659</v>
      </c>
      <c r="I1063" s="63">
        <f t="shared" si="18"/>
        <v>8.864158333333334</v>
      </c>
      <c r="J1063" s="63">
        <f t="shared" si="18"/>
        <v>4.8575416666666671</v>
      </c>
      <c r="K1063" s="63">
        <f t="shared" si="18"/>
        <v>4.8583333333333325</v>
      </c>
    </row>
    <row r="1064" spans="1:11" ht="15">
      <c r="A1064" s="3">
        <v>2034</v>
      </c>
      <c r="B1064" s="63">
        <f t="shared" ref="B1064:K1064" si="19">AVERAGE(B240:B251)</f>
        <v>4.3617000000000008</v>
      </c>
      <c r="C1064" s="63">
        <f t="shared" si="19"/>
        <v>4.3617000000000008</v>
      </c>
      <c r="D1064" s="63">
        <f t="shared" si="19"/>
        <v>4.3799416666666673</v>
      </c>
      <c r="E1064" s="63">
        <f t="shared" si="19"/>
        <v>5.0112666666666668</v>
      </c>
      <c r="F1064" s="63">
        <f t="shared" si="19"/>
        <v>5.0112666666666668</v>
      </c>
      <c r="G1064" s="63">
        <f t="shared" si="19"/>
        <v>5.0120500000000003</v>
      </c>
      <c r="H1064" s="63">
        <f t="shared" si="19"/>
        <v>9.0875166666666658</v>
      </c>
      <c r="I1064" s="63">
        <f t="shared" si="19"/>
        <v>9.0883000000000003</v>
      </c>
      <c r="J1064" s="63">
        <f t="shared" si="19"/>
        <v>5.0112666666666668</v>
      </c>
      <c r="K1064" s="63">
        <f t="shared" si="19"/>
        <v>5.0120500000000003</v>
      </c>
    </row>
    <row r="1065" spans="1:11" ht="15">
      <c r="A1065" s="3">
        <v>2035</v>
      </c>
      <c r="B1065" s="63">
        <f t="shared" ref="B1065:K1065" si="20">AVERAGE(B252:B263)</f>
        <v>4.4858083333333338</v>
      </c>
      <c r="C1065" s="63">
        <f t="shared" si="20"/>
        <v>4.4858083333333338</v>
      </c>
      <c r="D1065" s="63">
        <f t="shared" si="20"/>
        <v>4.5040416666666667</v>
      </c>
      <c r="E1065" s="63">
        <f t="shared" si="20"/>
        <v>5.1507166666666668</v>
      </c>
      <c r="F1065" s="63">
        <f t="shared" si="20"/>
        <v>5.1507166666666668</v>
      </c>
      <c r="G1065" s="63">
        <f t="shared" si="20"/>
        <v>5.1514833333333332</v>
      </c>
      <c r="H1065" s="63">
        <f t="shared" si="20"/>
        <v>9.3173083333333349</v>
      </c>
      <c r="I1065" s="63">
        <f t="shared" si="20"/>
        <v>9.3180999999999994</v>
      </c>
      <c r="J1065" s="63">
        <f t="shared" si="20"/>
        <v>5.1507166666666668</v>
      </c>
      <c r="K1065" s="63">
        <f t="shared" si="20"/>
        <v>5.1514833333333332</v>
      </c>
    </row>
    <row r="1066" spans="1:11" ht="15">
      <c r="A1066" s="3">
        <v>2036</v>
      </c>
      <c r="B1066" s="63">
        <f t="shared" ref="B1066:K1066" si="21">AVERAGE(B264:B275)</f>
        <v>4.6092000000000004</v>
      </c>
      <c r="C1066" s="63">
        <f t="shared" si="21"/>
        <v>4.6092000000000004</v>
      </c>
      <c r="D1066" s="63">
        <f t="shared" si="21"/>
        <v>4.6274416666666669</v>
      </c>
      <c r="E1066" s="63">
        <f t="shared" si="21"/>
        <v>5.2943249999999997</v>
      </c>
      <c r="F1066" s="63">
        <f t="shared" si="21"/>
        <v>5.2943249999999997</v>
      </c>
      <c r="G1066" s="63">
        <f t="shared" si="21"/>
        <v>5.2951083333333342</v>
      </c>
      <c r="H1066" s="63">
        <f t="shared" si="21"/>
        <v>9.5529416666666673</v>
      </c>
      <c r="I1066" s="63">
        <f t="shared" si="21"/>
        <v>9.5537333333333336</v>
      </c>
      <c r="J1066" s="63">
        <f t="shared" si="21"/>
        <v>5.2943249999999997</v>
      </c>
      <c r="K1066" s="63">
        <f t="shared" si="21"/>
        <v>5.2951083333333342</v>
      </c>
    </row>
    <row r="1067" spans="1:11" ht="15">
      <c r="A1067" s="3">
        <v>2037</v>
      </c>
      <c r="B1067" s="63">
        <f t="shared" ref="B1067:K1067" si="22">AVERAGE(B276:B287)</f>
        <v>4.7357500000000003</v>
      </c>
      <c r="C1067" s="63">
        <f t="shared" si="22"/>
        <v>4.7357500000000003</v>
      </c>
      <c r="D1067" s="63">
        <f t="shared" si="22"/>
        <v>4.7539833333333332</v>
      </c>
      <c r="E1067" s="63">
        <f t="shared" si="22"/>
        <v>5.441816666666667</v>
      </c>
      <c r="F1067" s="63">
        <f t="shared" si="22"/>
        <v>5.441816666666667</v>
      </c>
      <c r="G1067" s="63">
        <f t="shared" si="22"/>
        <v>5.4425999999999997</v>
      </c>
      <c r="H1067" s="63">
        <f t="shared" si="22"/>
        <v>9.7945249999999984</v>
      </c>
      <c r="I1067" s="63">
        <f t="shared" si="22"/>
        <v>9.7952999999999992</v>
      </c>
      <c r="J1067" s="63">
        <f t="shared" si="22"/>
        <v>5.441816666666667</v>
      </c>
      <c r="K1067" s="63">
        <f t="shared" si="22"/>
        <v>5.4425999999999997</v>
      </c>
    </row>
    <row r="1068" spans="1:11" ht="15">
      <c r="A1068" s="3">
        <v>2038</v>
      </c>
      <c r="B1068" s="63">
        <f t="shared" ref="B1068:K1068" si="23">AVERAGE(B288:B299)</f>
        <v>4.8654333333333337</v>
      </c>
      <c r="C1068" s="63">
        <f t="shared" si="23"/>
        <v>4.8654333333333337</v>
      </c>
      <c r="D1068" s="63">
        <f t="shared" si="23"/>
        <v>4.8836750000000002</v>
      </c>
      <c r="E1068" s="63">
        <f t="shared" si="23"/>
        <v>5.594408333333333</v>
      </c>
      <c r="F1068" s="63">
        <f t="shared" si="23"/>
        <v>5.594408333333333</v>
      </c>
      <c r="G1068" s="63">
        <f t="shared" si="23"/>
        <v>5.5952083333333347</v>
      </c>
      <c r="H1068" s="63">
        <f t="shared" si="23"/>
        <v>10.042208333333333</v>
      </c>
      <c r="I1068" s="63">
        <f t="shared" si="23"/>
        <v>10.042975</v>
      </c>
      <c r="J1068" s="63">
        <f t="shared" si="23"/>
        <v>5.594408333333333</v>
      </c>
      <c r="K1068" s="63">
        <f t="shared" si="23"/>
        <v>5.5952083333333347</v>
      </c>
    </row>
    <row r="1069" spans="1:11" ht="15">
      <c r="A1069" s="3">
        <v>2039</v>
      </c>
      <c r="B1069" s="63">
        <f t="shared" ref="B1069:K1069" si="24">AVERAGE(B300:B311)</f>
        <v>5.0003166666666656</v>
      </c>
      <c r="C1069" s="63">
        <f t="shared" si="24"/>
        <v>5.0003166666666656</v>
      </c>
      <c r="D1069" s="63">
        <f t="shared" si="24"/>
        <v>5.0185583333333339</v>
      </c>
      <c r="E1069" s="63">
        <f t="shared" si="24"/>
        <v>5.749200000000001</v>
      </c>
      <c r="F1069" s="63">
        <f t="shared" si="24"/>
        <v>5.749200000000001</v>
      </c>
      <c r="G1069" s="63">
        <f t="shared" si="24"/>
        <v>5.7499833333333328</v>
      </c>
      <c r="H1069" s="63">
        <f t="shared" si="24"/>
        <v>10.296166666666666</v>
      </c>
      <c r="I1069" s="63">
        <f t="shared" si="24"/>
        <v>10.296925000000002</v>
      </c>
      <c r="J1069" s="63">
        <f t="shared" si="24"/>
        <v>5.749200000000001</v>
      </c>
      <c r="K1069" s="63">
        <f t="shared" si="24"/>
        <v>5.7499833333333328</v>
      </c>
    </row>
    <row r="1070" spans="1:11" ht="15">
      <c r="A1070" s="3">
        <v>2040</v>
      </c>
      <c r="B1070" s="63">
        <f t="shared" ref="B1070:K1070" si="25">AVERAGE(B312:B323)</f>
        <v>5.136425</v>
      </c>
      <c r="C1070" s="63">
        <f t="shared" si="25"/>
        <v>5.136425</v>
      </c>
      <c r="D1070" s="63">
        <f t="shared" si="25"/>
        <v>5.1546666666666665</v>
      </c>
      <c r="E1070" s="63">
        <f t="shared" si="25"/>
        <v>5.9101166666666662</v>
      </c>
      <c r="F1070" s="63">
        <f t="shared" si="25"/>
        <v>5.9101166666666662</v>
      </c>
      <c r="G1070" s="63">
        <f t="shared" si="25"/>
        <v>5.9109000000000007</v>
      </c>
      <c r="H1070" s="63">
        <f t="shared" si="25"/>
        <v>10.556541666666666</v>
      </c>
      <c r="I1070" s="63">
        <f t="shared" si="25"/>
        <v>10.557325000000001</v>
      </c>
      <c r="J1070" s="63">
        <f t="shared" si="25"/>
        <v>5.9101166666666662</v>
      </c>
      <c r="K1070" s="63">
        <f t="shared" si="25"/>
        <v>5.9109000000000007</v>
      </c>
    </row>
    <row r="1071" spans="1:11" ht="15">
      <c r="A1071" s="3">
        <v>2041</v>
      </c>
      <c r="B1071" s="63">
        <f t="shared" ref="B1071:K1071" si="26">AVERAGE(B324:B335)</f>
        <v>5.2762833333333345</v>
      </c>
      <c r="C1071" s="63">
        <f t="shared" si="26"/>
        <v>5.2762833333333345</v>
      </c>
      <c r="D1071" s="63">
        <f t="shared" si="26"/>
        <v>5.2945333333333329</v>
      </c>
      <c r="E1071" s="63">
        <f t="shared" si="26"/>
        <v>6.0755333333333335</v>
      </c>
      <c r="F1071" s="63">
        <f t="shared" si="26"/>
        <v>6.0755333333333335</v>
      </c>
      <c r="G1071" s="63">
        <f t="shared" si="26"/>
        <v>6.0763250000000006</v>
      </c>
      <c r="H1071" s="63">
        <f t="shared" si="26"/>
        <v>10.823500000000001</v>
      </c>
      <c r="I1071" s="63">
        <f t="shared" si="26"/>
        <v>10.824266666666666</v>
      </c>
      <c r="J1071" s="63">
        <f t="shared" si="26"/>
        <v>6.0755333333333335</v>
      </c>
      <c r="K1071" s="63">
        <f t="shared" si="26"/>
        <v>6.0763250000000006</v>
      </c>
    </row>
    <row r="1072" spans="1:11" ht="15">
      <c r="A1072" s="3">
        <v>2042</v>
      </c>
      <c r="B1072" s="63">
        <f t="shared" ref="B1072:K1072" si="27">AVERAGE(B336:B347)</f>
        <v>5.4200000000000008</v>
      </c>
      <c r="C1072" s="63">
        <f t="shared" si="27"/>
        <v>5.4200000000000008</v>
      </c>
      <c r="D1072" s="63">
        <f t="shared" si="27"/>
        <v>5.4382166666666665</v>
      </c>
      <c r="E1072" s="63">
        <f t="shared" si="27"/>
        <v>6.2455916666666669</v>
      </c>
      <c r="F1072" s="63">
        <f t="shared" si="27"/>
        <v>6.2455916666666669</v>
      </c>
      <c r="G1072" s="63">
        <f t="shared" si="27"/>
        <v>6.2463750000000005</v>
      </c>
      <c r="H1072" s="63">
        <f t="shared" si="27"/>
        <v>11.097200000000001</v>
      </c>
      <c r="I1072" s="63">
        <f t="shared" si="27"/>
        <v>11.097991666666667</v>
      </c>
      <c r="J1072" s="63">
        <f t="shared" si="27"/>
        <v>6.2455916666666669</v>
      </c>
      <c r="K1072" s="63">
        <f t="shared" si="27"/>
        <v>6.2463750000000005</v>
      </c>
    </row>
    <row r="1073" spans="1:11" ht="15">
      <c r="A1073" s="3">
        <v>2043</v>
      </c>
      <c r="B1073" s="63">
        <f t="shared" ref="B1073:K1073" si="28">AVERAGE(B348:B359)</f>
        <v>5.5676416666666659</v>
      </c>
      <c r="C1073" s="63">
        <f t="shared" si="28"/>
        <v>5.5676416666666659</v>
      </c>
      <c r="D1073" s="63">
        <f t="shared" si="28"/>
        <v>5.5858750000000006</v>
      </c>
      <c r="E1073" s="63">
        <f t="shared" si="28"/>
        <v>6.4204000000000008</v>
      </c>
      <c r="F1073" s="63">
        <f t="shared" si="28"/>
        <v>6.4204000000000008</v>
      </c>
      <c r="G1073" s="63">
        <f t="shared" si="28"/>
        <v>6.421174999999999</v>
      </c>
      <c r="H1073" s="63">
        <f t="shared" si="28"/>
        <v>11.377841666666667</v>
      </c>
      <c r="I1073" s="63">
        <f t="shared" si="28"/>
        <v>11.378616666666666</v>
      </c>
      <c r="J1073" s="63">
        <f t="shared" si="28"/>
        <v>6.4204000000000008</v>
      </c>
      <c r="K1073" s="63">
        <f t="shared" si="28"/>
        <v>6.421174999999999</v>
      </c>
    </row>
    <row r="1074" spans="1:11" ht="15">
      <c r="A1074" s="3">
        <v>2044</v>
      </c>
      <c r="B1074" s="63">
        <f t="shared" ref="B1074:K1074" si="29">AVERAGE(B360:B371)</f>
        <v>5.7193499999999995</v>
      </c>
      <c r="C1074" s="63">
        <f t="shared" si="29"/>
        <v>5.7193499999999995</v>
      </c>
      <c r="D1074" s="63">
        <f t="shared" si="29"/>
        <v>5.7375916666666669</v>
      </c>
      <c r="E1074" s="63">
        <f t="shared" si="29"/>
        <v>6.6000916666666649</v>
      </c>
      <c r="F1074" s="63">
        <f t="shared" si="29"/>
        <v>6.6000916666666649</v>
      </c>
      <c r="G1074" s="63">
        <f t="shared" si="29"/>
        <v>6.6008833333333321</v>
      </c>
      <c r="H1074" s="63">
        <f t="shared" si="29"/>
        <v>11.665550000000001</v>
      </c>
      <c r="I1074" s="63">
        <f t="shared" si="29"/>
        <v>11.66635</v>
      </c>
      <c r="J1074" s="63">
        <f t="shared" si="29"/>
        <v>6.6000916666666649</v>
      </c>
      <c r="K1074" s="63">
        <f t="shared" si="29"/>
        <v>6.6008833333333321</v>
      </c>
    </row>
    <row r="1075" spans="1:11" ht="15">
      <c r="A1075" s="3">
        <v>2045</v>
      </c>
      <c r="B1075" s="63">
        <f t="shared" ref="B1075:K1075" si="30">AVERAGE(B372:B383)</f>
        <v>5.875233333333334</v>
      </c>
      <c r="C1075" s="63">
        <f t="shared" si="30"/>
        <v>5.875233333333334</v>
      </c>
      <c r="D1075" s="63">
        <f t="shared" si="30"/>
        <v>5.8934666666666677</v>
      </c>
      <c r="E1075" s="63">
        <f t="shared" si="30"/>
        <v>6.784841666666666</v>
      </c>
      <c r="F1075" s="63">
        <f t="shared" si="30"/>
        <v>6.784841666666666</v>
      </c>
      <c r="G1075" s="63">
        <f t="shared" si="30"/>
        <v>6.7856083333333332</v>
      </c>
      <c r="H1075" s="63">
        <f t="shared" si="30"/>
        <v>11.960566666666667</v>
      </c>
      <c r="I1075" s="63">
        <f t="shared" si="30"/>
        <v>11.961349999999998</v>
      </c>
      <c r="J1075" s="63">
        <f t="shared" si="30"/>
        <v>6.784841666666666</v>
      </c>
      <c r="K1075" s="63">
        <f t="shared" si="30"/>
        <v>6.7856083333333332</v>
      </c>
    </row>
    <row r="1076" spans="1:11" ht="15">
      <c r="A1076" s="3">
        <v>2046</v>
      </c>
      <c r="B1076" s="63">
        <f t="shared" ref="B1076:K1076" si="31">AVERAGE(B384:B395)</f>
        <v>6.0354000000000001</v>
      </c>
      <c r="C1076" s="63">
        <f t="shared" si="31"/>
        <v>6.0354000000000001</v>
      </c>
      <c r="D1076" s="63">
        <f t="shared" si="31"/>
        <v>6.0536416666666675</v>
      </c>
      <c r="E1076" s="63">
        <f t="shared" si="31"/>
        <v>6.9747249999999994</v>
      </c>
      <c r="F1076" s="63">
        <f t="shared" si="31"/>
        <v>6.9747249999999994</v>
      </c>
      <c r="G1076" s="63">
        <f t="shared" si="31"/>
        <v>6.9755166666666675</v>
      </c>
      <c r="H1076" s="63">
        <f t="shared" si="31"/>
        <v>12.263041666666666</v>
      </c>
      <c r="I1076" s="63">
        <f t="shared" si="31"/>
        <v>12.263816666666669</v>
      </c>
      <c r="J1076" s="63">
        <f t="shared" si="31"/>
        <v>6.9747249999999994</v>
      </c>
      <c r="K1076" s="63">
        <f t="shared" si="31"/>
        <v>6.9755166666666675</v>
      </c>
    </row>
    <row r="1077" spans="1:11" ht="15">
      <c r="A1077" s="3">
        <v>2047</v>
      </c>
      <c r="B1077" s="63">
        <f t="shared" ref="B1077:K1077" si="32">AVERAGE(B396:B407)</f>
        <v>6.1999666666666657</v>
      </c>
      <c r="C1077" s="63">
        <f t="shared" si="32"/>
        <v>6.1999666666666657</v>
      </c>
      <c r="D1077" s="63">
        <f t="shared" si="32"/>
        <v>6.2182166666666658</v>
      </c>
      <c r="E1077" s="63">
        <f t="shared" si="32"/>
        <v>7.1699499999999992</v>
      </c>
      <c r="F1077" s="63">
        <f t="shared" si="32"/>
        <v>7.1699499999999992</v>
      </c>
      <c r="G1077" s="63">
        <f t="shared" si="32"/>
        <v>7.1707416666666672</v>
      </c>
      <c r="H1077" s="63">
        <f t="shared" si="32"/>
        <v>12.573133333333333</v>
      </c>
      <c r="I1077" s="63">
        <f t="shared" si="32"/>
        <v>12.573925000000003</v>
      </c>
      <c r="J1077" s="63">
        <f t="shared" si="32"/>
        <v>7.1699499999999992</v>
      </c>
      <c r="K1077" s="63">
        <f t="shared" si="32"/>
        <v>7.1707416666666672</v>
      </c>
    </row>
    <row r="1078" spans="1:11" ht="15">
      <c r="A1078" s="3">
        <v>2048</v>
      </c>
      <c r="B1078" s="63">
        <f t="shared" ref="B1078:K1078" si="33">AVERAGE(B408:B419)</f>
        <v>6.3690833333333332</v>
      </c>
      <c r="C1078" s="63">
        <f t="shared" si="33"/>
        <v>6.3690833333333332</v>
      </c>
      <c r="D1078" s="63">
        <f t="shared" si="33"/>
        <v>6.3873249999999997</v>
      </c>
      <c r="E1078" s="63">
        <f t="shared" si="33"/>
        <v>7.3706416666666676</v>
      </c>
      <c r="F1078" s="63">
        <f t="shared" si="33"/>
        <v>7.3706416666666676</v>
      </c>
      <c r="G1078" s="63">
        <f t="shared" si="33"/>
        <v>7.3714333333333331</v>
      </c>
      <c r="H1078" s="63">
        <f t="shared" si="33"/>
        <v>12.891116666666667</v>
      </c>
      <c r="I1078" s="63">
        <f t="shared" si="33"/>
        <v>12.891866666666665</v>
      </c>
      <c r="J1078" s="63">
        <f t="shared" si="33"/>
        <v>7.3706416666666676</v>
      </c>
      <c r="K1078" s="63">
        <f t="shared" si="33"/>
        <v>7.3714333333333331</v>
      </c>
    </row>
    <row r="1079" spans="1:11" ht="15">
      <c r="A1079" s="3">
        <v>2049</v>
      </c>
      <c r="B1079" s="63">
        <f t="shared" ref="B1079:K1079" si="34">AVERAGE(B420:B431)</f>
        <v>6.5428583333333341</v>
      </c>
      <c r="C1079" s="63">
        <f t="shared" si="34"/>
        <v>6.5428583333333341</v>
      </c>
      <c r="D1079" s="63">
        <f t="shared" si="34"/>
        <v>6.561074999999998</v>
      </c>
      <c r="E1079" s="63">
        <f t="shared" si="34"/>
        <v>7.5769250000000001</v>
      </c>
      <c r="F1079" s="63">
        <f t="shared" si="34"/>
        <v>7.5769250000000001</v>
      </c>
      <c r="G1079" s="63">
        <f t="shared" si="34"/>
        <v>7.5777250000000009</v>
      </c>
      <c r="H1079" s="63">
        <f t="shared" si="34"/>
        <v>13.217100000000002</v>
      </c>
      <c r="I1079" s="63">
        <f t="shared" si="34"/>
        <v>13.217874999999999</v>
      </c>
      <c r="J1079" s="63">
        <f t="shared" si="34"/>
        <v>7.5769250000000001</v>
      </c>
      <c r="K1079" s="63">
        <f t="shared" si="34"/>
        <v>7.5777250000000009</v>
      </c>
    </row>
    <row r="1080" spans="1:11" ht="15">
      <c r="A1080" s="3">
        <v>2050</v>
      </c>
      <c r="B1080" s="63">
        <f t="shared" ref="B1080:K1080" si="35">AVERAGE(B432:B443)</f>
        <v>6.7214083333333337</v>
      </c>
      <c r="C1080" s="63">
        <f t="shared" si="35"/>
        <v>6.7214083333333337</v>
      </c>
      <c r="D1080" s="63">
        <f t="shared" si="35"/>
        <v>6.7396333333333338</v>
      </c>
      <c r="E1080" s="63">
        <f t="shared" si="35"/>
        <v>7.7890083333333324</v>
      </c>
      <c r="F1080" s="63">
        <f t="shared" si="35"/>
        <v>7.7890083333333324</v>
      </c>
      <c r="G1080" s="63">
        <f t="shared" si="35"/>
        <v>7.7897666666666661</v>
      </c>
      <c r="H1080" s="63">
        <f t="shared" si="35"/>
        <v>13.551349999999999</v>
      </c>
      <c r="I1080" s="63">
        <f t="shared" si="35"/>
        <v>13.552108333333335</v>
      </c>
      <c r="J1080" s="63">
        <f t="shared" si="35"/>
        <v>7.7890083333333324</v>
      </c>
      <c r="K1080" s="63">
        <f t="shared" si="35"/>
        <v>7.7897666666666661</v>
      </c>
    </row>
    <row r="1081" spans="1:11" ht="15">
      <c r="A1081" s="3">
        <v>2051</v>
      </c>
      <c r="B1081" s="63">
        <f t="shared" ref="B1081:K1081" si="36">AVERAGE(B444:B455)</f>
        <v>6.9048833333333333</v>
      </c>
      <c r="C1081" s="63">
        <f t="shared" si="36"/>
        <v>6.9048833333333333</v>
      </c>
      <c r="D1081" s="63">
        <f t="shared" si="36"/>
        <v>6.9231166666666661</v>
      </c>
      <c r="E1081" s="63">
        <f t="shared" si="36"/>
        <v>8.0070083333333333</v>
      </c>
      <c r="F1081" s="63">
        <f t="shared" si="36"/>
        <v>8.0070083333333333</v>
      </c>
      <c r="G1081" s="63">
        <f t="shared" si="36"/>
        <v>8.0077833333333341</v>
      </c>
      <c r="H1081" s="63">
        <f t="shared" si="36"/>
        <v>13.894016666666666</v>
      </c>
      <c r="I1081" s="63">
        <f t="shared" si="36"/>
        <v>13.894808333333332</v>
      </c>
      <c r="J1081" s="63">
        <f t="shared" si="36"/>
        <v>8.0070083333333333</v>
      </c>
      <c r="K1081" s="63">
        <f t="shared" si="36"/>
        <v>8.0077833333333341</v>
      </c>
    </row>
    <row r="1082" spans="1:11" ht="15">
      <c r="A1082" s="3">
        <v>2052</v>
      </c>
      <c r="B1082" s="63">
        <f t="shared" ref="B1082:K1082" si="37">AVERAGE(B456:B467)</f>
        <v>7.0933999999999999</v>
      </c>
      <c r="C1082" s="63">
        <f t="shared" si="37"/>
        <v>7.0933999999999999</v>
      </c>
      <c r="D1082" s="63">
        <f t="shared" si="37"/>
        <v>7.1116333333333337</v>
      </c>
      <c r="E1082" s="63">
        <f t="shared" si="37"/>
        <v>8.2311083333333332</v>
      </c>
      <c r="F1082" s="63">
        <f t="shared" si="37"/>
        <v>8.2311083333333332</v>
      </c>
      <c r="G1082" s="63">
        <f t="shared" si="37"/>
        <v>8.2318916666666642</v>
      </c>
      <c r="H1082" s="63">
        <f t="shared" si="37"/>
        <v>14.245383333333331</v>
      </c>
      <c r="I1082" s="63">
        <f t="shared" si="37"/>
        <v>14.246175000000001</v>
      </c>
      <c r="J1082" s="63">
        <f t="shared" si="37"/>
        <v>8.2311083333333332</v>
      </c>
      <c r="K1082" s="63">
        <f t="shared" si="37"/>
        <v>8.2318916666666642</v>
      </c>
    </row>
    <row r="1083" spans="1:11" ht="15">
      <c r="A1083" s="3">
        <v>2053</v>
      </c>
      <c r="B1083" s="63">
        <f t="shared" ref="B1083:K1083" si="38">AVERAGE(B468:B479)</f>
        <v>7.2871333333333324</v>
      </c>
      <c r="C1083" s="63">
        <f t="shared" si="38"/>
        <v>7.2871333333333324</v>
      </c>
      <c r="D1083" s="63">
        <f t="shared" si="38"/>
        <v>7.3053583333333334</v>
      </c>
      <c r="E1083" s="63">
        <f t="shared" si="38"/>
        <v>8.4614916666666673</v>
      </c>
      <c r="F1083" s="63">
        <f t="shared" si="38"/>
        <v>8.4614916666666673</v>
      </c>
      <c r="G1083" s="63">
        <f t="shared" si="38"/>
        <v>8.4622833333333318</v>
      </c>
      <c r="H1083" s="63">
        <f t="shared" si="38"/>
        <v>14.605633333333332</v>
      </c>
      <c r="I1083" s="63">
        <f t="shared" si="38"/>
        <v>14.606425</v>
      </c>
      <c r="J1083" s="63">
        <f t="shared" si="38"/>
        <v>8.4614916666666673</v>
      </c>
      <c r="K1083" s="63">
        <f t="shared" si="38"/>
        <v>8.4622833333333318</v>
      </c>
    </row>
    <row r="1084" spans="1:11" ht="15">
      <c r="A1084" s="3">
        <v>2054</v>
      </c>
      <c r="B1084" s="63">
        <f t="shared" ref="B1084:K1084" si="39">AVERAGE(B480:B491)</f>
        <v>7.4862000000000011</v>
      </c>
      <c r="C1084" s="63">
        <f t="shared" si="39"/>
        <v>7.4862000000000011</v>
      </c>
      <c r="D1084" s="63">
        <f t="shared" si="39"/>
        <v>7.5044333333333322</v>
      </c>
      <c r="E1084" s="63">
        <f t="shared" si="39"/>
        <v>8.6983249999999988</v>
      </c>
      <c r="F1084" s="63">
        <f t="shared" si="39"/>
        <v>8.6983249999999988</v>
      </c>
      <c r="G1084" s="63">
        <f t="shared" si="39"/>
        <v>8.6990916666666678</v>
      </c>
      <c r="H1084" s="63">
        <f t="shared" si="39"/>
        <v>14.974983333333332</v>
      </c>
      <c r="I1084" s="63">
        <f t="shared" si="39"/>
        <v>14.975783333333334</v>
      </c>
      <c r="J1084" s="63">
        <f t="shared" si="39"/>
        <v>8.6983249999999988</v>
      </c>
      <c r="K1084" s="63">
        <f t="shared" si="39"/>
        <v>8.6990916666666678</v>
      </c>
    </row>
    <row r="1085" spans="1:11" ht="15">
      <c r="A1085" s="3">
        <v>2055</v>
      </c>
      <c r="B1085" s="63">
        <f t="shared" ref="B1085:K1085" si="40">AVERAGE(B17:B503)</f>
        <v>4.7321876796714557</v>
      </c>
      <c r="C1085" s="63">
        <f t="shared" si="40"/>
        <v>4.7321876796714557</v>
      </c>
      <c r="D1085" s="63">
        <f t="shared" si="40"/>
        <v>4.7504519507186851</v>
      </c>
      <c r="E1085" s="63">
        <f t="shared" si="40"/>
        <v>5.4924942505133423</v>
      </c>
      <c r="F1085" s="63">
        <f t="shared" si="40"/>
        <v>5.5194205338808979</v>
      </c>
      <c r="G1085" s="63">
        <f t="shared" si="40"/>
        <v>5.5202098562628326</v>
      </c>
      <c r="H1085" s="63">
        <f t="shared" si="40"/>
        <v>9.7717281314168307</v>
      </c>
      <c r="I1085" s="63">
        <f t="shared" si="40"/>
        <v>9.7725139630390121</v>
      </c>
      <c r="J1085" s="63">
        <f t="shared" si="40"/>
        <v>5.4924942505133423</v>
      </c>
      <c r="K1085" s="63">
        <f t="shared" si="40"/>
        <v>5.493284188911705</v>
      </c>
    </row>
    <row r="1086" spans="1:11" ht="15">
      <c r="A1086" s="3">
        <v>2056</v>
      </c>
      <c r="B1086" s="63">
        <f t="shared" ref="B1086:K1086" si="41">AVERAGE(B504:B515)</f>
        <v>7.9009416666666672</v>
      </c>
      <c r="C1086" s="63">
        <f t="shared" si="41"/>
        <v>7.9009416666666672</v>
      </c>
      <c r="D1086" s="63">
        <f t="shared" si="41"/>
        <v>7.9191750000000001</v>
      </c>
      <c r="E1086" s="63">
        <f t="shared" si="41"/>
        <v>9.192025000000001</v>
      </c>
      <c r="F1086" s="63">
        <f t="shared" si="41"/>
        <v>9.192025000000001</v>
      </c>
      <c r="G1086" s="63">
        <f t="shared" si="41"/>
        <v>9.1928083333333337</v>
      </c>
      <c r="H1086" s="63">
        <f t="shared" si="41"/>
        <v>15.741966666666665</v>
      </c>
      <c r="I1086" s="63">
        <f t="shared" si="41"/>
        <v>15.742733333333334</v>
      </c>
      <c r="J1086" s="63">
        <f t="shared" si="41"/>
        <v>9.192025000000001</v>
      </c>
      <c r="K1086" s="63">
        <f t="shared" si="41"/>
        <v>9.1928083333333337</v>
      </c>
    </row>
    <row r="1087" spans="1:11" ht="15">
      <c r="A1087" s="3">
        <v>2057</v>
      </c>
      <c r="B1087" s="63">
        <f t="shared" ref="B1087:K1087" si="42">AVERAGE(B516:B527)</f>
        <v>8.1169250000000002</v>
      </c>
      <c r="C1087" s="63">
        <f t="shared" si="42"/>
        <v>8.1169250000000002</v>
      </c>
      <c r="D1087" s="63">
        <f t="shared" si="42"/>
        <v>8.1351833333333321</v>
      </c>
      <c r="E1087" s="63">
        <f t="shared" si="42"/>
        <v>9.4493000000000009</v>
      </c>
      <c r="F1087" s="63">
        <f t="shared" si="42"/>
        <v>9.4493000000000009</v>
      </c>
      <c r="G1087" s="63">
        <f t="shared" si="42"/>
        <v>9.4500833333333318</v>
      </c>
      <c r="H1087" s="63">
        <f t="shared" si="42"/>
        <v>16.140033333333335</v>
      </c>
      <c r="I1087" s="63">
        <f t="shared" si="42"/>
        <v>16.140841666666667</v>
      </c>
      <c r="J1087" s="63">
        <f t="shared" si="42"/>
        <v>9.4493000000000009</v>
      </c>
      <c r="K1087" s="63">
        <f t="shared" si="42"/>
        <v>9.4500833333333318</v>
      </c>
    </row>
    <row r="1088" spans="1:11" ht="15">
      <c r="A1088" s="3">
        <v>2058</v>
      </c>
      <c r="B1088" s="63">
        <f t="shared" ref="B1088:K1088" si="43">AVERAGE(B528:B539)</f>
        <v>8.3388916666666688</v>
      </c>
      <c r="C1088" s="63">
        <f t="shared" si="43"/>
        <v>8.3388916666666688</v>
      </c>
      <c r="D1088" s="63">
        <f t="shared" si="43"/>
        <v>8.3571333333333353</v>
      </c>
      <c r="E1088" s="63">
        <f t="shared" si="43"/>
        <v>9.7137666666666664</v>
      </c>
      <c r="F1088" s="63">
        <f t="shared" si="43"/>
        <v>9.7137666666666664</v>
      </c>
      <c r="G1088" s="63">
        <f t="shared" si="43"/>
        <v>9.714558333333331</v>
      </c>
      <c r="H1088" s="63">
        <f t="shared" si="43"/>
        <v>16.548199999999998</v>
      </c>
      <c r="I1088" s="63">
        <f t="shared" si="43"/>
        <v>16.548958333333335</v>
      </c>
      <c r="J1088" s="63">
        <f t="shared" si="43"/>
        <v>9.7137666666666664</v>
      </c>
      <c r="K1088" s="63">
        <f t="shared" si="43"/>
        <v>9.714558333333331</v>
      </c>
    </row>
    <row r="1089" spans="1:11" ht="15">
      <c r="A1089" s="3">
        <v>2059</v>
      </c>
      <c r="B1089" s="63">
        <f t="shared" ref="B1089:K1089" si="44">AVERAGE(B540:B551)</f>
        <v>8.5669999999999984</v>
      </c>
      <c r="C1089" s="63">
        <f t="shared" si="44"/>
        <v>8.5669999999999984</v>
      </c>
      <c r="D1089" s="63">
        <f t="shared" si="44"/>
        <v>8.5852249999999994</v>
      </c>
      <c r="E1089" s="63">
        <f t="shared" si="44"/>
        <v>9.9856583333333333</v>
      </c>
      <c r="F1089" s="63">
        <f t="shared" si="44"/>
        <v>9.9856583333333333</v>
      </c>
      <c r="G1089" s="63">
        <f t="shared" si="44"/>
        <v>9.9864250000000023</v>
      </c>
      <c r="H1089" s="63">
        <f t="shared" si="44"/>
        <v>16.966683333333329</v>
      </c>
      <c r="I1089" s="63">
        <f t="shared" si="44"/>
        <v>16.967458333333333</v>
      </c>
      <c r="J1089" s="63">
        <f t="shared" si="44"/>
        <v>9.9856583333333333</v>
      </c>
      <c r="K1089" s="63">
        <f t="shared" si="44"/>
        <v>9.9864250000000023</v>
      </c>
    </row>
    <row r="1090" spans="1:11" ht="15">
      <c r="A1090" s="3">
        <v>2060</v>
      </c>
      <c r="B1090" s="63">
        <f t="shared" ref="B1090:K1090" si="45">AVERAGE(B552:B563)</f>
        <v>8.8013749999999984</v>
      </c>
      <c r="C1090" s="63">
        <f t="shared" si="45"/>
        <v>8.8013749999999984</v>
      </c>
      <c r="D1090" s="63">
        <f t="shared" si="45"/>
        <v>8.8196083333333331</v>
      </c>
      <c r="E1090" s="63">
        <f t="shared" si="45"/>
        <v>10.265124999999999</v>
      </c>
      <c r="F1090" s="63">
        <f t="shared" si="45"/>
        <v>10.265124999999999</v>
      </c>
      <c r="G1090" s="63">
        <f t="shared" si="45"/>
        <v>10.265891666666667</v>
      </c>
      <c r="H1090" s="63">
        <f t="shared" si="45"/>
        <v>17.395733333333336</v>
      </c>
      <c r="I1090" s="63">
        <f t="shared" si="45"/>
        <v>17.396508333333333</v>
      </c>
      <c r="J1090" s="63">
        <f t="shared" si="45"/>
        <v>10.265124999999999</v>
      </c>
      <c r="K1090" s="63">
        <f t="shared" si="45"/>
        <v>10.265891666666667</v>
      </c>
    </row>
    <row r="1091" spans="1:11" ht="15">
      <c r="A1091" s="3">
        <v>2061</v>
      </c>
      <c r="B1091" s="63">
        <f t="shared" ref="B1091:K1091" si="46">AVERAGE(B564:B575)</f>
        <v>9.0422333333333338</v>
      </c>
      <c r="C1091" s="63">
        <f t="shared" si="46"/>
        <v>9.0422333333333338</v>
      </c>
      <c r="D1091" s="63">
        <f t="shared" si="46"/>
        <v>9.0604666666666667</v>
      </c>
      <c r="E1091" s="63">
        <f t="shared" si="46"/>
        <v>10.552424999999999</v>
      </c>
      <c r="F1091" s="63">
        <f t="shared" si="46"/>
        <v>10.552424999999999</v>
      </c>
      <c r="G1091" s="63">
        <f t="shared" si="46"/>
        <v>10.553216666666668</v>
      </c>
      <c r="H1091" s="63">
        <f t="shared" si="46"/>
        <v>17.835633333333334</v>
      </c>
      <c r="I1091" s="63">
        <f t="shared" si="46"/>
        <v>17.836433333333336</v>
      </c>
      <c r="J1091" s="63">
        <f t="shared" si="46"/>
        <v>10.552424999999999</v>
      </c>
      <c r="K1091" s="63">
        <f t="shared" si="46"/>
        <v>10.553216666666668</v>
      </c>
    </row>
    <row r="1092" spans="1:11" ht="15">
      <c r="A1092" s="3">
        <v>2062</v>
      </c>
      <c r="B1092" s="63">
        <f t="shared" ref="B1092:K1101" ca="1" si="47">AVERAGE(OFFSET(B$576,($A1092-$A$1092)*12,0,12,1))</f>
        <v>9.2897499999999997</v>
      </c>
      <c r="C1092" s="63">
        <f t="shared" ca="1" si="47"/>
        <v>9.2897499999999997</v>
      </c>
      <c r="D1092" s="63">
        <f t="shared" ca="1" si="47"/>
        <v>9.3079833333333344</v>
      </c>
      <c r="E1092" s="63">
        <f t="shared" ca="1" si="47"/>
        <v>10.847766666666667</v>
      </c>
      <c r="F1092" s="63">
        <f t="shared" ca="1" si="47"/>
        <v>10.847766666666667</v>
      </c>
      <c r="G1092" s="63">
        <f t="shared" ca="1" si="47"/>
        <v>10.848566666666665</v>
      </c>
      <c r="H1092" s="63">
        <f t="shared" ca="1" si="47"/>
        <v>18.286683333333333</v>
      </c>
      <c r="I1092" s="63">
        <f t="shared" ca="1" si="47"/>
        <v>18.287466666666663</v>
      </c>
      <c r="J1092" s="63">
        <f t="shared" ca="1" si="47"/>
        <v>10.847766666666667</v>
      </c>
      <c r="K1092" s="63">
        <f t="shared" ca="1" si="47"/>
        <v>10.848566666666665</v>
      </c>
    </row>
    <row r="1093" spans="1:11" ht="15">
      <c r="A1093" s="3">
        <v>2063</v>
      </c>
      <c r="B1093" s="63">
        <f t="shared" ca="1" si="47"/>
        <v>9.5372666666666657</v>
      </c>
      <c r="C1093" s="63">
        <f t="shared" ca="1" si="47"/>
        <v>9.5372666666666657</v>
      </c>
      <c r="D1093" s="63">
        <f t="shared" ca="1" si="47"/>
        <v>9.5555000000000003</v>
      </c>
      <c r="E1093" s="63">
        <f t="shared" ca="1" si="47"/>
        <v>11.143116666666666</v>
      </c>
      <c r="F1093" s="63">
        <f t="shared" ca="1" si="47"/>
        <v>11.143116666666666</v>
      </c>
      <c r="G1093" s="63">
        <f t="shared" ca="1" si="47"/>
        <v>11.143891666666667</v>
      </c>
      <c r="H1093" s="63">
        <f t="shared" ca="1" si="47"/>
        <v>18.7377</v>
      </c>
      <c r="I1093" s="63">
        <f t="shared" ca="1" si="47"/>
        <v>18.738516666666669</v>
      </c>
      <c r="J1093" s="63">
        <f t="shared" ca="1" si="47"/>
        <v>11.143116666666666</v>
      </c>
      <c r="K1093" s="63">
        <f t="shared" ca="1" si="47"/>
        <v>11.143891666666667</v>
      </c>
    </row>
    <row r="1094" spans="1:11" ht="15">
      <c r="A1094" s="3">
        <v>2064</v>
      </c>
      <c r="B1094" s="63">
        <f t="shared" ca="1" si="47"/>
        <v>9.7848083333333342</v>
      </c>
      <c r="C1094" s="63">
        <f t="shared" ca="1" si="47"/>
        <v>9.7848083333333342</v>
      </c>
      <c r="D1094" s="63">
        <f t="shared" ca="1" si="47"/>
        <v>9.8030333333333335</v>
      </c>
      <c r="E1094" s="63">
        <f t="shared" ca="1" si="47"/>
        <v>11.438450000000001</v>
      </c>
      <c r="F1094" s="63">
        <f t="shared" ca="1" si="47"/>
        <v>11.438450000000001</v>
      </c>
      <c r="G1094" s="63">
        <f t="shared" ca="1" si="47"/>
        <v>11.439249999999999</v>
      </c>
      <c r="H1094" s="63">
        <f t="shared" ca="1" si="47"/>
        <v>19.188758333333329</v>
      </c>
      <c r="I1094" s="63">
        <f t="shared" ca="1" si="47"/>
        <v>19.189541666666667</v>
      </c>
      <c r="J1094" s="63">
        <f t="shared" ca="1" si="47"/>
        <v>11.438450000000001</v>
      </c>
      <c r="K1094" s="63">
        <f t="shared" ca="1" si="47"/>
        <v>11.439249999999999</v>
      </c>
    </row>
    <row r="1095" spans="1:11" ht="15">
      <c r="A1095" s="3">
        <v>2065</v>
      </c>
      <c r="B1095" s="63">
        <f t="shared" ca="1" si="47"/>
        <v>10.032308333333335</v>
      </c>
      <c r="C1095" s="63">
        <f t="shared" ca="1" si="47"/>
        <v>10.032308333333335</v>
      </c>
      <c r="D1095" s="63">
        <f t="shared" ca="1" si="47"/>
        <v>10.050550000000001</v>
      </c>
      <c r="E1095" s="63">
        <f t="shared" ca="1" si="47"/>
        <v>11.733808333333334</v>
      </c>
      <c r="F1095" s="63">
        <f t="shared" ca="1" si="47"/>
        <v>11.733808333333334</v>
      </c>
      <c r="G1095" s="63">
        <f t="shared" ca="1" si="47"/>
        <v>11.734558333333332</v>
      </c>
      <c r="H1095" s="63">
        <f t="shared" ca="1" si="47"/>
        <v>19.639800000000005</v>
      </c>
      <c r="I1095" s="63">
        <f t="shared" ca="1" si="47"/>
        <v>19.640558333333335</v>
      </c>
      <c r="J1095" s="63">
        <f t="shared" ca="1" si="47"/>
        <v>11.733808333333334</v>
      </c>
      <c r="K1095" s="63">
        <f t="shared" ca="1" si="47"/>
        <v>11.734558333333332</v>
      </c>
    </row>
    <row r="1096" spans="1:11" ht="15">
      <c r="A1096" s="3">
        <v>2066</v>
      </c>
      <c r="B1096" s="63">
        <f t="shared" ca="1" si="47"/>
        <v>10.279825000000001</v>
      </c>
      <c r="C1096" s="63">
        <f t="shared" ca="1" si="47"/>
        <v>10.279825000000001</v>
      </c>
      <c r="D1096" s="63">
        <f t="shared" ca="1" si="47"/>
        <v>10.298066666666667</v>
      </c>
      <c r="E1096" s="63">
        <f t="shared" ca="1" si="47"/>
        <v>12.029158333333333</v>
      </c>
      <c r="F1096" s="63">
        <f t="shared" ca="1" si="47"/>
        <v>12.029158333333333</v>
      </c>
      <c r="G1096" s="63">
        <f t="shared" ca="1" si="47"/>
        <v>12.029925</v>
      </c>
      <c r="H1096" s="63">
        <f t="shared" ca="1" si="47"/>
        <v>20.090816666666665</v>
      </c>
      <c r="I1096" s="63">
        <f t="shared" ca="1" si="47"/>
        <v>20.091616666666667</v>
      </c>
      <c r="J1096" s="63">
        <f t="shared" ca="1" si="47"/>
        <v>12.029158333333333</v>
      </c>
      <c r="K1096" s="63">
        <f t="shared" ca="1" si="47"/>
        <v>12.029925</v>
      </c>
    </row>
    <row r="1097" spans="1:11" ht="15">
      <c r="A1097" s="3">
        <v>2067</v>
      </c>
      <c r="B1097" s="63">
        <f t="shared" ca="1" si="47"/>
        <v>10.527333333333333</v>
      </c>
      <c r="C1097" s="63">
        <f t="shared" ca="1" si="47"/>
        <v>10.527333333333333</v>
      </c>
      <c r="D1097" s="63">
        <f t="shared" ca="1" si="47"/>
        <v>10.545591666666667</v>
      </c>
      <c r="E1097" s="63">
        <f t="shared" ca="1" si="47"/>
        <v>12.324491666666667</v>
      </c>
      <c r="F1097" s="63">
        <f t="shared" ca="1" si="47"/>
        <v>12.324491666666667</v>
      </c>
      <c r="G1097" s="63">
        <f t="shared" ca="1" si="47"/>
        <v>12.325274999999998</v>
      </c>
      <c r="H1097" s="63">
        <f t="shared" ca="1" si="47"/>
        <v>20.541858333333334</v>
      </c>
      <c r="I1097" s="63">
        <f t="shared" ca="1" si="47"/>
        <v>20.542641666666668</v>
      </c>
      <c r="J1097" s="63">
        <f t="shared" ca="1" si="47"/>
        <v>12.324491666666667</v>
      </c>
      <c r="K1097" s="63">
        <f t="shared" ca="1" si="47"/>
        <v>12.325274999999998</v>
      </c>
    </row>
    <row r="1098" spans="1:11" ht="15">
      <c r="A1098" s="3">
        <v>2068</v>
      </c>
      <c r="B1098" s="63">
        <f t="shared" ca="1" si="47"/>
        <v>10.774883333333333</v>
      </c>
      <c r="C1098" s="63">
        <f t="shared" ca="1" si="47"/>
        <v>10.774883333333333</v>
      </c>
      <c r="D1098" s="63">
        <f t="shared" ca="1" si="47"/>
        <v>10.793091666666667</v>
      </c>
      <c r="E1098" s="63">
        <f t="shared" ca="1" si="47"/>
        <v>12.619816666666667</v>
      </c>
      <c r="F1098" s="63">
        <f t="shared" ca="1" si="47"/>
        <v>12.619816666666667</v>
      </c>
      <c r="G1098" s="63">
        <f t="shared" ca="1" si="47"/>
        <v>12.620616666666669</v>
      </c>
      <c r="H1098" s="63">
        <f t="shared" ca="1" si="47"/>
        <v>20.992891666666669</v>
      </c>
      <c r="I1098" s="63">
        <f t="shared" ca="1" si="47"/>
        <v>20.993691666666667</v>
      </c>
      <c r="J1098" s="63">
        <f t="shared" ca="1" si="47"/>
        <v>12.619816666666667</v>
      </c>
      <c r="K1098" s="63">
        <f t="shared" ca="1" si="47"/>
        <v>12.620616666666669</v>
      </c>
    </row>
    <row r="1099" spans="1:11" ht="15">
      <c r="A1099" s="3">
        <v>2069</v>
      </c>
      <c r="B1099" s="63">
        <f t="shared" ca="1" si="47"/>
        <v>11.022399999999999</v>
      </c>
      <c r="C1099" s="63">
        <f t="shared" ca="1" si="47"/>
        <v>11.022399999999999</v>
      </c>
      <c r="D1099" s="63">
        <f t="shared" ca="1" si="47"/>
        <v>11.040625</v>
      </c>
      <c r="E1099" s="63">
        <f t="shared" ca="1" si="47"/>
        <v>12.915183333333333</v>
      </c>
      <c r="F1099" s="63">
        <f t="shared" ca="1" si="47"/>
        <v>12.915183333333333</v>
      </c>
      <c r="G1099" s="63">
        <f t="shared" ca="1" si="47"/>
        <v>12.915941666666667</v>
      </c>
      <c r="H1099" s="63">
        <f t="shared" ca="1" si="47"/>
        <v>21.443916666666667</v>
      </c>
      <c r="I1099" s="63">
        <f t="shared" ca="1" si="47"/>
        <v>21.444716666666665</v>
      </c>
      <c r="J1099" s="63">
        <f t="shared" ca="1" si="47"/>
        <v>12.915183333333333</v>
      </c>
      <c r="K1099" s="63">
        <f t="shared" ca="1" si="47"/>
        <v>12.915941666666667</v>
      </c>
    </row>
    <row r="1100" spans="1:11" ht="15">
      <c r="A1100" s="3">
        <v>2070</v>
      </c>
      <c r="B1100" s="63">
        <f t="shared" ca="1" si="47"/>
        <v>11.269908333333333</v>
      </c>
      <c r="C1100" s="63">
        <f t="shared" ca="1" si="47"/>
        <v>11.269908333333333</v>
      </c>
      <c r="D1100" s="63">
        <f t="shared" ca="1" si="47"/>
        <v>11.288150000000002</v>
      </c>
      <c r="E1100" s="63">
        <f t="shared" ca="1" si="47"/>
        <v>13.210500000000001</v>
      </c>
      <c r="F1100" s="63">
        <f t="shared" ca="1" si="47"/>
        <v>13.210500000000001</v>
      </c>
      <c r="G1100" s="63">
        <f t="shared" ca="1" si="47"/>
        <v>13.211316666666667</v>
      </c>
      <c r="H1100" s="63">
        <f t="shared" ca="1" si="47"/>
        <v>21.894974999999999</v>
      </c>
      <c r="I1100" s="63">
        <f t="shared" ca="1" si="47"/>
        <v>21.895758333333333</v>
      </c>
      <c r="J1100" s="63">
        <f t="shared" ca="1" si="47"/>
        <v>13.210500000000001</v>
      </c>
      <c r="K1100" s="63">
        <f t="shared" ca="1" si="47"/>
        <v>13.211316666666667</v>
      </c>
    </row>
    <row r="1101" spans="1:11" ht="15">
      <c r="A1101" s="3">
        <v>2071</v>
      </c>
      <c r="B1101" s="63">
        <f t="shared" ca="1" si="47"/>
        <v>11.517416666666669</v>
      </c>
      <c r="C1101" s="63">
        <f t="shared" ca="1" si="47"/>
        <v>11.517416666666669</v>
      </c>
      <c r="D1101" s="63">
        <f t="shared" ca="1" si="47"/>
        <v>11.535674999999999</v>
      </c>
      <c r="E1101" s="63">
        <f t="shared" ca="1" si="47"/>
        <v>13.505833333333333</v>
      </c>
      <c r="F1101" s="63">
        <f t="shared" ca="1" si="47"/>
        <v>13.505833333333333</v>
      </c>
      <c r="G1101" s="63">
        <f t="shared" ca="1" si="47"/>
        <v>13.506633333333333</v>
      </c>
      <c r="H1101" s="63">
        <f t="shared" ca="1" si="47"/>
        <v>22.346016666666667</v>
      </c>
      <c r="I1101" s="63">
        <f t="shared" ca="1" si="47"/>
        <v>22.346775000000004</v>
      </c>
      <c r="J1101" s="63">
        <f t="shared" ca="1" si="47"/>
        <v>13.505833333333333</v>
      </c>
      <c r="K1101" s="63">
        <f t="shared" ca="1" si="47"/>
        <v>13.506633333333333</v>
      </c>
    </row>
    <row r="1102" spans="1:11" ht="15">
      <c r="A1102" s="3">
        <v>2072</v>
      </c>
      <c r="B1102" s="63">
        <f t="shared" ref="B1102:K1111" ca="1" si="48">AVERAGE(OFFSET(B$576,($A1102-$A$1092)*12,0,12,1))</f>
        <v>11.764941666666667</v>
      </c>
      <c r="C1102" s="63">
        <f t="shared" ca="1" si="48"/>
        <v>11.764941666666667</v>
      </c>
      <c r="D1102" s="63">
        <f t="shared" ca="1" si="48"/>
        <v>11.783183333333334</v>
      </c>
      <c r="E1102" s="63">
        <f t="shared" ca="1" si="48"/>
        <v>13.801191666666668</v>
      </c>
      <c r="F1102" s="63">
        <f t="shared" ca="1" si="48"/>
        <v>13.801191666666668</v>
      </c>
      <c r="G1102" s="63">
        <f t="shared" ca="1" si="48"/>
        <v>13.801983333333334</v>
      </c>
      <c r="H1102" s="63">
        <f t="shared" ca="1" si="48"/>
        <v>22.797041666666669</v>
      </c>
      <c r="I1102" s="63">
        <f t="shared" ca="1" si="48"/>
        <v>22.797825</v>
      </c>
      <c r="J1102" s="63">
        <f t="shared" ca="1" si="48"/>
        <v>13.801191666666668</v>
      </c>
      <c r="K1102" s="63">
        <f t="shared" ca="1" si="48"/>
        <v>13.801983333333334</v>
      </c>
    </row>
    <row r="1103" spans="1:11" ht="15">
      <c r="A1103" s="3">
        <v>2073</v>
      </c>
      <c r="B1103" s="63">
        <f t="shared" ca="1" si="48"/>
        <v>12.012483333333334</v>
      </c>
      <c r="C1103" s="63">
        <f t="shared" ca="1" si="48"/>
        <v>12.012483333333334</v>
      </c>
      <c r="D1103" s="63">
        <f t="shared" ca="1" si="48"/>
        <v>12.030700000000001</v>
      </c>
      <c r="E1103" s="63">
        <f t="shared" ca="1" si="48"/>
        <v>14.096541666666665</v>
      </c>
      <c r="F1103" s="63">
        <f t="shared" ca="1" si="48"/>
        <v>14.096541666666665</v>
      </c>
      <c r="G1103" s="63">
        <f t="shared" ca="1" si="48"/>
        <v>14.097333333333333</v>
      </c>
      <c r="H1103" s="63">
        <f t="shared" ca="1" si="48"/>
        <v>23.248075000000004</v>
      </c>
      <c r="I1103" s="63">
        <f t="shared" ca="1" si="48"/>
        <v>23.248866666666668</v>
      </c>
      <c r="J1103" s="63">
        <f t="shared" ca="1" si="48"/>
        <v>14.096541666666665</v>
      </c>
      <c r="K1103" s="63">
        <f t="shared" ca="1" si="48"/>
        <v>14.097333333333333</v>
      </c>
    </row>
    <row r="1104" spans="1:11" ht="15">
      <c r="A1104" s="3">
        <v>2074</v>
      </c>
      <c r="B1104" s="63">
        <f t="shared" ca="1" si="48"/>
        <v>12.259991666666666</v>
      </c>
      <c r="C1104" s="63">
        <f t="shared" ca="1" si="48"/>
        <v>12.259991666666666</v>
      </c>
      <c r="D1104" s="63">
        <f t="shared" ca="1" si="48"/>
        <v>12.278216666666667</v>
      </c>
      <c r="E1104" s="63">
        <f t="shared" ca="1" si="48"/>
        <v>14.391883333333332</v>
      </c>
      <c r="F1104" s="63">
        <f t="shared" ca="1" si="48"/>
        <v>14.391883333333332</v>
      </c>
      <c r="G1104" s="63">
        <f t="shared" ca="1" si="48"/>
        <v>14.392674999999999</v>
      </c>
      <c r="H1104" s="63">
        <f t="shared" ca="1" si="48"/>
        <v>23.699116666666665</v>
      </c>
      <c r="I1104" s="63">
        <f t="shared" ca="1" si="48"/>
        <v>23.69990833333333</v>
      </c>
      <c r="J1104" s="63">
        <f t="shared" ca="1" si="48"/>
        <v>14.391883333333332</v>
      </c>
      <c r="K1104" s="63">
        <f t="shared" ca="1" si="48"/>
        <v>14.392674999999999</v>
      </c>
    </row>
    <row r="1105" spans="1:11" ht="15">
      <c r="A1105" s="3">
        <v>2075</v>
      </c>
      <c r="B1105" s="63">
        <f t="shared" ca="1" si="48"/>
        <v>12.5075</v>
      </c>
      <c r="C1105" s="63">
        <f t="shared" ca="1" si="48"/>
        <v>12.5075</v>
      </c>
      <c r="D1105" s="63">
        <f t="shared" ca="1" si="48"/>
        <v>12.525750000000002</v>
      </c>
      <c r="E1105" s="63">
        <f t="shared" ca="1" si="48"/>
        <v>14.687225000000003</v>
      </c>
      <c r="F1105" s="63">
        <f t="shared" ca="1" si="48"/>
        <v>14.687225000000003</v>
      </c>
      <c r="G1105" s="63">
        <f t="shared" ca="1" si="48"/>
        <v>14.688008333333334</v>
      </c>
      <c r="H1105" s="63">
        <f t="shared" ca="1" si="48"/>
        <v>24.150158333333334</v>
      </c>
      <c r="I1105" s="63">
        <f t="shared" ca="1" si="48"/>
        <v>24.150933333333331</v>
      </c>
      <c r="J1105" s="63">
        <f t="shared" ca="1" si="48"/>
        <v>14.687225000000003</v>
      </c>
      <c r="K1105" s="63">
        <f t="shared" ca="1" si="48"/>
        <v>14.688008333333334</v>
      </c>
    </row>
    <row r="1106" spans="1:11" ht="15">
      <c r="A1106" s="3">
        <v>2076</v>
      </c>
      <c r="B1106" s="63">
        <f t="shared" ca="1" si="48"/>
        <v>12.755041666666669</v>
      </c>
      <c r="C1106" s="63">
        <f t="shared" ca="1" si="48"/>
        <v>12.755041666666669</v>
      </c>
      <c r="D1106" s="63">
        <f t="shared" ca="1" si="48"/>
        <v>12.773258333333336</v>
      </c>
      <c r="E1106" s="63">
        <f t="shared" ca="1" si="48"/>
        <v>14.982583333333332</v>
      </c>
      <c r="F1106" s="63">
        <f t="shared" ca="1" si="48"/>
        <v>14.982583333333332</v>
      </c>
      <c r="G1106" s="63">
        <f t="shared" ca="1" si="48"/>
        <v>14.983366666666663</v>
      </c>
      <c r="H1106" s="63">
        <f t="shared" ca="1" si="48"/>
        <v>24.601200000000002</v>
      </c>
      <c r="I1106" s="63">
        <f t="shared" ca="1" si="48"/>
        <v>24.601966666666666</v>
      </c>
      <c r="J1106" s="63">
        <f t="shared" ca="1" si="48"/>
        <v>14.982583333333332</v>
      </c>
      <c r="K1106" s="63">
        <f t="shared" ca="1" si="48"/>
        <v>14.983366666666663</v>
      </c>
    </row>
    <row r="1107" spans="1:11" ht="15">
      <c r="A1107" s="3">
        <v>2077</v>
      </c>
      <c r="B1107" s="63">
        <f t="shared" ca="1" si="48"/>
        <v>13.002541666666668</v>
      </c>
      <c r="C1107" s="63">
        <f t="shared" ca="1" si="48"/>
        <v>13.002541666666668</v>
      </c>
      <c r="D1107" s="63">
        <f t="shared" ca="1" si="48"/>
        <v>13.020791666666669</v>
      </c>
      <c r="E1107" s="63">
        <f t="shared" ca="1" si="48"/>
        <v>15.277916666666664</v>
      </c>
      <c r="F1107" s="63">
        <f t="shared" ca="1" si="48"/>
        <v>15.277916666666664</v>
      </c>
      <c r="G1107" s="63">
        <f t="shared" ca="1" si="48"/>
        <v>15.278700000000001</v>
      </c>
      <c r="H1107" s="63">
        <f t="shared" ca="1" si="48"/>
        <v>25.052241666666664</v>
      </c>
      <c r="I1107" s="63">
        <f t="shared" ca="1" si="48"/>
        <v>25.052991666666667</v>
      </c>
      <c r="J1107" s="63">
        <f t="shared" ca="1" si="48"/>
        <v>15.277916666666664</v>
      </c>
      <c r="K1107" s="63">
        <f t="shared" ca="1" si="48"/>
        <v>15.278700000000001</v>
      </c>
    </row>
    <row r="1108" spans="1:11" ht="15">
      <c r="A1108" s="3">
        <v>2078</v>
      </c>
      <c r="B1108" s="63">
        <f t="shared" ca="1" si="48"/>
        <v>13.250050000000002</v>
      </c>
      <c r="C1108" s="63">
        <f t="shared" ca="1" si="48"/>
        <v>13.250050000000002</v>
      </c>
      <c r="D1108" s="63">
        <f t="shared" ca="1" si="48"/>
        <v>13.268300000000004</v>
      </c>
      <c r="E1108" s="63">
        <f t="shared" ca="1" si="48"/>
        <v>15.573258333333335</v>
      </c>
      <c r="F1108" s="63">
        <f t="shared" ca="1" si="48"/>
        <v>15.573258333333335</v>
      </c>
      <c r="G1108" s="63">
        <f t="shared" ca="1" si="48"/>
        <v>15.574050000000002</v>
      </c>
      <c r="H1108" s="63">
        <f t="shared" ca="1" si="48"/>
        <v>25.503249999999998</v>
      </c>
      <c r="I1108" s="63">
        <f t="shared" ca="1" si="48"/>
        <v>25.504041666666669</v>
      </c>
      <c r="J1108" s="63">
        <f t="shared" ca="1" si="48"/>
        <v>15.573258333333335</v>
      </c>
      <c r="K1108" s="63">
        <f t="shared" ca="1" si="48"/>
        <v>15.574050000000002</v>
      </c>
    </row>
    <row r="1109" spans="1:11" ht="15">
      <c r="A1109" s="3">
        <v>2079</v>
      </c>
      <c r="B1109" s="63">
        <f t="shared" ca="1" si="48"/>
        <v>13.497583333333333</v>
      </c>
      <c r="C1109" s="63">
        <f t="shared" ca="1" si="48"/>
        <v>13.497583333333333</v>
      </c>
      <c r="D1109" s="63">
        <f t="shared" ca="1" si="48"/>
        <v>13.515808333333334</v>
      </c>
      <c r="E1109" s="63">
        <f t="shared" ca="1" si="48"/>
        <v>15.868608333333333</v>
      </c>
      <c r="F1109" s="63">
        <f t="shared" ca="1" si="48"/>
        <v>15.868608333333333</v>
      </c>
      <c r="G1109" s="63">
        <f t="shared" ca="1" si="48"/>
        <v>15.869375</v>
      </c>
      <c r="H1109" s="63">
        <f t="shared" ca="1" si="48"/>
        <v>25.954283333333333</v>
      </c>
      <c r="I1109" s="63">
        <f t="shared" ca="1" si="48"/>
        <v>25.955075000000004</v>
      </c>
      <c r="J1109" s="63">
        <f t="shared" ca="1" si="48"/>
        <v>15.868608333333333</v>
      </c>
      <c r="K1109" s="63">
        <f t="shared" ca="1" si="48"/>
        <v>15.869375</v>
      </c>
    </row>
    <row r="1110" spans="1:11" ht="15">
      <c r="A1110" s="3">
        <v>2080</v>
      </c>
      <c r="B1110" s="63">
        <f t="shared" ca="1" si="48"/>
        <v>13.745116666666668</v>
      </c>
      <c r="C1110" s="63">
        <f t="shared" ca="1" si="48"/>
        <v>13.745116666666668</v>
      </c>
      <c r="D1110" s="63">
        <f t="shared" ca="1" si="48"/>
        <v>13.763341666666667</v>
      </c>
      <c r="E1110" s="63">
        <f t="shared" ca="1" si="48"/>
        <v>16.163950000000003</v>
      </c>
      <c r="F1110" s="63">
        <f t="shared" ca="1" si="48"/>
        <v>16.163950000000003</v>
      </c>
      <c r="G1110" s="63">
        <f t="shared" ca="1" si="48"/>
        <v>16.164716666666664</v>
      </c>
      <c r="H1110" s="63">
        <f t="shared" ca="1" si="48"/>
        <v>26.405316666666661</v>
      </c>
      <c r="I1110" s="63">
        <f t="shared" ca="1" si="48"/>
        <v>26.406116666666666</v>
      </c>
      <c r="J1110" s="63">
        <f t="shared" ca="1" si="48"/>
        <v>16.163950000000003</v>
      </c>
      <c r="K1110" s="63">
        <f t="shared" ca="1" si="48"/>
        <v>16.164716666666664</v>
      </c>
    </row>
    <row r="1111" spans="1:11" ht="15">
      <c r="A1111" s="3">
        <v>2081</v>
      </c>
      <c r="B1111" s="63">
        <f t="shared" ca="1" si="48"/>
        <v>13.992633333333336</v>
      </c>
      <c r="C1111" s="63">
        <f t="shared" ca="1" si="48"/>
        <v>13.992633333333336</v>
      </c>
      <c r="D1111" s="63">
        <f t="shared" ca="1" si="48"/>
        <v>14.010858333333331</v>
      </c>
      <c r="E1111" s="63">
        <f t="shared" ca="1" si="48"/>
        <v>16.459275000000002</v>
      </c>
      <c r="F1111" s="63">
        <f t="shared" ca="1" si="48"/>
        <v>16.459275000000002</v>
      </c>
      <c r="G1111" s="63">
        <f t="shared" ca="1" si="48"/>
        <v>16.460083333333333</v>
      </c>
      <c r="H1111" s="63">
        <f t="shared" ca="1" si="48"/>
        <v>26.856358333333333</v>
      </c>
      <c r="I1111" s="63">
        <f t="shared" ca="1" si="48"/>
        <v>26.857150000000001</v>
      </c>
      <c r="J1111" s="63">
        <f t="shared" ca="1" si="48"/>
        <v>16.459275000000002</v>
      </c>
      <c r="K1111" s="63">
        <f t="shared" ca="1" si="48"/>
        <v>16.460083333333333</v>
      </c>
    </row>
    <row r="1112" spans="1:11" ht="15">
      <c r="A1112" s="3">
        <v>2082</v>
      </c>
      <c r="B1112" s="63">
        <f t="shared" ref="B1112:K1121" ca="1" si="49">AVERAGE(OFFSET(B$576,($A1112-$A$1092)*12,0,12,1))</f>
        <v>14.240133333333334</v>
      </c>
      <c r="C1112" s="63">
        <f t="shared" ca="1" si="49"/>
        <v>14.240133333333334</v>
      </c>
      <c r="D1112" s="63">
        <f t="shared" ca="1" si="49"/>
        <v>14.258366666666666</v>
      </c>
      <c r="E1112" s="63">
        <f t="shared" ca="1" si="49"/>
        <v>16.754633333333334</v>
      </c>
      <c r="F1112" s="63">
        <f t="shared" ca="1" si="49"/>
        <v>16.754633333333334</v>
      </c>
      <c r="G1112" s="63">
        <f t="shared" ca="1" si="49"/>
        <v>16.755408333333335</v>
      </c>
      <c r="H1112" s="63">
        <f t="shared" ca="1" si="49"/>
        <v>27.307400000000001</v>
      </c>
      <c r="I1112" s="63">
        <f t="shared" ca="1" si="49"/>
        <v>27.308183333333336</v>
      </c>
      <c r="J1112" s="63">
        <f t="shared" ca="1" si="49"/>
        <v>16.754633333333334</v>
      </c>
      <c r="K1112" s="63">
        <f t="shared" ca="1" si="49"/>
        <v>16.755408333333335</v>
      </c>
    </row>
    <row r="1113" spans="1:11" ht="15">
      <c r="A1113" s="3">
        <v>2083</v>
      </c>
      <c r="B1113" s="63">
        <f t="shared" ca="1" si="49"/>
        <v>14.487650000000002</v>
      </c>
      <c r="C1113" s="63">
        <f t="shared" ca="1" si="49"/>
        <v>14.487650000000002</v>
      </c>
      <c r="D1113" s="63">
        <f t="shared" ca="1" si="49"/>
        <v>14.505899999999997</v>
      </c>
      <c r="E1113" s="63">
        <f t="shared" ca="1" si="49"/>
        <v>17.049966666666666</v>
      </c>
      <c r="F1113" s="63">
        <f t="shared" ca="1" si="49"/>
        <v>17.049966666666666</v>
      </c>
      <c r="G1113" s="63">
        <f t="shared" ca="1" si="49"/>
        <v>17.050758333333331</v>
      </c>
      <c r="H1113" s="63">
        <f t="shared" ca="1" si="49"/>
        <v>27.758433333333329</v>
      </c>
      <c r="I1113" s="63">
        <f t="shared" ca="1" si="49"/>
        <v>27.759216666666664</v>
      </c>
      <c r="J1113" s="63">
        <f t="shared" ca="1" si="49"/>
        <v>17.049966666666666</v>
      </c>
      <c r="K1113" s="63">
        <f t="shared" ca="1" si="49"/>
        <v>17.050758333333331</v>
      </c>
    </row>
    <row r="1114" spans="1:11" ht="15">
      <c r="A1114" s="3">
        <v>2084</v>
      </c>
      <c r="B1114" s="63">
        <f t="shared" ca="1" si="49"/>
        <v>14.735199999999997</v>
      </c>
      <c r="C1114" s="63">
        <f t="shared" ca="1" si="49"/>
        <v>14.735199999999997</v>
      </c>
      <c r="D1114" s="63">
        <f t="shared" ca="1" si="49"/>
        <v>14.753408333333331</v>
      </c>
      <c r="E1114" s="63">
        <f t="shared" ca="1" si="49"/>
        <v>17.345324999999999</v>
      </c>
      <c r="F1114" s="63">
        <f t="shared" ca="1" si="49"/>
        <v>17.345324999999999</v>
      </c>
      <c r="G1114" s="63">
        <f t="shared" ca="1" si="49"/>
        <v>17.34609166666667</v>
      </c>
      <c r="H1114" s="63">
        <f t="shared" ca="1" si="49"/>
        <v>28.209475000000001</v>
      </c>
      <c r="I1114" s="63">
        <f t="shared" ca="1" si="49"/>
        <v>28.210258333333339</v>
      </c>
      <c r="J1114" s="63">
        <f t="shared" ca="1" si="49"/>
        <v>17.345324999999999</v>
      </c>
      <c r="K1114" s="63">
        <f t="shared" ca="1" si="49"/>
        <v>17.34609166666667</v>
      </c>
    </row>
    <row r="1115" spans="1:11" ht="15">
      <c r="A1115" s="3">
        <v>2085</v>
      </c>
      <c r="B1115" s="63">
        <f t="shared" ca="1" si="49"/>
        <v>14.982699999999999</v>
      </c>
      <c r="C1115" s="63">
        <f t="shared" ca="1" si="49"/>
        <v>14.982699999999999</v>
      </c>
      <c r="D1115" s="63">
        <f t="shared" ca="1" si="49"/>
        <v>15.000925000000001</v>
      </c>
      <c r="E1115" s="63">
        <f t="shared" ca="1" si="49"/>
        <v>17.640658333333334</v>
      </c>
      <c r="F1115" s="63">
        <f t="shared" ca="1" si="49"/>
        <v>17.640658333333334</v>
      </c>
      <c r="G1115" s="63">
        <f t="shared" ca="1" si="49"/>
        <v>17.641450000000003</v>
      </c>
      <c r="H1115" s="63">
        <f t="shared" ca="1" si="49"/>
        <v>28.660508333333336</v>
      </c>
      <c r="I1115" s="63">
        <f t="shared" ca="1" si="49"/>
        <v>28.661291666666667</v>
      </c>
      <c r="J1115" s="63">
        <f t="shared" ca="1" si="49"/>
        <v>17.640658333333334</v>
      </c>
      <c r="K1115" s="63">
        <f t="shared" ca="1" si="49"/>
        <v>17.641450000000003</v>
      </c>
    </row>
    <row r="1116" spans="1:11" ht="15">
      <c r="A1116" s="3">
        <v>2086</v>
      </c>
      <c r="B1116" s="63">
        <f t="shared" ca="1" si="49"/>
        <v>15.230216666666664</v>
      </c>
      <c r="C1116" s="63">
        <f t="shared" ca="1" si="49"/>
        <v>15.230216666666664</v>
      </c>
      <c r="D1116" s="63">
        <f t="shared" ca="1" si="49"/>
        <v>15.248466666666666</v>
      </c>
      <c r="E1116" s="63">
        <f t="shared" ca="1" si="49"/>
        <v>17.936008333333334</v>
      </c>
      <c r="F1116" s="63">
        <f t="shared" ca="1" si="49"/>
        <v>17.936008333333334</v>
      </c>
      <c r="G1116" s="63">
        <f t="shared" ca="1" si="49"/>
        <v>17.936775000000001</v>
      </c>
      <c r="H1116" s="63">
        <f t="shared" ca="1" si="49"/>
        <v>29.11153333333333</v>
      </c>
      <c r="I1116" s="63">
        <f t="shared" ca="1" si="49"/>
        <v>29.112333333333336</v>
      </c>
      <c r="J1116" s="63">
        <f t="shared" ca="1" si="49"/>
        <v>17.936008333333334</v>
      </c>
      <c r="K1116" s="63">
        <f t="shared" ca="1" si="49"/>
        <v>17.936775000000001</v>
      </c>
    </row>
    <row r="1117" spans="1:11" ht="15">
      <c r="A1117" s="3">
        <v>2087</v>
      </c>
      <c r="B1117" s="63">
        <f t="shared" ca="1" si="49"/>
        <v>15.477733333333333</v>
      </c>
      <c r="C1117" s="63">
        <f t="shared" ca="1" si="49"/>
        <v>15.477733333333333</v>
      </c>
      <c r="D1117" s="63">
        <f t="shared" ca="1" si="49"/>
        <v>15.495974999999996</v>
      </c>
      <c r="E1117" s="63">
        <f t="shared" ca="1" si="49"/>
        <v>18.231333333333335</v>
      </c>
      <c r="F1117" s="63">
        <f t="shared" ca="1" si="49"/>
        <v>18.231333333333335</v>
      </c>
      <c r="G1117" s="63">
        <f t="shared" ca="1" si="49"/>
        <v>18.232141666666667</v>
      </c>
      <c r="H1117" s="63">
        <f t="shared" ca="1" si="49"/>
        <v>29.562583333333333</v>
      </c>
      <c r="I1117" s="63">
        <f t="shared" ca="1" si="49"/>
        <v>29.56335</v>
      </c>
      <c r="J1117" s="63">
        <f t="shared" ca="1" si="49"/>
        <v>18.231333333333335</v>
      </c>
      <c r="K1117" s="63">
        <f t="shared" ca="1" si="49"/>
        <v>18.232141666666667</v>
      </c>
    </row>
    <row r="1118" spans="1:11" ht="15">
      <c r="A1118" s="3">
        <v>2088</v>
      </c>
      <c r="B1118" s="63">
        <f t="shared" ca="1" si="49"/>
        <v>15.725258333333331</v>
      </c>
      <c r="C1118" s="63">
        <f t="shared" ca="1" si="49"/>
        <v>15.725258333333331</v>
      </c>
      <c r="D1118" s="63">
        <f t="shared" ca="1" si="49"/>
        <v>15.743491666666664</v>
      </c>
      <c r="E1118" s="63">
        <f t="shared" ca="1" si="49"/>
        <v>18.526683333333335</v>
      </c>
      <c r="F1118" s="63">
        <f t="shared" ca="1" si="49"/>
        <v>18.526683333333335</v>
      </c>
      <c r="G1118" s="63">
        <f t="shared" ca="1" si="49"/>
        <v>18.527466666666665</v>
      </c>
      <c r="H1118" s="63">
        <f t="shared" ca="1" si="49"/>
        <v>30.013625000000005</v>
      </c>
      <c r="I1118" s="63">
        <f t="shared" ca="1" si="49"/>
        <v>30.014391666666658</v>
      </c>
      <c r="J1118" s="63">
        <f t="shared" ca="1" si="49"/>
        <v>18.526683333333335</v>
      </c>
      <c r="K1118" s="63">
        <f t="shared" ca="1" si="49"/>
        <v>18.527466666666665</v>
      </c>
    </row>
    <row r="1119" spans="1:11" ht="15">
      <c r="A1119" s="3">
        <v>2089</v>
      </c>
      <c r="B1119" s="63">
        <f t="shared" ca="1" si="49"/>
        <v>15.972775000000004</v>
      </c>
      <c r="C1119" s="63">
        <f t="shared" ca="1" si="49"/>
        <v>15.972775000000004</v>
      </c>
      <c r="D1119" s="63">
        <f t="shared" ca="1" si="49"/>
        <v>15.991008333333331</v>
      </c>
      <c r="E1119" s="63">
        <f t="shared" ca="1" si="49"/>
        <v>18.822033333333334</v>
      </c>
      <c r="F1119" s="63">
        <f t="shared" ca="1" si="49"/>
        <v>18.822033333333334</v>
      </c>
      <c r="G1119" s="63">
        <f t="shared" ca="1" si="49"/>
        <v>18.822816666666668</v>
      </c>
      <c r="H1119" s="63">
        <f t="shared" ca="1" si="49"/>
        <v>30.464666666666663</v>
      </c>
      <c r="I1119" s="63">
        <f t="shared" ca="1" si="49"/>
        <v>30.465441666666667</v>
      </c>
      <c r="J1119" s="63">
        <f t="shared" ca="1" si="49"/>
        <v>18.822033333333334</v>
      </c>
      <c r="K1119" s="63">
        <f t="shared" ca="1" si="49"/>
        <v>18.822816666666668</v>
      </c>
    </row>
    <row r="1120" spans="1:11" ht="15">
      <c r="A1120" s="3">
        <v>2090</v>
      </c>
      <c r="B1120" s="63">
        <f t="shared" ca="1" si="49"/>
        <v>16.220299999999998</v>
      </c>
      <c r="C1120" s="63">
        <f t="shared" ca="1" si="49"/>
        <v>16.220299999999998</v>
      </c>
      <c r="D1120" s="63">
        <f t="shared" ca="1" si="49"/>
        <v>16.238533333333333</v>
      </c>
      <c r="E1120" s="63">
        <f t="shared" ca="1" si="49"/>
        <v>19.117366666666669</v>
      </c>
      <c r="F1120" s="63">
        <f t="shared" ca="1" si="49"/>
        <v>19.117366666666669</v>
      </c>
      <c r="G1120" s="63">
        <f t="shared" ca="1" si="49"/>
        <v>19.118149999999996</v>
      </c>
      <c r="H1120" s="63">
        <f t="shared" ca="1" si="49"/>
        <v>30.915683333333337</v>
      </c>
      <c r="I1120" s="63">
        <f t="shared" ca="1" si="49"/>
        <v>30.916483333333336</v>
      </c>
      <c r="J1120" s="63">
        <f t="shared" ca="1" si="49"/>
        <v>19.117366666666669</v>
      </c>
      <c r="K1120" s="63">
        <f t="shared" ca="1" si="49"/>
        <v>19.118149999999996</v>
      </c>
    </row>
    <row r="1121" spans="1:11" ht="15">
      <c r="A1121" s="3">
        <v>2091</v>
      </c>
      <c r="B1121" s="63">
        <f t="shared" ca="1" si="49"/>
        <v>16.467799999999997</v>
      </c>
      <c r="C1121" s="63">
        <f t="shared" ca="1" si="49"/>
        <v>16.467799999999997</v>
      </c>
      <c r="D1121" s="63">
        <f t="shared" ca="1" si="49"/>
        <v>16.486066666666662</v>
      </c>
      <c r="E1121" s="63">
        <f t="shared" ca="1" si="49"/>
        <v>19.412708333333331</v>
      </c>
      <c r="F1121" s="63">
        <f t="shared" ca="1" si="49"/>
        <v>19.412708333333331</v>
      </c>
      <c r="G1121" s="63">
        <f t="shared" ca="1" si="49"/>
        <v>19.413508333333336</v>
      </c>
      <c r="H1121" s="63">
        <f t="shared" ca="1" si="49"/>
        <v>31.366708333333332</v>
      </c>
      <c r="I1121" s="63">
        <f t="shared" ca="1" si="49"/>
        <v>31.367499999999996</v>
      </c>
      <c r="J1121" s="63">
        <f t="shared" ca="1" si="49"/>
        <v>19.412708333333331</v>
      </c>
      <c r="K1121" s="63">
        <f t="shared" ca="1" si="49"/>
        <v>19.413508333333336</v>
      </c>
    </row>
    <row r="1122" spans="1:11" ht="15">
      <c r="A1122" s="3">
        <v>2092</v>
      </c>
      <c r="B1122" s="63">
        <f t="shared" ref="B1122:K1130" ca="1" si="50">AVERAGE(OFFSET(B$576,($A1122-$A$1092)*12,0,12,1))</f>
        <v>16.715349999999997</v>
      </c>
      <c r="C1122" s="63">
        <f t="shared" ca="1" si="50"/>
        <v>16.715349999999997</v>
      </c>
      <c r="D1122" s="63">
        <f t="shared" ca="1" si="50"/>
        <v>16.733566666666665</v>
      </c>
      <c r="E1122" s="63">
        <f t="shared" ca="1" si="50"/>
        <v>19.708050000000004</v>
      </c>
      <c r="F1122" s="63">
        <f t="shared" ca="1" si="50"/>
        <v>19.708050000000004</v>
      </c>
      <c r="G1122" s="63">
        <f t="shared" ca="1" si="50"/>
        <v>19.708841666666668</v>
      </c>
      <c r="H1122" s="63">
        <f t="shared" ca="1" si="50"/>
        <v>31.817750000000007</v>
      </c>
      <c r="I1122" s="63">
        <f t="shared" ca="1" si="50"/>
        <v>31.818541666666665</v>
      </c>
      <c r="J1122" s="63">
        <f t="shared" ca="1" si="50"/>
        <v>19.708050000000004</v>
      </c>
      <c r="K1122" s="63">
        <f t="shared" ca="1" si="50"/>
        <v>19.708841666666668</v>
      </c>
    </row>
    <row r="1123" spans="1:11" ht="15">
      <c r="A1123" s="3">
        <v>2093</v>
      </c>
      <c r="B1123" s="63">
        <f t="shared" ca="1" si="50"/>
        <v>16.962858333333333</v>
      </c>
      <c r="C1123" s="63">
        <f t="shared" ca="1" si="50"/>
        <v>16.962858333333333</v>
      </c>
      <c r="D1123" s="63">
        <f t="shared" ca="1" si="50"/>
        <v>16.981091666666668</v>
      </c>
      <c r="E1123" s="63">
        <f t="shared" ca="1" si="50"/>
        <v>20.003391666666669</v>
      </c>
      <c r="F1123" s="63">
        <f t="shared" ca="1" si="50"/>
        <v>20.003391666666669</v>
      </c>
      <c r="G1123" s="63">
        <f t="shared" ca="1" si="50"/>
        <v>20.004199999999997</v>
      </c>
      <c r="H1123" s="63">
        <f t="shared" ca="1" si="50"/>
        <v>32.268808333333332</v>
      </c>
      <c r="I1123" s="63">
        <f t="shared" ca="1" si="50"/>
        <v>32.269583333333337</v>
      </c>
      <c r="J1123" s="63">
        <f t="shared" ca="1" si="50"/>
        <v>20.003391666666669</v>
      </c>
      <c r="K1123" s="63">
        <f t="shared" ca="1" si="50"/>
        <v>20.004199999999997</v>
      </c>
    </row>
    <row r="1124" spans="1:11" ht="15">
      <c r="A1124" s="3">
        <v>2094</v>
      </c>
      <c r="B1124" s="63">
        <f t="shared" ca="1" si="50"/>
        <v>17.210366666666665</v>
      </c>
      <c r="C1124" s="63">
        <f t="shared" ca="1" si="50"/>
        <v>17.210366666666665</v>
      </c>
      <c r="D1124" s="63">
        <f t="shared" ca="1" si="50"/>
        <v>17.22860833333333</v>
      </c>
      <c r="E1124" s="63">
        <f t="shared" ca="1" si="50"/>
        <v>20.298733333333335</v>
      </c>
      <c r="F1124" s="63">
        <f t="shared" ca="1" si="50"/>
        <v>20.298733333333335</v>
      </c>
      <c r="G1124" s="63">
        <f t="shared" ca="1" si="50"/>
        <v>20.29954166666667</v>
      </c>
      <c r="H1124" s="63">
        <f t="shared" ca="1" si="50"/>
        <v>32.719841666666667</v>
      </c>
      <c r="I1124" s="63">
        <f t="shared" ca="1" si="50"/>
        <v>32.720616666666665</v>
      </c>
      <c r="J1124" s="63">
        <f t="shared" ca="1" si="50"/>
        <v>20.298733333333335</v>
      </c>
      <c r="K1124" s="63">
        <f t="shared" ca="1" si="50"/>
        <v>20.29954166666667</v>
      </c>
    </row>
    <row r="1125" spans="1:11" ht="15">
      <c r="A1125" s="3">
        <v>2095</v>
      </c>
      <c r="B1125" s="63">
        <f t="shared" ca="1" si="50"/>
        <v>17.457874999999998</v>
      </c>
      <c r="C1125" s="63">
        <f t="shared" ca="1" si="50"/>
        <v>17.457874999999998</v>
      </c>
      <c r="D1125" s="63">
        <f t="shared" ca="1" si="50"/>
        <v>17.476125</v>
      </c>
      <c r="E1125" s="63">
        <f t="shared" ca="1" si="50"/>
        <v>20.594083333333334</v>
      </c>
      <c r="F1125" s="63">
        <f t="shared" ca="1" si="50"/>
        <v>20.594083333333334</v>
      </c>
      <c r="G1125" s="63">
        <f t="shared" ca="1" si="50"/>
        <v>20.594858333333338</v>
      </c>
      <c r="H1125" s="63">
        <f t="shared" ca="1" si="50"/>
        <v>33.170858333333335</v>
      </c>
      <c r="I1125" s="63">
        <f t="shared" ca="1" si="50"/>
        <v>33.171675</v>
      </c>
      <c r="J1125" s="63">
        <f t="shared" ca="1" si="50"/>
        <v>20.594083333333334</v>
      </c>
      <c r="K1125" s="63">
        <f t="shared" ca="1" si="50"/>
        <v>20.594858333333338</v>
      </c>
    </row>
    <row r="1126" spans="1:11" ht="15">
      <c r="A1126" s="3">
        <v>2096</v>
      </c>
      <c r="B1126" s="63">
        <f t="shared" ca="1" si="50"/>
        <v>17.705416666666668</v>
      </c>
      <c r="C1126" s="63">
        <f t="shared" ca="1" si="50"/>
        <v>17.705416666666668</v>
      </c>
      <c r="D1126" s="63">
        <f t="shared" ca="1" si="50"/>
        <v>17.723641666666666</v>
      </c>
      <c r="E1126" s="63">
        <f t="shared" ca="1" si="50"/>
        <v>20.889433333333333</v>
      </c>
      <c r="F1126" s="63">
        <f t="shared" ca="1" si="50"/>
        <v>20.889433333333333</v>
      </c>
      <c r="G1126" s="63">
        <f t="shared" ca="1" si="50"/>
        <v>20.890199999999997</v>
      </c>
      <c r="H1126" s="63">
        <f t="shared" ca="1" si="50"/>
        <v>33.621900000000004</v>
      </c>
      <c r="I1126" s="63">
        <f t="shared" ca="1" si="50"/>
        <v>33.622700000000002</v>
      </c>
      <c r="J1126" s="63">
        <f t="shared" ca="1" si="50"/>
        <v>20.889433333333333</v>
      </c>
      <c r="K1126" s="63">
        <f t="shared" ca="1" si="50"/>
        <v>20.890199999999997</v>
      </c>
    </row>
    <row r="1127" spans="1:11" ht="15">
      <c r="A1127" s="3">
        <v>2097</v>
      </c>
      <c r="B1127" s="63">
        <f t="shared" ca="1" si="50"/>
        <v>17.952933333333334</v>
      </c>
      <c r="C1127" s="63">
        <f t="shared" ca="1" si="50"/>
        <v>17.952933333333334</v>
      </c>
      <c r="D1127" s="63">
        <f t="shared" ca="1" si="50"/>
        <v>17.971174999999999</v>
      </c>
      <c r="E1127" s="63">
        <f t="shared" ca="1" si="50"/>
        <v>21.184783333333336</v>
      </c>
      <c r="F1127" s="63">
        <f t="shared" ca="1" si="50"/>
        <v>21.184783333333336</v>
      </c>
      <c r="G1127" s="63">
        <f t="shared" ca="1" si="50"/>
        <v>21.185550000000003</v>
      </c>
      <c r="H1127" s="63">
        <f t="shared" ca="1" si="50"/>
        <v>34.072941666666665</v>
      </c>
      <c r="I1127" s="63">
        <f t="shared" ca="1" si="50"/>
        <v>34.073725000000003</v>
      </c>
      <c r="J1127" s="63">
        <f t="shared" ca="1" si="50"/>
        <v>21.184783333333336</v>
      </c>
      <c r="K1127" s="63">
        <f t="shared" ca="1" si="50"/>
        <v>21.185550000000003</v>
      </c>
    </row>
    <row r="1128" spans="1:11" ht="15">
      <c r="A1128" s="3">
        <v>2098</v>
      </c>
      <c r="B1128" s="63">
        <f t="shared" ca="1" si="50"/>
        <v>18.200441666666666</v>
      </c>
      <c r="C1128" s="63">
        <f t="shared" ca="1" si="50"/>
        <v>18.200441666666666</v>
      </c>
      <c r="D1128" s="63">
        <f t="shared" ca="1" si="50"/>
        <v>18.218691666666668</v>
      </c>
      <c r="E1128" s="63">
        <f t="shared" ca="1" si="50"/>
        <v>21.480099999999997</v>
      </c>
      <c r="F1128" s="63">
        <f t="shared" ca="1" si="50"/>
        <v>21.480099999999997</v>
      </c>
      <c r="G1128" s="63">
        <f t="shared" ca="1" si="50"/>
        <v>21.480899999999995</v>
      </c>
      <c r="H1128" s="63">
        <f t="shared" ca="1" si="50"/>
        <v>34.523975</v>
      </c>
      <c r="I1128" s="63">
        <f t="shared" ca="1" si="50"/>
        <v>34.524758333333331</v>
      </c>
      <c r="J1128" s="63">
        <f t="shared" ca="1" si="50"/>
        <v>21.480099999999997</v>
      </c>
      <c r="K1128" s="63">
        <f t="shared" ca="1" si="50"/>
        <v>21.480899999999995</v>
      </c>
    </row>
    <row r="1129" spans="1:11" ht="15">
      <c r="A1129" s="3">
        <v>2099</v>
      </c>
      <c r="B1129" s="63">
        <f t="shared" ca="1" si="50"/>
        <v>18.447958333333332</v>
      </c>
      <c r="C1129" s="63">
        <f t="shared" ca="1" si="50"/>
        <v>18.447958333333332</v>
      </c>
      <c r="D1129" s="63">
        <f t="shared" ca="1" si="50"/>
        <v>18.466216666666664</v>
      </c>
      <c r="E1129" s="63">
        <f t="shared" ca="1" si="50"/>
        <v>21.77546666666667</v>
      </c>
      <c r="F1129" s="63">
        <f t="shared" ca="1" si="50"/>
        <v>21.77546666666667</v>
      </c>
      <c r="G1129" s="63">
        <f t="shared" ca="1" si="50"/>
        <v>21.776233333333337</v>
      </c>
      <c r="H1129" s="63">
        <f t="shared" ca="1" si="50"/>
        <v>34.975008333333335</v>
      </c>
      <c r="I1129" s="63">
        <f t="shared" ca="1" si="50"/>
        <v>34.97580833333334</v>
      </c>
      <c r="J1129" s="63">
        <f t="shared" ca="1" si="50"/>
        <v>21.77546666666667</v>
      </c>
      <c r="K1129" s="63">
        <f t="shared" ca="1" si="50"/>
        <v>21.776233333333337</v>
      </c>
    </row>
    <row r="1130" spans="1:11" ht="15">
      <c r="A1130" s="3">
        <v>2100</v>
      </c>
      <c r="B1130" s="63">
        <f t="shared" ca="1" si="50"/>
        <v>18.695491666666666</v>
      </c>
      <c r="C1130" s="63">
        <f t="shared" ca="1" si="50"/>
        <v>18.695491666666666</v>
      </c>
      <c r="D1130" s="63">
        <f t="shared" ca="1" si="50"/>
        <v>18.713725</v>
      </c>
      <c r="E1130" s="63">
        <f t="shared" ca="1" si="50"/>
        <v>22.070808333333336</v>
      </c>
      <c r="F1130" s="63">
        <f t="shared" ca="1" si="50"/>
        <v>22.070808333333336</v>
      </c>
      <c r="G1130" s="63">
        <f t="shared" ca="1" si="50"/>
        <v>22.0716</v>
      </c>
      <c r="H1130" s="63">
        <f t="shared" ca="1" si="50"/>
        <v>35.426049999999996</v>
      </c>
      <c r="I1130" s="63">
        <f t="shared" ca="1" si="50"/>
        <v>35.426833333333342</v>
      </c>
      <c r="J1130" s="63">
        <f t="shared" ca="1" si="50"/>
        <v>22.070808333333336</v>
      </c>
      <c r="K1130" s="63">
        <f t="shared" ca="1" si="50"/>
        <v>22.0716</v>
      </c>
    </row>
  </sheetData>
  <mergeCells count="7">
    <mergeCell ref="B14:D14"/>
    <mergeCell ref="L14:M14"/>
    <mergeCell ref="N14:O14"/>
    <mergeCell ref="L13:O13"/>
    <mergeCell ref="E14:G14"/>
    <mergeCell ref="J14:K14"/>
    <mergeCell ref="H14:I14"/>
  </mergeCells>
  <pageMargins left="0.25" right="0.25" top="0.5" bottom="0.5" header="0.25" footer="0.25"/>
  <pageSetup paperSize="119" scale="85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5</xdr:col>
                    <xdr:colOff>371475</xdr:colOff>
                    <xdr:row>11</xdr:row>
                    <xdr:rowOff>38100</xdr:rowOff>
                  </from>
                  <to>
                    <xdr:col>6</xdr:col>
                    <xdr:colOff>381000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37"/>
  <sheetViews>
    <sheetView showGridLines="0" zoomScale="70" zoomScaleNormal="70" workbookViewId="0">
      <selection activeCell="B17" sqref="B17"/>
    </sheetView>
  </sheetViews>
  <sheetFormatPr defaultColWidth="8.88671875" defaultRowHeight="15.75"/>
  <cols>
    <col min="1" max="1" width="8.88671875" style="76"/>
    <col min="2" max="2" width="15.5546875" style="76" bestFit="1" customWidth="1"/>
    <col min="3" max="3" width="9.5546875" style="76" bestFit="1" customWidth="1"/>
    <col min="4" max="16384" width="8.88671875" style="76"/>
  </cols>
  <sheetData>
    <row r="1" spans="1:3">
      <c r="A1" s="84" t="s">
        <v>64</v>
      </c>
    </row>
    <row r="2" spans="1:3">
      <c r="A2" s="84" t="s">
        <v>65</v>
      </c>
    </row>
    <row r="3" spans="1:3">
      <c r="A3" s="84" t="s">
        <v>66</v>
      </c>
    </row>
    <row r="4" spans="1:3">
      <c r="A4" s="84" t="s">
        <v>67</v>
      </c>
    </row>
    <row r="5" spans="1:3">
      <c r="A5" s="84" t="s">
        <v>69</v>
      </c>
    </row>
    <row r="6" spans="1:3">
      <c r="A6" s="84" t="s">
        <v>70</v>
      </c>
    </row>
    <row r="8" spans="1:3">
      <c r="B8" s="81" t="s">
        <v>63</v>
      </c>
      <c r="C8" s="81" t="s">
        <v>54</v>
      </c>
    </row>
    <row r="9" spans="1:3">
      <c r="B9" s="83" t="s">
        <v>61</v>
      </c>
      <c r="C9" s="93">
        <v>2</v>
      </c>
    </row>
    <row r="10" spans="1:3">
      <c r="B10" s="83" t="s">
        <v>60</v>
      </c>
      <c r="C10" s="95"/>
    </row>
    <row r="11" spans="1:3">
      <c r="B11" s="82" t="s">
        <v>59</v>
      </c>
      <c r="C11" s="94"/>
    </row>
    <row r="14" spans="1:3">
      <c r="B14" s="81" t="s">
        <v>55</v>
      </c>
      <c r="C14" s="81" t="s">
        <v>54</v>
      </c>
    </row>
    <row r="15" spans="1:3">
      <c r="B15" s="83" t="s">
        <v>61</v>
      </c>
      <c r="C15" s="93">
        <v>2</v>
      </c>
    </row>
    <row r="16" spans="1:3">
      <c r="B16" s="83" t="s">
        <v>60</v>
      </c>
      <c r="C16" s="95"/>
    </row>
    <row r="17" spans="2:3">
      <c r="B17" s="82" t="s">
        <v>59</v>
      </c>
      <c r="C17" s="94"/>
    </row>
    <row r="21" spans="2:3">
      <c r="B21" s="81" t="s">
        <v>62</v>
      </c>
      <c r="C21" s="81" t="s">
        <v>54</v>
      </c>
    </row>
    <row r="22" spans="2:3">
      <c r="B22" s="83" t="s">
        <v>61</v>
      </c>
      <c r="C22" s="93">
        <v>2</v>
      </c>
    </row>
    <row r="23" spans="2:3">
      <c r="B23" s="83" t="s">
        <v>60</v>
      </c>
      <c r="C23" s="95"/>
    </row>
    <row r="24" spans="2:3">
      <c r="B24" s="82" t="s">
        <v>59</v>
      </c>
      <c r="C24" s="94"/>
    </row>
    <row r="27" spans="2:3">
      <c r="B27" s="81" t="s">
        <v>58</v>
      </c>
      <c r="C27" s="81" t="s">
        <v>54</v>
      </c>
    </row>
    <row r="28" spans="2:3">
      <c r="B28" s="80" t="s">
        <v>57</v>
      </c>
      <c r="C28" s="93">
        <v>1</v>
      </c>
    </row>
    <row r="29" spans="2:3">
      <c r="B29" s="79" t="s">
        <v>56</v>
      </c>
      <c r="C29" s="94"/>
    </row>
    <row r="31" spans="2:3">
      <c r="B31" s="81" t="s">
        <v>55</v>
      </c>
      <c r="C31" s="81" t="s">
        <v>54</v>
      </c>
    </row>
    <row r="32" spans="2:3">
      <c r="B32" s="80" t="s">
        <v>53</v>
      </c>
      <c r="C32" s="93">
        <v>1</v>
      </c>
    </row>
    <row r="33" spans="2:5">
      <c r="B33" s="79" t="s">
        <v>52</v>
      </c>
      <c r="C33" s="94"/>
    </row>
    <row r="37" spans="2:5">
      <c r="C37" s="78"/>
      <c r="E37" s="77"/>
    </row>
  </sheetData>
  <mergeCells count="5">
    <mergeCell ref="C32:C33"/>
    <mergeCell ref="C22:C24"/>
    <mergeCell ref="C28:C29"/>
    <mergeCell ref="C9:C11"/>
    <mergeCell ref="C15:C17"/>
  </mergeCells>
  <pageMargins left="0.25" right="0.25" top="0.5" bottom="0.5" header="0.25" footer="0.25"/>
  <pageSetup paperSize="119" scale="85" orientation="landscape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RAP-NATURAL GAS PRICES</vt:lpstr>
      <vt:lpstr>RAP TEMPLATE-GAS AVAILABILITY</vt:lpstr>
      <vt:lpstr>RAP-HEAVY &amp; LIGHT OIL &amp; WTI</vt:lpstr>
      <vt:lpstr>RAP-SOLID FUEL PRICES</vt:lpstr>
      <vt:lpstr>CONTROL</vt:lpstr>
      <vt:lpstr>'RAP TEMPLATE-GAS AVAILABILITY'!Print_Area</vt:lpstr>
      <vt:lpstr>'RAP-HEAVY &amp; LIGHT OIL &amp; WTI'!Print_Area</vt:lpstr>
      <vt:lpstr>'RAP-NATURAL GAS PRICES'!Print_Area</vt:lpstr>
      <vt:lpstr>'RAP-SOLID FUEL PRICES'!Print_Area</vt:lpstr>
      <vt:lpstr>'RAP TEMPLATE-GAS AVAILABILITY'!Print_Titles</vt:lpstr>
      <vt:lpstr>'RAP-HEAVY &amp; LIGHT OIL &amp; WTI'!Print_Titles</vt:lpstr>
      <vt:lpstr>'RAP-NATURAL GAS PRICES'!Print_Titles</vt:lpstr>
      <vt:lpstr>'RAP-SOLID FUEL PRICES'!Print_Titles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2016-07-29T16:16:48Z</dcterms:created>
  <dcterms:modified xsi:type="dcterms:W3CDTF">2016-07-29T16:20:00Z</dcterms:modified>
</cp:coreProperties>
</file>